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ubinternational4-my.sharepoint.com/personal/alyssa_watson_hubinternational_com/Documents/Reporting/202502/"/>
    </mc:Choice>
  </mc:AlternateContent>
  <xr:revisionPtr revIDLastSave="11066" documentId="13_ncr:1_{734887EA-2B93-4B95-8247-A593F29426ED}" xr6:coauthVersionLast="47" xr6:coauthVersionMax="47" xr10:uidLastSave="{0799B4BA-3CE9-41DB-B589-C057B6DF6CD1}"/>
  <bookViews>
    <workbookView xWindow="-28920" yWindow="60" windowWidth="29040" windowHeight="15720" tabRatio="885" firstSheet="11" activeTab="29" xr2:uid="{00000000-000D-0000-FFFF-FFFF00000000}"/>
  </bookViews>
  <sheets>
    <sheet name="Narrative" sheetId="29" r:id="rId1"/>
    <sheet name="Summary" sheetId="30" r:id="rId2"/>
    <sheet name="Addendum" sheetId="1" r:id="rId3"/>
    <sheet name="Rolling Projection" sheetId="59" r:id="rId4"/>
    <sheet name="HCC Summary" sheetId="33" r:id="rId5"/>
    <sheet name="HCC Detail" sheetId="31" r:id="rId6"/>
    <sheet name="HCC Detail w Diag" sheetId="61" r:id="rId7"/>
    <sheet name="Performance" sheetId="57" r:id="rId8"/>
    <sheet name="MiniPool Integrity" sheetId="58" r:id="rId9"/>
    <sheet name="Trust Cash Flow" sheetId="39" r:id="rId10"/>
    <sheet name="Conneaut" sheetId="35" r:id="rId11"/>
    <sheet name="Corry" sheetId="40" r:id="rId12"/>
    <sheet name="Crawford" sheetId="41" r:id="rId13"/>
    <sheet name="Erie" sheetId="42" r:id="rId14"/>
    <sheet name="Fairview" sheetId="43" r:id="rId15"/>
    <sheet name="Franklin" sheetId="45" r:id="rId16"/>
    <sheet name="FtLeBoeuf" sheetId="44" r:id="rId17"/>
    <sheet name="Girard" sheetId="46" r:id="rId18"/>
    <sheet name="HarborCreek" sheetId="47" r:id="rId19"/>
    <sheet name="Iroquois" sheetId="48" r:id="rId20"/>
    <sheet name="NE" sheetId="49" r:id="rId21"/>
    <sheet name="NW" sheetId="51" r:id="rId22"/>
    <sheet name="NWIU5" sheetId="50" r:id="rId23"/>
    <sheet name="OilCity" sheetId="52" r:id="rId24"/>
    <sheet name="Penncrest" sheetId="53" r:id="rId25"/>
    <sheet name="StMarys" sheetId="54" r:id="rId26"/>
    <sheet name="ValleyGrove" sheetId="55" r:id="rId27"/>
    <sheet name="Venango" sheetId="56" r:id="rId28"/>
    <sheet name="Wattsburg" sheetId="38" r:id="rId29"/>
    <sheet name="CR Reconcile" sheetId="27" r:id="rId30"/>
    <sheet name="HCC Data Entry" sheetId="32" r:id="rId31"/>
    <sheet name="Cash Flow Entry" sheetId="34" r:id="rId32"/>
    <sheet name="CR Entry" sheetId="28" r:id="rId33"/>
    <sheet name="Sheet1" sheetId="62" r:id="rId34"/>
    <sheet name="Sheet2" sheetId="63" r:id="rId35"/>
  </sheets>
  <definedNames>
    <definedName name="ChartMonths">OFFSET(Summary!$AA$42,,,12-COUNTIF(Summary!$Z$42:$Z$53,""))</definedName>
    <definedName name="ChartValues">OFFSET(Summary!$Z$42,,,12-COUNTIF(Summary!$Z$42:$Z$53,""))</definedName>
    <definedName name="_xlnm.Print_Area" localSheetId="2">Addendum!$E$2:$P$26</definedName>
    <definedName name="_xlnm.Print_Area" localSheetId="10">Conneaut!$C$2:$P$60</definedName>
    <definedName name="_xlnm.Print_Area" localSheetId="11">Corry!$C$2:$P$60</definedName>
    <definedName name="_xlnm.Print_Area" localSheetId="12">Crawford!$C$2:$P$60</definedName>
    <definedName name="_xlnm.Print_Area" localSheetId="13">Erie!$C$2:$P$60</definedName>
    <definedName name="_xlnm.Print_Area" localSheetId="14">Fairview!$C$2:$P$60</definedName>
    <definedName name="_xlnm.Print_Area" localSheetId="15">Franklin!$C$2:$P$60</definedName>
    <definedName name="_xlnm.Print_Area" localSheetId="16">FtLeBoeuf!$C$2:$P$60</definedName>
    <definedName name="_xlnm.Print_Area" localSheetId="17">Girard!$C$2:$P$60</definedName>
    <definedName name="_xlnm.Print_Area" localSheetId="18">HarborCreek!$C$2:$P$60</definedName>
    <definedName name="_xlnm.Print_Area" localSheetId="5">'HCC Detail'!$B$2:$L$339</definedName>
    <definedName name="_xlnm.Print_Area" localSheetId="6">'HCC Detail w Diag'!$B$2:$R$52</definedName>
    <definedName name="_xlnm.Print_Area" localSheetId="4">'HCC Summary'!$B$2:$L$31</definedName>
    <definedName name="_xlnm.Print_Area" localSheetId="19">Iroquois!$C$2:$P$60</definedName>
    <definedName name="_xlnm.Print_Area" localSheetId="8">'MiniPool Integrity'!$C$2:$L$34</definedName>
    <definedName name="_xlnm.Print_Area" localSheetId="0">Narrative!$B$2:$E$30</definedName>
    <definedName name="_xlnm.Print_Area" localSheetId="20">NE!$C$2:$P$60</definedName>
    <definedName name="_xlnm.Print_Area" localSheetId="21">NW!$C$2:$P$60</definedName>
    <definedName name="_xlnm.Print_Area" localSheetId="22">NWIU5!$C$2:$P$60</definedName>
    <definedName name="_xlnm.Print_Area" localSheetId="23">OilCity!$C$2:$P$60</definedName>
    <definedName name="_xlnm.Print_Area" localSheetId="24">Penncrest!$C$2:$P$60</definedName>
    <definedName name="_xlnm.Print_Area" localSheetId="7">Performance!$C$2:$W$31</definedName>
    <definedName name="_xlnm.Print_Area" localSheetId="3">'Rolling Projection'!$C$2:$V$32</definedName>
    <definedName name="_xlnm.Print_Area" localSheetId="25">StMarys!$C$2:$P$60</definedName>
    <definedName name="_xlnm.Print_Area" localSheetId="1">Summary!$B$2:$H$39</definedName>
    <definedName name="_xlnm.Print_Area" localSheetId="9">'Trust Cash Flow'!$C$2:$P$60</definedName>
    <definedName name="_xlnm.Print_Area" localSheetId="26">ValleyGrove!$C$2:$P$60</definedName>
    <definedName name="_xlnm.Print_Area" localSheetId="27">Venango!$C$2:$P$60</definedName>
    <definedName name="_xlnm.Print_Area" localSheetId="28">Wattsburg!$C$2:$P$60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75" i="38" l="1"/>
  <c r="L75" i="38"/>
  <c r="Q75" i="38"/>
  <c r="L75" i="56"/>
  <c r="S75" i="56"/>
  <c r="Q75" i="56"/>
  <c r="P75" i="56"/>
  <c r="O75" i="56"/>
  <c r="K25" i="56" s="1"/>
  <c r="Q75" i="55"/>
  <c r="P75" i="55"/>
  <c r="L75" i="55"/>
  <c r="O75" i="55"/>
  <c r="N75" i="54"/>
  <c r="L75" i="54"/>
  <c r="Q75" i="54"/>
  <c r="O75" i="54"/>
  <c r="P75" i="54"/>
  <c r="Q75" i="53"/>
  <c r="P75" i="53"/>
  <c r="L75" i="53"/>
  <c r="O75" i="53"/>
  <c r="L75" i="52"/>
  <c r="Q75" i="52"/>
  <c r="O75" i="52"/>
  <c r="P75" i="52"/>
  <c r="Q75" i="50"/>
  <c r="L75" i="50"/>
  <c r="O75" i="50"/>
  <c r="R75" i="50"/>
  <c r="N75" i="50"/>
  <c r="P75" i="50"/>
  <c r="O75" i="51"/>
  <c r="L75" i="51"/>
  <c r="P75" i="51"/>
  <c r="Q75" i="51"/>
  <c r="Q75" i="49"/>
  <c r="L75" i="49"/>
  <c r="O75" i="49"/>
  <c r="N75" i="49"/>
  <c r="P75" i="49"/>
  <c r="L75" i="48"/>
  <c r="Q75" i="48"/>
  <c r="O75" i="48"/>
  <c r="P75" i="48"/>
  <c r="L75" i="47"/>
  <c r="Q75" i="47"/>
  <c r="I74" i="47"/>
  <c r="I73" i="47"/>
  <c r="I72" i="47"/>
  <c r="I71" i="47"/>
  <c r="I70" i="47"/>
  <c r="I69" i="47"/>
  <c r="I68" i="47"/>
  <c r="N75" i="47"/>
  <c r="P75" i="47"/>
  <c r="O75" i="47"/>
  <c r="L75" i="46"/>
  <c r="F17" i="1" s="1"/>
  <c r="Q75" i="46"/>
  <c r="I73" i="46"/>
  <c r="I72" i="46"/>
  <c r="I71" i="46"/>
  <c r="I70" i="46"/>
  <c r="I69" i="46"/>
  <c r="I68" i="46"/>
  <c r="P75" i="46"/>
  <c r="O75" i="46"/>
  <c r="Q75" i="44"/>
  <c r="L75" i="44"/>
  <c r="P75" i="44"/>
  <c r="O75" i="44"/>
  <c r="Q75" i="45"/>
  <c r="L75" i="45"/>
  <c r="O75" i="45"/>
  <c r="L75" i="43"/>
  <c r="Q75" i="43"/>
  <c r="O75" i="43"/>
  <c r="P75" i="43"/>
  <c r="Q75" i="42"/>
  <c r="O75" i="42"/>
  <c r="L75" i="42"/>
  <c r="O75" i="41"/>
  <c r="Q75" i="41"/>
  <c r="M11" i="1"/>
  <c r="M12" i="1"/>
  <c r="M13" i="1"/>
  <c r="M14" i="1"/>
  <c r="M15" i="1"/>
  <c r="M16" i="1"/>
  <c r="M17" i="1"/>
  <c r="M18" i="1"/>
  <c r="M19" i="1"/>
  <c r="M20" i="1"/>
  <c r="M21" i="1"/>
  <c r="M10" i="1"/>
  <c r="L11" i="1"/>
  <c r="L12" i="1"/>
  <c r="L13" i="1"/>
  <c r="L14" i="1"/>
  <c r="L15" i="1"/>
  <c r="L16" i="1"/>
  <c r="L17" i="1"/>
  <c r="L18" i="1"/>
  <c r="L19" i="1"/>
  <c r="L20" i="1"/>
  <c r="L21" i="1"/>
  <c r="L10" i="1"/>
  <c r="K21" i="1"/>
  <c r="K11" i="1"/>
  <c r="K12" i="1"/>
  <c r="K13" i="1"/>
  <c r="K14" i="1"/>
  <c r="K15" i="1"/>
  <c r="K16" i="1"/>
  <c r="K18" i="1"/>
  <c r="K19" i="1"/>
  <c r="K20" i="1"/>
  <c r="K10" i="1"/>
  <c r="J11" i="1"/>
  <c r="J12" i="1"/>
  <c r="J13" i="1"/>
  <c r="J14" i="1"/>
  <c r="J15" i="1"/>
  <c r="J16" i="1"/>
  <c r="J17" i="1"/>
  <c r="J18" i="1"/>
  <c r="J19" i="1"/>
  <c r="J20" i="1"/>
  <c r="J21" i="1"/>
  <c r="J10" i="1"/>
  <c r="I11" i="1"/>
  <c r="I12" i="1"/>
  <c r="I13" i="1"/>
  <c r="I14" i="1"/>
  <c r="I15" i="1"/>
  <c r="I16" i="1"/>
  <c r="I18" i="1"/>
  <c r="I19" i="1"/>
  <c r="I20" i="1"/>
  <c r="I21" i="1"/>
  <c r="I10" i="1"/>
  <c r="H11" i="1"/>
  <c r="H12" i="1"/>
  <c r="H13" i="1"/>
  <c r="H14" i="1"/>
  <c r="H15" i="1"/>
  <c r="H16" i="1"/>
  <c r="H17" i="1"/>
  <c r="H18" i="1"/>
  <c r="H19" i="1"/>
  <c r="H20" i="1"/>
  <c r="H21" i="1"/>
  <c r="H10" i="1"/>
  <c r="G11" i="1"/>
  <c r="G12" i="1"/>
  <c r="G13" i="1"/>
  <c r="G14" i="1"/>
  <c r="G15" i="1"/>
  <c r="G16" i="1"/>
  <c r="G17" i="1"/>
  <c r="G18" i="1"/>
  <c r="G19" i="1"/>
  <c r="G20" i="1"/>
  <c r="G21" i="1"/>
  <c r="G10" i="1"/>
  <c r="F13" i="1"/>
  <c r="F14" i="1"/>
  <c r="F15" i="1"/>
  <c r="F16" i="1"/>
  <c r="F18" i="1"/>
  <c r="F19" i="1"/>
  <c r="F20" i="1"/>
  <c r="F21" i="1"/>
  <c r="F12" i="1"/>
  <c r="F11" i="1"/>
  <c r="F10" i="1"/>
  <c r="O25" i="41"/>
  <c r="O25" i="42"/>
  <c r="O25" i="43"/>
  <c r="O25" i="45"/>
  <c r="O25" i="44"/>
  <c r="O25" i="46"/>
  <c r="O25" i="47"/>
  <c r="O25" i="48"/>
  <c r="O25" i="49"/>
  <c r="O25" i="51"/>
  <c r="O25" i="50"/>
  <c r="O25" i="52"/>
  <c r="O25" i="53"/>
  <c r="O25" i="54"/>
  <c r="O25" i="55"/>
  <c r="O25" i="56"/>
  <c r="O25" i="38"/>
  <c r="O25" i="40"/>
  <c r="N25" i="41"/>
  <c r="N25" i="42"/>
  <c r="N25" i="43"/>
  <c r="N25" i="45"/>
  <c r="N25" i="44"/>
  <c r="N25" i="46"/>
  <c r="N25" i="47"/>
  <c r="N25" i="48"/>
  <c r="N25" i="49"/>
  <c r="N25" i="51"/>
  <c r="N25" i="50"/>
  <c r="N25" i="52"/>
  <c r="N25" i="53"/>
  <c r="N25" i="54"/>
  <c r="N25" i="55"/>
  <c r="N25" i="56"/>
  <c r="N25" i="38"/>
  <c r="N25" i="40"/>
  <c r="M25" i="41"/>
  <c r="M25" i="42"/>
  <c r="M25" i="43"/>
  <c r="M25" i="45"/>
  <c r="M25" i="44"/>
  <c r="M25" i="46"/>
  <c r="M25" i="47"/>
  <c r="M25" i="48"/>
  <c r="M25" i="49"/>
  <c r="M25" i="51"/>
  <c r="M25" i="50"/>
  <c r="M25" i="52"/>
  <c r="M25" i="53"/>
  <c r="M25" i="54"/>
  <c r="M25" i="55"/>
  <c r="M25" i="56"/>
  <c r="M25" i="38"/>
  <c r="M25" i="40"/>
  <c r="L25" i="41"/>
  <c r="L25" i="42"/>
  <c r="L25" i="43"/>
  <c r="L25" i="45"/>
  <c r="L25" i="44"/>
  <c r="L25" i="46"/>
  <c r="L25" i="47"/>
  <c r="L25" i="48"/>
  <c r="L25" i="49"/>
  <c r="L25" i="51"/>
  <c r="L25" i="50"/>
  <c r="L25" i="52"/>
  <c r="L25" i="53"/>
  <c r="L25" i="54"/>
  <c r="L25" i="55"/>
  <c r="L25" i="56"/>
  <c r="L25" i="38"/>
  <c r="L25" i="40"/>
  <c r="K25" i="41"/>
  <c r="K25" i="42"/>
  <c r="K25" i="43"/>
  <c r="K25" i="47"/>
  <c r="K25" i="48"/>
  <c r="K25" i="49"/>
  <c r="K25" i="51"/>
  <c r="K25" i="52"/>
  <c r="K25" i="53"/>
  <c r="K25" i="54"/>
  <c r="K25" i="55"/>
  <c r="K25" i="38"/>
  <c r="K25" i="40"/>
  <c r="L75" i="40"/>
  <c r="Q75" i="40"/>
  <c r="P75" i="40"/>
  <c r="O75" i="40"/>
  <c r="O21" i="1"/>
  <c r="O20" i="1"/>
  <c r="O19" i="1"/>
  <c r="O18" i="1"/>
  <c r="O17" i="1"/>
  <c r="O16" i="1"/>
  <c r="O15" i="1"/>
  <c r="O14" i="1"/>
  <c r="O13" i="1"/>
  <c r="O12" i="1"/>
  <c r="O11" i="1"/>
  <c r="O10" i="1"/>
  <c r="L22" i="30"/>
  <c r="J6" i="28"/>
  <c r="J7" i="28"/>
  <c r="J8" i="28"/>
  <c r="J9" i="28"/>
  <c r="J10" i="28"/>
  <c r="J11" i="28"/>
  <c r="C29" i="27" s="1"/>
  <c r="J12" i="28"/>
  <c r="J13" i="28"/>
  <c r="J14" i="28"/>
  <c r="J15" i="28"/>
  <c r="J16" i="28"/>
  <c r="J5" i="28"/>
  <c r="H6" i="28"/>
  <c r="H7" i="28"/>
  <c r="H8" i="28"/>
  <c r="H9" i="28"/>
  <c r="H10" i="28"/>
  <c r="H11" i="28"/>
  <c r="H12" i="28"/>
  <c r="H13" i="28"/>
  <c r="H14" i="28"/>
  <c r="H15" i="28"/>
  <c r="H16" i="28"/>
  <c r="H5" i="28"/>
  <c r="G6" i="28"/>
  <c r="G7" i="28"/>
  <c r="G8" i="28"/>
  <c r="G9" i="28"/>
  <c r="G10" i="28"/>
  <c r="G11" i="28"/>
  <c r="G12" i="28"/>
  <c r="G13" i="28"/>
  <c r="G14" i="28"/>
  <c r="G15" i="28"/>
  <c r="G16" i="28"/>
  <c r="F6" i="28"/>
  <c r="F7" i="28"/>
  <c r="F8" i="28"/>
  <c r="F9" i="28"/>
  <c r="F10" i="28"/>
  <c r="F11" i="28"/>
  <c r="F12" i="28"/>
  <c r="F13" i="28"/>
  <c r="F14" i="28"/>
  <c r="F15" i="28"/>
  <c r="F16" i="28"/>
  <c r="E6" i="28"/>
  <c r="E7" i="28"/>
  <c r="E8" i="28"/>
  <c r="E9" i="28"/>
  <c r="E10" i="28"/>
  <c r="E11" i="28"/>
  <c r="E12" i="28"/>
  <c r="E13" i="28"/>
  <c r="E14" i="28"/>
  <c r="E15" i="28"/>
  <c r="E16" i="28"/>
  <c r="D6" i="28"/>
  <c r="D7" i="28"/>
  <c r="D8" i="28"/>
  <c r="D9" i="28"/>
  <c r="D10" i="28"/>
  <c r="D11" i="28"/>
  <c r="D12" i="28"/>
  <c r="D13" i="28"/>
  <c r="D14" i="28"/>
  <c r="D15" i="28"/>
  <c r="D16" i="28"/>
  <c r="C6" i="28"/>
  <c r="C7" i="28"/>
  <c r="C8" i="28"/>
  <c r="C9" i="28"/>
  <c r="C10" i="28"/>
  <c r="C11" i="28"/>
  <c r="C12" i="28"/>
  <c r="C13" i="28"/>
  <c r="C14" i="28"/>
  <c r="C15" i="28"/>
  <c r="C16" i="28"/>
  <c r="G5" i="28"/>
  <c r="F5" i="28"/>
  <c r="E5" i="28"/>
  <c r="D5" i="28"/>
  <c r="C5" i="28"/>
  <c r="O51" i="39"/>
  <c r="N51" i="39"/>
  <c r="M51" i="39"/>
  <c r="L51" i="39"/>
  <c r="J51" i="39"/>
  <c r="I51" i="39"/>
  <c r="H51" i="39"/>
  <c r="G51" i="39"/>
  <c r="F51" i="39"/>
  <c r="O51" i="41"/>
  <c r="O51" i="42"/>
  <c r="O51" i="43"/>
  <c r="O51" i="45"/>
  <c r="O51" i="44"/>
  <c r="O51" i="46"/>
  <c r="O51" i="47"/>
  <c r="O51" i="48"/>
  <c r="O51" i="49"/>
  <c r="O51" i="51"/>
  <c r="O51" i="50"/>
  <c r="O51" i="52"/>
  <c r="O51" i="53"/>
  <c r="O51" i="54"/>
  <c r="O51" i="55"/>
  <c r="O51" i="56"/>
  <c r="O51" i="38"/>
  <c r="O51" i="35"/>
  <c r="N51" i="41"/>
  <c r="N51" i="42"/>
  <c r="N51" i="43"/>
  <c r="N51" i="45"/>
  <c r="N51" i="44"/>
  <c r="N51" i="46"/>
  <c r="N51" i="47"/>
  <c r="N51" i="48"/>
  <c r="N51" i="49"/>
  <c r="N51" i="51"/>
  <c r="N51" i="50"/>
  <c r="N51" i="52"/>
  <c r="N51" i="53"/>
  <c r="N51" i="54"/>
  <c r="N51" i="55"/>
  <c r="N51" i="56"/>
  <c r="N51" i="38"/>
  <c r="N51" i="35"/>
  <c r="M51" i="41"/>
  <c r="M51" i="42"/>
  <c r="M51" i="43"/>
  <c r="M51" i="45"/>
  <c r="M51" i="44"/>
  <c r="M51" i="46"/>
  <c r="M51" i="47"/>
  <c r="M51" i="48"/>
  <c r="M51" i="49"/>
  <c r="M51" i="51"/>
  <c r="M51" i="50"/>
  <c r="M51" i="52"/>
  <c r="M51" i="53"/>
  <c r="M51" i="54"/>
  <c r="M51" i="55"/>
  <c r="M51" i="56"/>
  <c r="M51" i="38"/>
  <c r="M51" i="35"/>
  <c r="L51" i="41"/>
  <c r="L51" i="42"/>
  <c r="L51" i="43"/>
  <c r="L51" i="45"/>
  <c r="L51" i="44"/>
  <c r="L51" i="46"/>
  <c r="L51" i="47"/>
  <c r="L51" i="48"/>
  <c r="L51" i="49"/>
  <c r="L51" i="51"/>
  <c r="L51" i="50"/>
  <c r="L51" i="52"/>
  <c r="L51" i="53"/>
  <c r="L51" i="54"/>
  <c r="L51" i="55"/>
  <c r="L51" i="56"/>
  <c r="L51" i="38"/>
  <c r="L51" i="35"/>
  <c r="K51" i="35"/>
  <c r="J51" i="41"/>
  <c r="J51" i="42"/>
  <c r="J51" i="43"/>
  <c r="J51" i="45"/>
  <c r="J51" i="44"/>
  <c r="J51" i="46"/>
  <c r="J51" i="47"/>
  <c r="J51" i="48"/>
  <c r="J51" i="49"/>
  <c r="J51" i="51"/>
  <c r="J51" i="50"/>
  <c r="J51" i="52"/>
  <c r="J51" i="53"/>
  <c r="J51" i="54"/>
  <c r="J51" i="55"/>
  <c r="J51" i="56"/>
  <c r="J51" i="38"/>
  <c r="J51" i="35"/>
  <c r="I51" i="41"/>
  <c r="I51" i="42"/>
  <c r="I51" i="43"/>
  <c r="I51" i="45"/>
  <c r="I51" i="44"/>
  <c r="I51" i="46"/>
  <c r="I51" i="47"/>
  <c r="I51" i="48"/>
  <c r="I51" i="49"/>
  <c r="I51" i="51"/>
  <c r="I51" i="50"/>
  <c r="I51" i="52"/>
  <c r="I51" i="53"/>
  <c r="I51" i="54"/>
  <c r="I51" i="55"/>
  <c r="I51" i="56"/>
  <c r="I51" i="38"/>
  <c r="I51" i="35"/>
  <c r="H51" i="41"/>
  <c r="H51" i="42"/>
  <c r="H51" i="43"/>
  <c r="H51" i="45"/>
  <c r="H51" i="44"/>
  <c r="H51" i="46"/>
  <c r="H51" i="47"/>
  <c r="H51" i="48"/>
  <c r="H51" i="49"/>
  <c r="H51" i="51"/>
  <c r="H51" i="50"/>
  <c r="H51" i="52"/>
  <c r="H51" i="53"/>
  <c r="H51" i="54"/>
  <c r="H51" i="55"/>
  <c r="H51" i="56"/>
  <c r="H51" i="38"/>
  <c r="H51" i="35"/>
  <c r="G51" i="41"/>
  <c r="G51" i="42"/>
  <c r="G51" i="43"/>
  <c r="G51" i="45"/>
  <c r="G51" i="44"/>
  <c r="G51" i="46"/>
  <c r="G51" i="47"/>
  <c r="G51" i="48"/>
  <c r="G51" i="49"/>
  <c r="G51" i="51"/>
  <c r="G51" i="50"/>
  <c r="G51" i="52"/>
  <c r="G51" i="53"/>
  <c r="G51" i="54"/>
  <c r="G51" i="55"/>
  <c r="G51" i="56"/>
  <c r="G51" i="38"/>
  <c r="G51" i="35"/>
  <c r="F51" i="41"/>
  <c r="F51" i="42"/>
  <c r="F51" i="43"/>
  <c r="F51" i="45"/>
  <c r="F51" i="44"/>
  <c r="F51" i="46"/>
  <c r="F51" i="47"/>
  <c r="F51" i="48"/>
  <c r="F51" i="49"/>
  <c r="F51" i="51"/>
  <c r="F51" i="50"/>
  <c r="F51" i="52"/>
  <c r="F51" i="53"/>
  <c r="F51" i="54"/>
  <c r="F51" i="55"/>
  <c r="F51" i="56"/>
  <c r="F51" i="38"/>
  <c r="F51" i="35"/>
  <c r="E51" i="41"/>
  <c r="E51" i="42"/>
  <c r="E51" i="43"/>
  <c r="E51" i="45"/>
  <c r="E51" i="44"/>
  <c r="E51" i="46"/>
  <c r="E51" i="47"/>
  <c r="E51" i="48"/>
  <c r="E51" i="49"/>
  <c r="E51" i="51"/>
  <c r="E51" i="50"/>
  <c r="E51" i="52"/>
  <c r="E51" i="53"/>
  <c r="E51" i="54"/>
  <c r="E51" i="55"/>
  <c r="E51" i="56"/>
  <c r="E51" i="38"/>
  <c r="E51" i="35"/>
  <c r="D51" i="41"/>
  <c r="D51" i="42"/>
  <c r="D51" i="43"/>
  <c r="D51" i="45"/>
  <c r="D51" i="44"/>
  <c r="D51" i="46"/>
  <c r="D51" i="47"/>
  <c r="D51" i="48"/>
  <c r="D51" i="49"/>
  <c r="D51" i="51"/>
  <c r="D51" i="50"/>
  <c r="D51" i="52"/>
  <c r="D51" i="53"/>
  <c r="D51" i="54"/>
  <c r="D51" i="55"/>
  <c r="D51" i="56"/>
  <c r="D51" i="38"/>
  <c r="D51" i="35"/>
  <c r="O51" i="40"/>
  <c r="N51" i="40"/>
  <c r="M51" i="40"/>
  <c r="L51" i="40"/>
  <c r="J51" i="40"/>
  <c r="I51" i="40"/>
  <c r="H51" i="40"/>
  <c r="G51" i="40"/>
  <c r="F51" i="40"/>
  <c r="E51" i="40"/>
  <c r="D51" i="40"/>
  <c r="S80" i="35"/>
  <c r="S80" i="41"/>
  <c r="S80" i="42"/>
  <c r="S80" i="43"/>
  <c r="S80" i="45"/>
  <c r="S80" i="44"/>
  <c r="S80" i="46"/>
  <c r="S80" i="47"/>
  <c r="S80" i="48"/>
  <c r="S80" i="49"/>
  <c r="S80" i="51"/>
  <c r="S80" i="50"/>
  <c r="S80" i="52"/>
  <c r="S80" i="53"/>
  <c r="S80" i="54"/>
  <c r="S80" i="55"/>
  <c r="S80" i="56"/>
  <c r="S80" i="38"/>
  <c r="S80" i="40"/>
  <c r="L75" i="35"/>
  <c r="Q75" i="35"/>
  <c r="O75" i="35"/>
  <c r="P75" i="35"/>
  <c r="V6" i="28"/>
  <c r="V7" i="28"/>
  <c r="V8" i="28"/>
  <c r="V9" i="28"/>
  <c r="V10" i="28"/>
  <c r="V11" i="28"/>
  <c r="V12" i="28"/>
  <c r="V13" i="28"/>
  <c r="V14" i="28"/>
  <c r="V15" i="28"/>
  <c r="V16" i="28"/>
  <c r="V5" i="28"/>
  <c r="U6" i="28"/>
  <c r="U7" i="28"/>
  <c r="U8" i="28"/>
  <c r="U9" i="28"/>
  <c r="U10" i="28"/>
  <c r="U11" i="28"/>
  <c r="U12" i="28"/>
  <c r="U13" i="28"/>
  <c r="U14" i="28"/>
  <c r="U15" i="28"/>
  <c r="U16" i="28"/>
  <c r="T6" i="28"/>
  <c r="T7" i="28"/>
  <c r="T8" i="28"/>
  <c r="T9" i="28"/>
  <c r="T10" i="28"/>
  <c r="T11" i="28"/>
  <c r="T12" i="28"/>
  <c r="T13" i="28"/>
  <c r="T14" i="28"/>
  <c r="T15" i="28"/>
  <c r="T16" i="28"/>
  <c r="T5" i="28"/>
  <c r="U5" i="28"/>
  <c r="K17" i="1" l="1"/>
  <c r="K25" i="50"/>
  <c r="K25" i="46"/>
  <c r="I17" i="1"/>
  <c r="K25" i="44"/>
  <c r="K25" i="45"/>
  <c r="U17" i="28"/>
  <c r="V17" i="28"/>
  <c r="U75" i="51" l="1"/>
  <c r="U75" i="43"/>
  <c r="K44" i="40"/>
  <c r="K44" i="41"/>
  <c r="K44" i="42"/>
  <c r="K44" i="43"/>
  <c r="K44" i="45"/>
  <c r="K44" i="44"/>
  <c r="K44" i="46"/>
  <c r="K44" i="47"/>
  <c r="K44" i="48"/>
  <c r="K44" i="49"/>
  <c r="K44" i="51"/>
  <c r="K44" i="50"/>
  <c r="K44" i="52"/>
  <c r="K44" i="53"/>
  <c r="K44" i="54"/>
  <c r="K44" i="55"/>
  <c r="K44" i="56"/>
  <c r="K44" i="38"/>
  <c r="K44" i="35"/>
  <c r="P41" i="61"/>
  <c r="P42" i="61"/>
  <c r="P43" i="61"/>
  <c r="P44" i="61"/>
  <c r="P45" i="61"/>
  <c r="P46" i="61"/>
  <c r="P47" i="61"/>
  <c r="P48" i="61"/>
  <c r="P49" i="61"/>
  <c r="O41" i="61"/>
  <c r="O42" i="61"/>
  <c r="O43" i="61"/>
  <c r="O44" i="61"/>
  <c r="O45" i="61"/>
  <c r="O46" i="61"/>
  <c r="O47" i="61"/>
  <c r="O48" i="61"/>
  <c r="O49" i="61"/>
  <c r="N41" i="61"/>
  <c r="N42" i="61"/>
  <c r="N43" i="61"/>
  <c r="N44" i="61"/>
  <c r="N45" i="61"/>
  <c r="N46" i="61"/>
  <c r="N47" i="61"/>
  <c r="N48" i="61"/>
  <c r="N49" i="61"/>
  <c r="M41" i="61"/>
  <c r="M42" i="61"/>
  <c r="M43" i="61"/>
  <c r="M44" i="61"/>
  <c r="M45" i="61"/>
  <c r="M46" i="61"/>
  <c r="M47" i="61"/>
  <c r="M48" i="61"/>
  <c r="M49" i="61"/>
  <c r="M9" i="61"/>
  <c r="M10" i="61"/>
  <c r="M11" i="61"/>
  <c r="M12" i="61"/>
  <c r="M13" i="61"/>
  <c r="M14" i="61"/>
  <c r="M15" i="61"/>
  <c r="M16" i="61"/>
  <c r="M17" i="61"/>
  <c r="M18" i="61"/>
  <c r="M19" i="61"/>
  <c r="M20" i="61"/>
  <c r="M21" i="61"/>
  <c r="M22" i="61"/>
  <c r="M23" i="61"/>
  <c r="M24" i="61"/>
  <c r="M25" i="61"/>
  <c r="M26" i="61"/>
  <c r="M27" i="61"/>
  <c r="M28" i="61"/>
  <c r="M29" i="61"/>
  <c r="M30" i="61"/>
  <c r="M31" i="61"/>
  <c r="M32" i="61"/>
  <c r="M33" i="61"/>
  <c r="M34" i="61"/>
  <c r="M35" i="61"/>
  <c r="M36" i="61"/>
  <c r="M37" i="61"/>
  <c r="M38" i="61"/>
  <c r="M39" i="61"/>
  <c r="M40" i="61"/>
  <c r="L50" i="61"/>
  <c r="K50" i="61"/>
  <c r="J50" i="61"/>
  <c r="W49" i="30"/>
  <c r="U49" i="30" s="1"/>
  <c r="D10" i="42" l="1"/>
  <c r="O74" i="50" l="1"/>
  <c r="Q74" i="50"/>
  <c r="L74" i="50"/>
  <c r="P74" i="50"/>
  <c r="N74" i="50"/>
  <c r="L74" i="38" l="1"/>
  <c r="Q74" i="38"/>
  <c r="P74" i="38"/>
  <c r="O74" i="38"/>
  <c r="L74" i="56"/>
  <c r="Q74" i="56"/>
  <c r="O74" i="56"/>
  <c r="L74" i="55"/>
  <c r="Q74" i="55"/>
  <c r="O74" i="55"/>
  <c r="Q74" i="54"/>
  <c r="L74" i="54"/>
  <c r="O74" i="54"/>
  <c r="L74" i="53"/>
  <c r="O74" i="53"/>
  <c r="Q74" i="53"/>
  <c r="P74" i="53"/>
  <c r="L74" i="52"/>
  <c r="Q74" i="52"/>
  <c r="P74" i="52"/>
  <c r="O74" i="52"/>
  <c r="L74" i="51" l="1"/>
  <c r="Q74" i="51"/>
  <c r="P74" i="51"/>
  <c r="O74" i="51"/>
  <c r="L74" i="49"/>
  <c r="Q74" i="49"/>
  <c r="O74" i="49"/>
  <c r="P74" i="49"/>
  <c r="N74" i="49"/>
  <c r="Q74" i="48" l="1"/>
  <c r="O74" i="48"/>
  <c r="L74" i="48"/>
  <c r="L74" i="47"/>
  <c r="Q74" i="47"/>
  <c r="O74" i="47"/>
  <c r="L74" i="46"/>
  <c r="Q74" i="46"/>
  <c r="P74" i="46"/>
  <c r="O74" i="46"/>
  <c r="Q74" i="44"/>
  <c r="L74" i="44"/>
  <c r="P74" i="44"/>
  <c r="O74" i="44"/>
  <c r="L74" i="45"/>
  <c r="Q74" i="45"/>
  <c r="P74" i="45"/>
  <c r="O74" i="45"/>
  <c r="Q74" i="43"/>
  <c r="L74" i="43"/>
  <c r="P74" i="43"/>
  <c r="O74" i="43"/>
  <c r="L74" i="42"/>
  <c r="O74" i="42"/>
  <c r="Q74" i="42"/>
  <c r="L74" i="41"/>
  <c r="O74" i="41"/>
  <c r="P74" i="41"/>
  <c r="L74" i="40"/>
  <c r="Q74" i="40"/>
  <c r="N74" i="40"/>
  <c r="P74" i="40"/>
  <c r="O74" i="40"/>
  <c r="Q74" i="35"/>
  <c r="L74" i="35"/>
  <c r="R74" i="35"/>
  <c r="P74" i="35"/>
  <c r="O74" i="35"/>
  <c r="J44" i="40" l="1"/>
  <c r="J44" i="41"/>
  <c r="J44" i="42"/>
  <c r="J44" i="43"/>
  <c r="J44" i="45"/>
  <c r="J44" i="44"/>
  <c r="J44" i="46"/>
  <c r="J44" i="47"/>
  <c r="J44" i="48"/>
  <c r="J44" i="49"/>
  <c r="J44" i="51"/>
  <c r="J44" i="50"/>
  <c r="J44" i="52"/>
  <c r="J44" i="53"/>
  <c r="J44" i="54"/>
  <c r="J44" i="55"/>
  <c r="J44" i="56"/>
  <c r="J44" i="38"/>
  <c r="J44" i="35"/>
  <c r="J11" i="43"/>
  <c r="K97" i="50"/>
  <c r="J97" i="50"/>
  <c r="H97" i="50"/>
  <c r="G97" i="50"/>
  <c r="F97" i="50"/>
  <c r="E97" i="50"/>
  <c r="D97" i="50"/>
  <c r="I96" i="50"/>
  <c r="I95" i="50"/>
  <c r="I94" i="50"/>
  <c r="I93" i="50"/>
  <c r="I92" i="50"/>
  <c r="I91" i="50"/>
  <c r="I90" i="50"/>
  <c r="I89" i="50"/>
  <c r="I88" i="50"/>
  <c r="I87" i="50"/>
  <c r="I86" i="50"/>
  <c r="I85" i="50"/>
  <c r="N34" i="61"/>
  <c r="O34" i="61" s="1"/>
  <c r="P34" i="61" s="1"/>
  <c r="N35" i="61"/>
  <c r="O35" i="61" s="1"/>
  <c r="P35" i="61" s="1"/>
  <c r="N36" i="61"/>
  <c r="O36" i="61" s="1"/>
  <c r="P36" i="61" s="1"/>
  <c r="N37" i="61"/>
  <c r="O37" i="61" s="1"/>
  <c r="P37" i="61" s="1"/>
  <c r="N38" i="61"/>
  <c r="O38" i="61" s="1"/>
  <c r="P38" i="61" s="1"/>
  <c r="N39" i="61"/>
  <c r="O39" i="61" s="1"/>
  <c r="P39" i="61" s="1"/>
  <c r="N40" i="61"/>
  <c r="O40" i="61" s="1"/>
  <c r="P40" i="61" s="1"/>
  <c r="W48" i="30"/>
  <c r="U48" i="30" s="1"/>
  <c r="Q73" i="38"/>
  <c r="O73" i="38"/>
  <c r="P73" i="38"/>
  <c r="N73" i="38"/>
  <c r="Q73" i="56"/>
  <c r="L73" i="56"/>
  <c r="O73" i="56"/>
  <c r="I97" i="50" l="1"/>
  <c r="L73" i="55"/>
  <c r="O73" i="55"/>
  <c r="P73" i="55"/>
  <c r="Q73" i="55"/>
  <c r="L73" i="54"/>
  <c r="Q73" i="54"/>
  <c r="O73" i="54"/>
  <c r="P73" i="54"/>
  <c r="N73" i="54"/>
  <c r="P73" i="53"/>
  <c r="L73" i="53"/>
  <c r="O73" i="53"/>
  <c r="P73" i="52"/>
  <c r="Q73" i="52"/>
  <c r="L73" i="52"/>
  <c r="O73" i="52"/>
  <c r="L73" i="50"/>
  <c r="Q73" i="50"/>
  <c r="O73" i="50"/>
  <c r="P73" i="50"/>
  <c r="P73" i="51"/>
  <c r="L73" i="51"/>
  <c r="O73" i="51"/>
  <c r="L73" i="49"/>
  <c r="Q73" i="49"/>
  <c r="O73" i="49"/>
  <c r="P73" i="49"/>
  <c r="P73" i="48"/>
  <c r="Q73" i="48"/>
  <c r="L73" i="48"/>
  <c r="O73" i="48"/>
  <c r="P73" i="47"/>
  <c r="L73" i="47"/>
  <c r="Q73" i="47"/>
  <c r="O73" i="47"/>
  <c r="P73" i="46"/>
  <c r="L73" i="46"/>
  <c r="Q73" i="46"/>
  <c r="O73" i="46"/>
  <c r="P73" i="44"/>
  <c r="Q73" i="44"/>
  <c r="L73" i="44"/>
  <c r="O73" i="44"/>
  <c r="Q73" i="45"/>
  <c r="L73" i="45"/>
  <c r="O73" i="45"/>
  <c r="P73" i="45"/>
  <c r="Q73" i="43"/>
  <c r="L73" i="43"/>
  <c r="O73" i="43"/>
  <c r="P73" i="43"/>
  <c r="L73" i="42"/>
  <c r="O73" i="42"/>
  <c r="L73" i="41"/>
  <c r="O73" i="41"/>
  <c r="L73" i="40"/>
  <c r="Q73" i="40"/>
  <c r="O73" i="40"/>
  <c r="P73" i="40"/>
  <c r="L73" i="35"/>
  <c r="Q73" i="35"/>
  <c r="O73" i="35"/>
  <c r="P73" i="35"/>
  <c r="N32" i="61"/>
  <c r="O32" i="61" s="1"/>
  <c r="P32" i="61" s="1"/>
  <c r="N33" i="61"/>
  <c r="O33" i="61" s="1"/>
  <c r="P33" i="61" s="1"/>
  <c r="U73" i="50"/>
  <c r="I11" i="43"/>
  <c r="W47" i="30"/>
  <c r="U47" i="30" s="1"/>
  <c r="I44" i="40"/>
  <c r="I44" i="41"/>
  <c r="I44" i="42"/>
  <c r="I44" i="43"/>
  <c r="I44" i="45"/>
  <c r="I44" i="44"/>
  <c r="I44" i="46"/>
  <c r="I44" i="47"/>
  <c r="I44" i="48"/>
  <c r="I44" i="49"/>
  <c r="I44" i="51"/>
  <c r="I44" i="50"/>
  <c r="I44" i="52"/>
  <c r="I44" i="53"/>
  <c r="I44" i="54"/>
  <c r="I44" i="55"/>
  <c r="I44" i="56"/>
  <c r="I44" i="38"/>
  <c r="I44" i="35"/>
  <c r="R39" i="40"/>
  <c r="R39" i="41"/>
  <c r="R39" i="42"/>
  <c r="R39" i="43"/>
  <c r="R39" i="45"/>
  <c r="R39" i="44"/>
  <c r="R39" i="46"/>
  <c r="R39" i="47"/>
  <c r="R39" i="48"/>
  <c r="R39" i="49"/>
  <c r="R39" i="51"/>
  <c r="R39" i="50"/>
  <c r="R39" i="52"/>
  <c r="R39" i="53"/>
  <c r="R39" i="54"/>
  <c r="R39" i="55"/>
  <c r="R39" i="56"/>
  <c r="R39" i="38"/>
  <c r="R39" i="35"/>
  <c r="L72" i="52"/>
  <c r="Q72" i="52"/>
  <c r="P72" i="52"/>
  <c r="O72" i="52"/>
  <c r="L72" i="50"/>
  <c r="Q72" i="50"/>
  <c r="P72" i="50"/>
  <c r="M72" i="50"/>
  <c r="O72" i="50"/>
  <c r="Q72" i="38"/>
  <c r="M72" i="38"/>
  <c r="P72" i="38"/>
  <c r="L72" i="38"/>
  <c r="O72" i="38"/>
  <c r="L72" i="56"/>
  <c r="Q72" i="56"/>
  <c r="O72" i="56"/>
  <c r="L72" i="55"/>
  <c r="Q72" i="55"/>
  <c r="O72" i="55"/>
  <c r="L72" i="54"/>
  <c r="Q72" i="54"/>
  <c r="O72" i="54" l="1"/>
  <c r="O72" i="53"/>
  <c r="L72" i="53"/>
  <c r="M72" i="53"/>
  <c r="P72" i="53"/>
  <c r="L72" i="51"/>
  <c r="Q72" i="51"/>
  <c r="M72" i="51"/>
  <c r="P72" i="51"/>
  <c r="O72" i="51"/>
  <c r="N72" i="49"/>
  <c r="Q72" i="49"/>
  <c r="L72" i="49"/>
  <c r="O72" i="49"/>
  <c r="L72" i="48"/>
  <c r="Q72" i="48"/>
  <c r="P72" i="48"/>
  <c r="N72" i="48"/>
  <c r="O72" i="48"/>
  <c r="L72" i="47"/>
  <c r="Q72" i="47"/>
  <c r="P72" i="47"/>
  <c r="M72" i="47"/>
  <c r="N72" i="47"/>
  <c r="O72" i="47"/>
  <c r="L72" i="46"/>
  <c r="Q72" i="46"/>
  <c r="M72" i="46"/>
  <c r="P72" i="46"/>
  <c r="O72" i="46"/>
  <c r="Q72" i="44"/>
  <c r="L72" i="44"/>
  <c r="P72" i="44"/>
  <c r="O72" i="44"/>
  <c r="Q72" i="45"/>
  <c r="L72" i="45"/>
  <c r="M72" i="45"/>
  <c r="O72" i="45"/>
  <c r="Q72" i="43"/>
  <c r="P72" i="43"/>
  <c r="L72" i="43"/>
  <c r="O72" i="43"/>
  <c r="O72" i="42"/>
  <c r="L72" i="42"/>
  <c r="Q72" i="42"/>
  <c r="N72" i="42"/>
  <c r="P72" i="42"/>
  <c r="L72" i="41"/>
  <c r="P72" i="41"/>
  <c r="O72" i="41"/>
  <c r="P72" i="40"/>
  <c r="M72" i="40"/>
  <c r="Q72" i="40"/>
  <c r="L72" i="40"/>
  <c r="O72" i="40"/>
  <c r="L72" i="35"/>
  <c r="Q72" i="35"/>
  <c r="P72" i="35"/>
  <c r="O72" i="35"/>
  <c r="H45" i="40"/>
  <c r="H45" i="41"/>
  <c r="H45" i="42"/>
  <c r="H45" i="43"/>
  <c r="H45" i="45"/>
  <c r="H45" i="44"/>
  <c r="H45" i="46"/>
  <c r="H45" i="47"/>
  <c r="H45" i="48"/>
  <c r="H45" i="49"/>
  <c r="H45" i="51"/>
  <c r="H45" i="50"/>
  <c r="H45" i="52"/>
  <c r="H45" i="53"/>
  <c r="H45" i="54"/>
  <c r="H45" i="55"/>
  <c r="H45" i="56"/>
  <c r="H45" i="38"/>
  <c r="H45" i="35"/>
  <c r="H11" i="43"/>
  <c r="N27" i="61"/>
  <c r="O27" i="61" s="1"/>
  <c r="P27" i="61" s="1"/>
  <c r="N28" i="61"/>
  <c r="O28" i="61" s="1"/>
  <c r="P28" i="61" s="1"/>
  <c r="N29" i="61"/>
  <c r="O29" i="61" s="1"/>
  <c r="P29" i="61" s="1"/>
  <c r="N30" i="61"/>
  <c r="O30" i="61" s="1"/>
  <c r="P30" i="61" s="1"/>
  <c r="N31" i="61"/>
  <c r="O31" i="61" s="1"/>
  <c r="P31" i="61" s="1"/>
  <c r="W46" i="30"/>
  <c r="U46" i="30" s="1"/>
  <c r="M29" i="59"/>
  <c r="M30" i="59" s="1"/>
  <c r="F59" i="59" l="1"/>
  <c r="G56" i="59" l="1"/>
  <c r="G55" i="59"/>
  <c r="G54" i="59"/>
  <c r="G53" i="59"/>
  <c r="G52" i="59"/>
  <c r="G51" i="59"/>
  <c r="G50" i="59"/>
  <c r="G49" i="59"/>
  <c r="G48" i="59"/>
  <c r="G47" i="59"/>
  <c r="G46" i="59"/>
  <c r="G45" i="59"/>
  <c r="G44" i="59"/>
  <c r="G43" i="59"/>
  <c r="G42" i="59"/>
  <c r="G41" i="59"/>
  <c r="G40" i="59"/>
  <c r="G39" i="59"/>
  <c r="G38" i="59"/>
  <c r="G37" i="59"/>
  <c r="F56" i="59"/>
  <c r="F55" i="59"/>
  <c r="F54" i="59"/>
  <c r="F53" i="59"/>
  <c r="F52" i="59"/>
  <c r="F51" i="59"/>
  <c r="F50" i="59"/>
  <c r="F49" i="59"/>
  <c r="F48" i="59"/>
  <c r="F47" i="59"/>
  <c r="F46" i="59"/>
  <c r="F45" i="59"/>
  <c r="F44" i="59"/>
  <c r="F43" i="59"/>
  <c r="F42" i="59"/>
  <c r="F41" i="59"/>
  <c r="F40" i="59"/>
  <c r="F39" i="59"/>
  <c r="F38" i="59"/>
  <c r="F37" i="59"/>
  <c r="I56" i="59" l="1"/>
  <c r="I55" i="59"/>
  <c r="I54" i="59"/>
  <c r="I53" i="59"/>
  <c r="I52" i="59"/>
  <c r="I51" i="59"/>
  <c r="I50" i="59"/>
  <c r="I49" i="59"/>
  <c r="I48" i="59"/>
  <c r="I47" i="59"/>
  <c r="I46" i="59"/>
  <c r="I45" i="59"/>
  <c r="I44" i="59"/>
  <c r="I43" i="59"/>
  <c r="I42" i="59"/>
  <c r="I41" i="59"/>
  <c r="I40" i="59"/>
  <c r="I39" i="59"/>
  <c r="I38" i="59"/>
  <c r="I37" i="59"/>
  <c r="H56" i="59"/>
  <c r="H55" i="59"/>
  <c r="H54" i="59"/>
  <c r="H53" i="59"/>
  <c r="H52" i="59"/>
  <c r="H51" i="59"/>
  <c r="H50" i="59"/>
  <c r="H49" i="59"/>
  <c r="H48" i="59"/>
  <c r="H46" i="59"/>
  <c r="H47" i="59"/>
  <c r="H45" i="59"/>
  <c r="H44" i="59"/>
  <c r="H43" i="59"/>
  <c r="H42" i="59"/>
  <c r="H41" i="59"/>
  <c r="H40" i="59"/>
  <c r="H39" i="59"/>
  <c r="H38" i="59"/>
  <c r="H37" i="59"/>
  <c r="Q71" i="38" l="1"/>
  <c r="L71" i="38"/>
  <c r="O71" i="38"/>
  <c r="N71" i="38"/>
  <c r="O71" i="56"/>
  <c r="L71" i="56"/>
  <c r="L71" i="55"/>
  <c r="O71" i="55"/>
  <c r="Q71" i="55"/>
  <c r="Q71" i="54"/>
  <c r="L71" i="54"/>
  <c r="O71" i="54"/>
  <c r="M71" i="54"/>
  <c r="L71" i="53"/>
  <c r="O71" i="53"/>
  <c r="Q71" i="53"/>
  <c r="M71" i="53"/>
  <c r="L71" i="52"/>
  <c r="Q71" i="52"/>
  <c r="O71" i="52"/>
  <c r="Q71" i="50"/>
  <c r="M71" i="50"/>
  <c r="N71" i="50"/>
  <c r="O71" i="50"/>
  <c r="L71" i="50"/>
  <c r="L71" i="42"/>
  <c r="O71" i="42"/>
  <c r="N71" i="42"/>
  <c r="L71" i="51"/>
  <c r="M71" i="51"/>
  <c r="Q71" i="51"/>
  <c r="O71" i="51"/>
  <c r="Q71" i="49"/>
  <c r="L71" i="49"/>
  <c r="O71" i="49"/>
  <c r="N71" i="49"/>
  <c r="L71" i="48"/>
  <c r="O71" i="48"/>
  <c r="Q71" i="48"/>
  <c r="Q71" i="47" l="1"/>
  <c r="M71" i="47"/>
  <c r="N71" i="47"/>
  <c r="O71" i="47"/>
  <c r="L71" i="47"/>
  <c r="Q71" i="46"/>
  <c r="M71" i="46"/>
  <c r="O71" i="46"/>
  <c r="L71" i="46"/>
  <c r="L71" i="44"/>
  <c r="Q71" i="44"/>
  <c r="O71" i="44"/>
  <c r="L71" i="45"/>
  <c r="Q71" i="45"/>
  <c r="O71" i="45"/>
  <c r="M71" i="45"/>
  <c r="L71" i="43"/>
  <c r="O71" i="43"/>
  <c r="Q71" i="43"/>
  <c r="M71" i="43"/>
  <c r="O71" i="41"/>
  <c r="L71" i="41"/>
  <c r="Q71" i="41"/>
  <c r="L71" i="40"/>
  <c r="Q71" i="40"/>
  <c r="M71" i="40"/>
  <c r="N71" i="40"/>
  <c r="O71" i="40"/>
  <c r="Q71" i="35"/>
  <c r="L71" i="35"/>
  <c r="O71" i="35"/>
  <c r="G44" i="40" l="1"/>
  <c r="G44" i="41"/>
  <c r="G44" i="42"/>
  <c r="G44" i="43"/>
  <c r="G44" i="45"/>
  <c r="G44" i="44"/>
  <c r="G44" i="46"/>
  <c r="G44" i="47"/>
  <c r="G44" i="48"/>
  <c r="G44" i="49"/>
  <c r="G44" i="51"/>
  <c r="G44" i="50"/>
  <c r="G44" i="52"/>
  <c r="G44" i="53"/>
  <c r="G44" i="54"/>
  <c r="G44" i="55"/>
  <c r="G44" i="56"/>
  <c r="G44" i="38"/>
  <c r="G44" i="35"/>
  <c r="G11" i="43"/>
  <c r="N21" i="61"/>
  <c r="O21" i="61" s="1"/>
  <c r="P21" i="61" s="1"/>
  <c r="N22" i="61"/>
  <c r="O22" i="61" s="1"/>
  <c r="P22" i="61" s="1"/>
  <c r="N23" i="61"/>
  <c r="O23" i="61" s="1"/>
  <c r="P23" i="61" s="1"/>
  <c r="N24" i="61"/>
  <c r="O24" i="61" s="1"/>
  <c r="P24" i="61" s="1"/>
  <c r="N25" i="61"/>
  <c r="O25" i="61" s="1"/>
  <c r="P25" i="61" s="1"/>
  <c r="N26" i="61"/>
  <c r="O26" i="61" s="1"/>
  <c r="P26" i="61" s="1"/>
  <c r="W45" i="30"/>
  <c r="U45" i="30" s="1"/>
  <c r="Q70" i="38" l="1"/>
  <c r="P70" i="38"/>
  <c r="O70" i="38"/>
  <c r="L70" i="38"/>
  <c r="N70" i="38"/>
  <c r="J70" i="38"/>
  <c r="O70" i="56"/>
  <c r="L70" i="56"/>
  <c r="Q70" i="56"/>
  <c r="L70" i="55"/>
  <c r="O70" i="55"/>
  <c r="P70" i="55"/>
  <c r="L70" i="54"/>
  <c r="O70" i="54"/>
  <c r="Q70" i="54"/>
  <c r="P70" i="54"/>
  <c r="L70" i="53"/>
  <c r="O70" i="53"/>
  <c r="Q70" i="53"/>
  <c r="P70" i="53"/>
  <c r="L70" i="52"/>
  <c r="Q70" i="52"/>
  <c r="O70" i="52"/>
  <c r="P70" i="52"/>
  <c r="O70" i="50"/>
  <c r="P70" i="50"/>
  <c r="L70" i="50"/>
  <c r="Q70" i="50"/>
  <c r="N70" i="50"/>
  <c r="L70" i="51"/>
  <c r="O70" i="51"/>
  <c r="P70" i="51"/>
  <c r="Q70" i="49"/>
  <c r="L70" i="49"/>
  <c r="O70" i="49"/>
  <c r="N70" i="49"/>
  <c r="Q70" i="48"/>
  <c r="L70" i="48"/>
  <c r="O70" i="48"/>
  <c r="Q70" i="47"/>
  <c r="L70" i="47"/>
  <c r="N70" i="47"/>
  <c r="P70" i="47"/>
  <c r="O70" i="47"/>
  <c r="L70" i="46"/>
  <c r="O70" i="46"/>
  <c r="Q70" i="46"/>
  <c r="P70" i="46"/>
  <c r="L70" i="44" l="1"/>
  <c r="P70" i="44"/>
  <c r="O70" i="44"/>
  <c r="Q70" i="44"/>
  <c r="L70" i="45"/>
  <c r="Q70" i="45"/>
  <c r="P70" i="45"/>
  <c r="O70" i="45"/>
  <c r="Q70" i="43"/>
  <c r="L70" i="43"/>
  <c r="O70" i="43"/>
  <c r="L70" i="40"/>
  <c r="Q70" i="40"/>
  <c r="O70" i="40"/>
  <c r="P70" i="40"/>
  <c r="N70" i="40"/>
  <c r="L70" i="35"/>
  <c r="Q70" i="35"/>
  <c r="P70" i="35"/>
  <c r="O70" i="35"/>
  <c r="L70" i="42"/>
  <c r="N70" i="42"/>
  <c r="O70" i="42"/>
  <c r="L70" i="41"/>
  <c r="O70" i="41"/>
  <c r="F57" i="38" l="1"/>
  <c r="F57" i="45"/>
  <c r="F11" i="43"/>
  <c r="N13" i="61"/>
  <c r="O13" i="61" s="1"/>
  <c r="P13" i="61" s="1"/>
  <c r="N14" i="61"/>
  <c r="O14" i="61" s="1"/>
  <c r="P14" i="61" s="1"/>
  <c r="N15" i="61"/>
  <c r="O15" i="61" s="1"/>
  <c r="P15" i="61" s="1"/>
  <c r="N16" i="61"/>
  <c r="O16" i="61" s="1"/>
  <c r="P16" i="61" s="1"/>
  <c r="N17" i="61"/>
  <c r="O17" i="61" s="1"/>
  <c r="P17" i="61" s="1"/>
  <c r="N18" i="61"/>
  <c r="O18" i="61" s="1"/>
  <c r="P18" i="61" s="1"/>
  <c r="N19" i="61"/>
  <c r="O19" i="61" s="1"/>
  <c r="P19" i="61" s="1"/>
  <c r="N20" i="61"/>
  <c r="O20" i="61" s="1"/>
  <c r="P20" i="61" s="1"/>
  <c r="W44" i="30"/>
  <c r="U44" i="30" s="1"/>
  <c r="U68" i="35"/>
  <c r="L69" i="38" l="1"/>
  <c r="Q69" i="38"/>
  <c r="O69" i="38"/>
  <c r="P69" i="38"/>
  <c r="N69" i="38"/>
  <c r="Q69" i="56"/>
  <c r="O69" i="56"/>
  <c r="L69" i="55"/>
  <c r="Q69" i="55"/>
  <c r="O69" i="55"/>
  <c r="P69" i="55"/>
  <c r="Q69" i="54"/>
  <c r="L69" i="54"/>
  <c r="O69" i="54"/>
  <c r="P69" i="54"/>
  <c r="N69" i="54"/>
  <c r="L69" i="53"/>
  <c r="Q69" i="53"/>
  <c r="N69" i="53"/>
  <c r="O69" i="53"/>
  <c r="P69" i="53"/>
  <c r="O69" i="52"/>
  <c r="Q69" i="52"/>
  <c r="L69" i="52"/>
  <c r="L69" i="50"/>
  <c r="Q69" i="50"/>
  <c r="O69" i="50"/>
  <c r="P69" i="50"/>
  <c r="N69" i="50"/>
  <c r="J69" i="50"/>
  <c r="L69" i="51"/>
  <c r="Q69" i="51"/>
  <c r="O69" i="51"/>
  <c r="P69" i="51"/>
  <c r="Q69" i="49"/>
  <c r="L69" i="49"/>
  <c r="O69" i="49"/>
  <c r="N69" i="49"/>
  <c r="L69" i="48"/>
  <c r="Q69" i="48"/>
  <c r="O69" i="48"/>
  <c r="N69" i="48"/>
  <c r="L69" i="47"/>
  <c r="Q69" i="47"/>
  <c r="O69" i="47"/>
  <c r="N69" i="47"/>
  <c r="P69" i="47"/>
  <c r="L69" i="46"/>
  <c r="Q69" i="46"/>
  <c r="N69" i="46"/>
  <c r="P69" i="46"/>
  <c r="O69" i="46"/>
  <c r="L69" i="45"/>
  <c r="O69" i="45"/>
  <c r="P69" i="45"/>
  <c r="L69" i="44"/>
  <c r="Q69" i="44"/>
  <c r="O69" i="44"/>
  <c r="P69" i="44"/>
  <c r="L69" i="43"/>
  <c r="O69" i="43"/>
  <c r="Q69" i="43"/>
  <c r="L69" i="42"/>
  <c r="O69" i="42"/>
  <c r="N69" i="42"/>
  <c r="L69" i="41"/>
  <c r="Q69" i="41"/>
  <c r="O69" i="41"/>
  <c r="L69" i="40"/>
  <c r="Q69" i="40"/>
  <c r="P69" i="40"/>
  <c r="N69" i="40"/>
  <c r="O69" i="40"/>
  <c r="L69" i="35"/>
  <c r="Q69" i="35"/>
  <c r="P69" i="35"/>
  <c r="O69" i="35"/>
  <c r="E11" i="43" l="1"/>
  <c r="W43" i="30"/>
  <c r="U43" i="30" s="1"/>
  <c r="W42" i="30"/>
  <c r="U42" i="30" s="1"/>
  <c r="U41" i="30"/>
  <c r="U31" i="30"/>
  <c r="U32" i="30"/>
  <c r="U33" i="30"/>
  <c r="U34" i="30"/>
  <c r="U35" i="30"/>
  <c r="U36" i="30"/>
  <c r="U37" i="30"/>
  <c r="U38" i="30"/>
  <c r="U39" i="30"/>
  <c r="U40" i="30"/>
  <c r="U30" i="30"/>
  <c r="U25" i="30"/>
  <c r="W19" i="30"/>
  <c r="U19" i="30" s="1"/>
  <c r="W20" i="30"/>
  <c r="U20" i="30" s="1"/>
  <c r="W21" i="30"/>
  <c r="U21" i="30" s="1"/>
  <c r="W22" i="30"/>
  <c r="U22" i="30" s="1"/>
  <c r="Z34" i="30" s="1"/>
  <c r="W23" i="30"/>
  <c r="U23" i="30" s="1"/>
  <c r="W24" i="30"/>
  <c r="U24" i="30" s="1"/>
  <c r="W25" i="30"/>
  <c r="W26" i="30"/>
  <c r="U26" i="30" s="1"/>
  <c r="W27" i="30"/>
  <c r="U27" i="30" s="1"/>
  <c r="W28" i="30"/>
  <c r="U28" i="30" s="1"/>
  <c r="W29" i="30"/>
  <c r="U29" i="30" s="1"/>
  <c r="W18" i="30"/>
  <c r="U18" i="30" s="1"/>
  <c r="AC38" i="30" l="1"/>
  <c r="D11" i="43"/>
  <c r="L68" i="38"/>
  <c r="O68" i="38"/>
  <c r="N68" i="38"/>
  <c r="O68" i="56"/>
  <c r="L68" i="55"/>
  <c r="O68" i="55"/>
  <c r="Q68" i="55"/>
  <c r="P68" i="55"/>
  <c r="L68" i="54"/>
  <c r="O68" i="54"/>
  <c r="Q68" i="54"/>
  <c r="N68" i="54"/>
  <c r="L68" i="53"/>
  <c r="O68" i="53"/>
  <c r="Q68" i="53"/>
  <c r="P68" i="53"/>
  <c r="L68" i="52"/>
  <c r="O68" i="52"/>
  <c r="Q68" i="52"/>
  <c r="L68" i="50"/>
  <c r="Q68" i="50"/>
  <c r="O68" i="50"/>
  <c r="P68" i="50"/>
  <c r="N68" i="50"/>
  <c r="L68" i="51"/>
  <c r="O68" i="51"/>
  <c r="P68" i="51"/>
  <c r="L68" i="49"/>
  <c r="O68" i="49"/>
  <c r="Q68" i="49"/>
  <c r="N68" i="49"/>
  <c r="Q68" i="48"/>
  <c r="O68" i="48"/>
  <c r="L68" i="48"/>
  <c r="P68" i="48"/>
  <c r="L68" i="47"/>
  <c r="Q68" i="47"/>
  <c r="O68" i="47"/>
  <c r="P68" i="47"/>
  <c r="N68" i="47"/>
  <c r="L68" i="46"/>
  <c r="Q68" i="46"/>
  <c r="O68" i="46"/>
  <c r="P68" i="46"/>
  <c r="L68" i="44"/>
  <c r="O68" i="44"/>
  <c r="Q68" i="44"/>
  <c r="P68" i="44"/>
  <c r="Q68" i="45"/>
  <c r="L68" i="45"/>
  <c r="P68" i="45"/>
  <c r="L68" i="43"/>
  <c r="Q68" i="43"/>
  <c r="O68" i="43"/>
  <c r="P68" i="43"/>
  <c r="O68" i="41"/>
  <c r="L68" i="41"/>
  <c r="L68" i="40"/>
  <c r="Q68" i="40"/>
  <c r="P68" i="40"/>
  <c r="N68" i="40"/>
  <c r="O68" i="40"/>
  <c r="P68" i="35"/>
  <c r="Q68" i="35"/>
  <c r="L68" i="35"/>
  <c r="O68" i="35"/>
  <c r="F80" i="56" l="1"/>
  <c r="E80" i="44"/>
  <c r="N10" i="1"/>
  <c r="N11" i="1"/>
  <c r="N12" i="1"/>
  <c r="N13" i="1"/>
  <c r="N14" i="1"/>
  <c r="N15" i="1"/>
  <c r="N16" i="1"/>
  <c r="N17" i="1"/>
  <c r="N18" i="1"/>
  <c r="N19" i="1"/>
  <c r="N20" i="1"/>
  <c r="N21" i="1"/>
  <c r="K97" i="47"/>
  <c r="K97" i="46"/>
  <c r="J77" i="44"/>
  <c r="J97" i="46" l="1"/>
  <c r="H97" i="46"/>
  <c r="G97" i="46"/>
  <c r="F97" i="46"/>
  <c r="E97" i="46"/>
  <c r="D97" i="46"/>
  <c r="I96" i="46"/>
  <c r="I95" i="46"/>
  <c r="I94" i="46"/>
  <c r="I93" i="46"/>
  <c r="I92" i="46"/>
  <c r="I91" i="46"/>
  <c r="I90" i="46"/>
  <c r="I89" i="46"/>
  <c r="I88" i="46"/>
  <c r="I87" i="46"/>
  <c r="I86" i="46"/>
  <c r="I85" i="46"/>
  <c r="I97" i="46" l="1"/>
  <c r="J97" i="47" l="1"/>
  <c r="N12" i="61" l="1"/>
  <c r="O12" i="61" s="1"/>
  <c r="P12" i="61" s="1"/>
  <c r="N9" i="61"/>
  <c r="N10" i="61"/>
  <c r="O10" i="61" s="1"/>
  <c r="P10" i="61" s="1"/>
  <c r="N5" i="28"/>
  <c r="O9" i="61" l="1"/>
  <c r="P9" i="61" l="1"/>
  <c r="I85" i="47"/>
  <c r="H97" i="47"/>
  <c r="G97" i="47"/>
  <c r="F97" i="47"/>
  <c r="E97" i="47"/>
  <c r="D97" i="47"/>
  <c r="I96" i="47"/>
  <c r="I95" i="47"/>
  <c r="I94" i="47"/>
  <c r="I93" i="47"/>
  <c r="I92" i="47"/>
  <c r="I91" i="47"/>
  <c r="I90" i="47"/>
  <c r="I89" i="47"/>
  <c r="I88" i="47"/>
  <c r="I87" i="47"/>
  <c r="I86" i="47"/>
  <c r="M50" i="61"/>
  <c r="T17" i="28" l="1"/>
  <c r="I97" i="47"/>
  <c r="J69" i="46"/>
  <c r="C12" i="30" l="1"/>
  <c r="C7" i="30" l="1"/>
  <c r="Z29" i="30"/>
  <c r="J96" i="51" l="1"/>
  <c r="J86" i="51"/>
  <c r="J87" i="51"/>
  <c r="J88" i="51"/>
  <c r="J89" i="51"/>
  <c r="J90" i="51"/>
  <c r="J91" i="51"/>
  <c r="J92" i="51"/>
  <c r="J93" i="51"/>
  <c r="J94" i="51"/>
  <c r="J95" i="51"/>
  <c r="J85" i="51"/>
  <c r="K97" i="51"/>
  <c r="H97" i="51"/>
  <c r="G97" i="51"/>
  <c r="F97" i="51"/>
  <c r="E97" i="51"/>
  <c r="D97" i="51"/>
  <c r="G98" i="48"/>
  <c r="I97" i="51" l="1"/>
  <c r="J97" i="51"/>
  <c r="D12" i="30"/>
  <c r="D10" i="30" s="1"/>
  <c r="Z30" i="30" l="1"/>
  <c r="C15" i="30"/>
  <c r="F8" i="30" l="1"/>
  <c r="F11" i="30"/>
  <c r="D11" i="30"/>
  <c r="C10" i="30"/>
  <c r="C11" i="30"/>
  <c r="D80" i="35" l="1"/>
  <c r="H80" i="35"/>
  <c r="K3" i="30" l="1"/>
  <c r="N11" i="61" l="1"/>
  <c r="N50" i="61" s="1"/>
  <c r="L495" i="61" l="1"/>
  <c r="F495" i="61"/>
  <c r="C495" i="61"/>
  <c r="B495" i="61"/>
  <c r="L494" i="61"/>
  <c r="F494" i="61"/>
  <c r="C494" i="61"/>
  <c r="B494" i="61"/>
  <c r="L493" i="61"/>
  <c r="F493" i="61"/>
  <c r="C493" i="61"/>
  <c r="B493" i="61"/>
  <c r="L492" i="61"/>
  <c r="F492" i="61"/>
  <c r="C492" i="61"/>
  <c r="B492" i="61"/>
  <c r="L491" i="61"/>
  <c r="F491" i="61"/>
  <c r="C491" i="61"/>
  <c r="B491" i="61"/>
  <c r="L490" i="61"/>
  <c r="F490" i="61"/>
  <c r="C490" i="61"/>
  <c r="B490" i="61"/>
  <c r="L489" i="61"/>
  <c r="F489" i="61"/>
  <c r="C489" i="61"/>
  <c r="B489" i="61"/>
  <c r="L488" i="61"/>
  <c r="F488" i="61"/>
  <c r="C488" i="61"/>
  <c r="B488" i="61"/>
  <c r="M488" i="61" s="1"/>
  <c r="L487" i="61"/>
  <c r="F487" i="61"/>
  <c r="C487" i="61"/>
  <c r="B487" i="61"/>
  <c r="L486" i="61"/>
  <c r="F486" i="61"/>
  <c r="C486" i="61"/>
  <c r="B486" i="61"/>
  <c r="L485" i="61"/>
  <c r="F485" i="61"/>
  <c r="C485" i="61"/>
  <c r="B485" i="61"/>
  <c r="L484" i="61"/>
  <c r="F484" i="61"/>
  <c r="C484" i="61"/>
  <c r="B484" i="61"/>
  <c r="L483" i="61"/>
  <c r="F483" i="61"/>
  <c r="C483" i="61"/>
  <c r="B483" i="61"/>
  <c r="L482" i="61"/>
  <c r="F482" i="61"/>
  <c r="C482" i="61"/>
  <c r="B482" i="61"/>
  <c r="L481" i="61"/>
  <c r="F481" i="61"/>
  <c r="C481" i="61"/>
  <c r="B481" i="61"/>
  <c r="L480" i="61"/>
  <c r="F480" i="61"/>
  <c r="C480" i="61"/>
  <c r="B480" i="61"/>
  <c r="M480" i="61" s="1"/>
  <c r="L479" i="61"/>
  <c r="F479" i="61"/>
  <c r="C479" i="61"/>
  <c r="B479" i="61"/>
  <c r="L478" i="61"/>
  <c r="F478" i="61"/>
  <c r="C478" i="61"/>
  <c r="B478" i="61"/>
  <c r="L477" i="61"/>
  <c r="F477" i="61"/>
  <c r="C477" i="61"/>
  <c r="B477" i="61"/>
  <c r="M477" i="61" s="1"/>
  <c r="L476" i="61"/>
  <c r="F476" i="61"/>
  <c r="C476" i="61"/>
  <c r="B476" i="61"/>
  <c r="L475" i="61"/>
  <c r="F475" i="61"/>
  <c r="C475" i="61"/>
  <c r="B475" i="61"/>
  <c r="L474" i="61"/>
  <c r="F474" i="61"/>
  <c r="C474" i="61"/>
  <c r="B474" i="61"/>
  <c r="L473" i="61"/>
  <c r="F473" i="61"/>
  <c r="C473" i="61"/>
  <c r="B473" i="61"/>
  <c r="L472" i="61"/>
  <c r="F472" i="61"/>
  <c r="C472" i="61"/>
  <c r="B472" i="61"/>
  <c r="M472" i="61" s="1"/>
  <c r="L471" i="61"/>
  <c r="F471" i="61"/>
  <c r="C471" i="61"/>
  <c r="B471" i="61"/>
  <c r="L470" i="61"/>
  <c r="F470" i="61"/>
  <c r="C470" i="61"/>
  <c r="B470" i="61"/>
  <c r="L469" i="61"/>
  <c r="F469" i="61"/>
  <c r="C469" i="61"/>
  <c r="B469" i="61"/>
  <c r="L468" i="61"/>
  <c r="F468" i="61"/>
  <c r="C468" i="61"/>
  <c r="B468" i="61"/>
  <c r="L467" i="61"/>
  <c r="F467" i="61"/>
  <c r="C467" i="61"/>
  <c r="B467" i="61"/>
  <c r="L466" i="61"/>
  <c r="F466" i="61"/>
  <c r="C466" i="61"/>
  <c r="B466" i="61"/>
  <c r="L465" i="61"/>
  <c r="F465" i="61"/>
  <c r="C465" i="61"/>
  <c r="B465" i="61"/>
  <c r="L464" i="61"/>
  <c r="F464" i="61"/>
  <c r="C464" i="61"/>
  <c r="B464" i="61"/>
  <c r="M464" i="61" s="1"/>
  <c r="L463" i="61"/>
  <c r="F463" i="61"/>
  <c r="C463" i="61"/>
  <c r="B463" i="61"/>
  <c r="L462" i="61"/>
  <c r="F462" i="61"/>
  <c r="C462" i="61"/>
  <c r="B462" i="61"/>
  <c r="L461" i="61"/>
  <c r="F461" i="61"/>
  <c r="C461" i="61"/>
  <c r="B461" i="61"/>
  <c r="L460" i="61"/>
  <c r="F460" i="61"/>
  <c r="C460" i="61"/>
  <c r="B460" i="61"/>
  <c r="L459" i="61"/>
  <c r="F459" i="61"/>
  <c r="C459" i="61"/>
  <c r="B459" i="61"/>
  <c r="L458" i="61"/>
  <c r="F458" i="61"/>
  <c r="C458" i="61"/>
  <c r="B458" i="61"/>
  <c r="L457" i="61"/>
  <c r="F457" i="61"/>
  <c r="C457" i="61"/>
  <c r="B457" i="61"/>
  <c r="L456" i="61"/>
  <c r="F456" i="61"/>
  <c r="C456" i="61"/>
  <c r="B456" i="61"/>
  <c r="M456" i="61" s="1"/>
  <c r="L455" i="61"/>
  <c r="F455" i="61"/>
  <c r="C455" i="61"/>
  <c r="B455" i="61"/>
  <c r="L454" i="61"/>
  <c r="F454" i="61"/>
  <c r="C454" i="61"/>
  <c r="B454" i="61"/>
  <c r="L453" i="61"/>
  <c r="F453" i="61"/>
  <c r="C453" i="61"/>
  <c r="B453" i="61"/>
  <c r="L452" i="61"/>
  <c r="F452" i="61"/>
  <c r="C452" i="61"/>
  <c r="B452" i="61"/>
  <c r="L451" i="61"/>
  <c r="F451" i="61"/>
  <c r="C451" i="61"/>
  <c r="B451" i="61"/>
  <c r="L450" i="61"/>
  <c r="F450" i="61"/>
  <c r="C450" i="61"/>
  <c r="B450" i="61"/>
  <c r="L449" i="61"/>
  <c r="F449" i="61"/>
  <c r="C449" i="61"/>
  <c r="B449" i="61"/>
  <c r="L448" i="61"/>
  <c r="F448" i="61"/>
  <c r="C448" i="61"/>
  <c r="B448" i="61"/>
  <c r="M448" i="61" s="1"/>
  <c r="L447" i="61"/>
  <c r="F447" i="61"/>
  <c r="C447" i="61"/>
  <c r="B447" i="61"/>
  <c r="L446" i="61"/>
  <c r="F446" i="61"/>
  <c r="C446" i="61"/>
  <c r="B446" i="61"/>
  <c r="L445" i="61"/>
  <c r="F445" i="61"/>
  <c r="C445" i="61"/>
  <c r="B445" i="61"/>
  <c r="L444" i="61"/>
  <c r="F444" i="61"/>
  <c r="C444" i="61"/>
  <c r="B444" i="61"/>
  <c r="M444" i="61" s="1"/>
  <c r="L443" i="61"/>
  <c r="F443" i="61"/>
  <c r="C443" i="61"/>
  <c r="B443" i="61"/>
  <c r="L442" i="61"/>
  <c r="F442" i="61"/>
  <c r="C442" i="61"/>
  <c r="B442" i="61"/>
  <c r="L441" i="61"/>
  <c r="F441" i="61"/>
  <c r="C441" i="61"/>
  <c r="B441" i="61"/>
  <c r="L440" i="61"/>
  <c r="F440" i="61"/>
  <c r="C440" i="61"/>
  <c r="B440" i="61"/>
  <c r="M440" i="61" s="1"/>
  <c r="L439" i="61"/>
  <c r="F439" i="61"/>
  <c r="C439" i="61"/>
  <c r="B439" i="61"/>
  <c r="L438" i="61"/>
  <c r="F438" i="61"/>
  <c r="C438" i="61"/>
  <c r="B438" i="61"/>
  <c r="L437" i="61"/>
  <c r="F437" i="61"/>
  <c r="C437" i="61"/>
  <c r="B437" i="61"/>
  <c r="L436" i="61"/>
  <c r="F436" i="61"/>
  <c r="C436" i="61"/>
  <c r="B436" i="61"/>
  <c r="L435" i="61"/>
  <c r="F435" i="61"/>
  <c r="C435" i="61"/>
  <c r="B435" i="61"/>
  <c r="L434" i="61"/>
  <c r="F434" i="61"/>
  <c r="C434" i="61"/>
  <c r="B434" i="61"/>
  <c r="L433" i="61"/>
  <c r="F433" i="61"/>
  <c r="C433" i="61"/>
  <c r="B433" i="61"/>
  <c r="L432" i="61"/>
  <c r="F432" i="61"/>
  <c r="C432" i="61"/>
  <c r="B432" i="61"/>
  <c r="M432" i="61" s="1"/>
  <c r="L431" i="61"/>
  <c r="F431" i="61"/>
  <c r="C431" i="61"/>
  <c r="B431" i="61"/>
  <c r="L430" i="61"/>
  <c r="F430" i="61"/>
  <c r="C430" i="61"/>
  <c r="B430" i="61"/>
  <c r="L429" i="61"/>
  <c r="F429" i="61"/>
  <c r="C429" i="61"/>
  <c r="B429" i="61"/>
  <c r="L428" i="61"/>
  <c r="F428" i="61"/>
  <c r="C428" i="61"/>
  <c r="B428" i="61"/>
  <c r="M428" i="61" s="1"/>
  <c r="L427" i="61"/>
  <c r="F427" i="61"/>
  <c r="C427" i="61"/>
  <c r="B427" i="61"/>
  <c r="L426" i="61"/>
  <c r="F426" i="61"/>
  <c r="C426" i="61"/>
  <c r="B426" i="61"/>
  <c r="L425" i="61"/>
  <c r="F425" i="61"/>
  <c r="C425" i="61"/>
  <c r="B425" i="61"/>
  <c r="L424" i="61"/>
  <c r="F424" i="61"/>
  <c r="C424" i="61"/>
  <c r="B424" i="61"/>
  <c r="M424" i="61" s="1"/>
  <c r="L423" i="61"/>
  <c r="F423" i="61"/>
  <c r="C423" i="61"/>
  <c r="B423" i="61"/>
  <c r="L422" i="61"/>
  <c r="F422" i="61"/>
  <c r="C422" i="61"/>
  <c r="B422" i="61"/>
  <c r="L421" i="61"/>
  <c r="F421" i="61"/>
  <c r="C421" i="61"/>
  <c r="B421" i="61"/>
  <c r="L420" i="61"/>
  <c r="F420" i="61"/>
  <c r="C420" i="61"/>
  <c r="B420" i="61"/>
  <c r="L419" i="61"/>
  <c r="F419" i="61"/>
  <c r="C419" i="61"/>
  <c r="B419" i="61"/>
  <c r="L418" i="61"/>
  <c r="F418" i="61"/>
  <c r="C418" i="61"/>
  <c r="B418" i="61"/>
  <c r="L417" i="61"/>
  <c r="F417" i="61"/>
  <c r="C417" i="61"/>
  <c r="B417" i="61"/>
  <c r="L416" i="61"/>
  <c r="F416" i="61"/>
  <c r="C416" i="61"/>
  <c r="B416" i="61"/>
  <c r="M416" i="61" s="1"/>
  <c r="L415" i="61"/>
  <c r="F415" i="61"/>
  <c r="C415" i="61"/>
  <c r="B415" i="61"/>
  <c r="L414" i="61"/>
  <c r="F414" i="61"/>
  <c r="C414" i="61"/>
  <c r="B414" i="61"/>
  <c r="L413" i="61"/>
  <c r="F413" i="61"/>
  <c r="C413" i="61"/>
  <c r="B413" i="61"/>
  <c r="L412" i="61"/>
  <c r="F412" i="61"/>
  <c r="C412" i="61"/>
  <c r="B412" i="61"/>
  <c r="L411" i="61"/>
  <c r="F411" i="61"/>
  <c r="C411" i="61"/>
  <c r="B411" i="61"/>
  <c r="L410" i="61"/>
  <c r="F410" i="61"/>
  <c r="C410" i="61"/>
  <c r="B410" i="61"/>
  <c r="L409" i="61"/>
  <c r="F409" i="61"/>
  <c r="C409" i="61"/>
  <c r="B409" i="61"/>
  <c r="L408" i="61"/>
  <c r="F408" i="61"/>
  <c r="C408" i="61"/>
  <c r="B408" i="61"/>
  <c r="L407" i="61"/>
  <c r="F407" i="61"/>
  <c r="C407" i="61"/>
  <c r="B407" i="61"/>
  <c r="L406" i="61"/>
  <c r="F406" i="61"/>
  <c r="C406" i="61"/>
  <c r="B406" i="61"/>
  <c r="L405" i="61"/>
  <c r="F405" i="61"/>
  <c r="C405" i="61"/>
  <c r="B405" i="61"/>
  <c r="L404" i="61"/>
  <c r="F404" i="61"/>
  <c r="C404" i="61"/>
  <c r="B404" i="61"/>
  <c r="L403" i="61"/>
  <c r="F403" i="61"/>
  <c r="C403" i="61"/>
  <c r="B403" i="61"/>
  <c r="L402" i="61"/>
  <c r="F402" i="61"/>
  <c r="C402" i="61"/>
  <c r="B402" i="61"/>
  <c r="L401" i="61"/>
  <c r="F401" i="61"/>
  <c r="C401" i="61"/>
  <c r="B401" i="61"/>
  <c r="L400" i="61"/>
  <c r="F400" i="61"/>
  <c r="C400" i="61"/>
  <c r="B400" i="61"/>
  <c r="L399" i="61"/>
  <c r="F399" i="61"/>
  <c r="C399" i="61"/>
  <c r="B399" i="61"/>
  <c r="L398" i="61"/>
  <c r="F398" i="61"/>
  <c r="C398" i="61"/>
  <c r="B398" i="61"/>
  <c r="L397" i="61"/>
  <c r="F397" i="61"/>
  <c r="C397" i="61"/>
  <c r="B397" i="61"/>
  <c r="L396" i="61"/>
  <c r="F396" i="61"/>
  <c r="C396" i="61"/>
  <c r="B396" i="61"/>
  <c r="M396" i="61" s="1"/>
  <c r="L395" i="61"/>
  <c r="F395" i="61"/>
  <c r="C395" i="61"/>
  <c r="B395" i="61"/>
  <c r="L394" i="61"/>
  <c r="F394" i="61"/>
  <c r="C394" i="61"/>
  <c r="B394" i="61"/>
  <c r="L393" i="61"/>
  <c r="F393" i="61"/>
  <c r="C393" i="61"/>
  <c r="B393" i="61"/>
  <c r="L392" i="61"/>
  <c r="F392" i="61"/>
  <c r="C392" i="61"/>
  <c r="B392" i="61"/>
  <c r="M392" i="61" s="1"/>
  <c r="L391" i="61"/>
  <c r="F391" i="61"/>
  <c r="C391" i="61"/>
  <c r="B391" i="61"/>
  <c r="L390" i="61"/>
  <c r="F390" i="61"/>
  <c r="C390" i="61"/>
  <c r="B390" i="61"/>
  <c r="L389" i="61"/>
  <c r="F389" i="61"/>
  <c r="C389" i="61"/>
  <c r="B389" i="61"/>
  <c r="M389" i="61" s="1"/>
  <c r="L388" i="61"/>
  <c r="F388" i="61"/>
  <c r="C388" i="61"/>
  <c r="B388" i="61"/>
  <c r="M388" i="61" s="1"/>
  <c r="L387" i="61"/>
  <c r="F387" i="61"/>
  <c r="C387" i="61"/>
  <c r="B387" i="61"/>
  <c r="L386" i="61"/>
  <c r="F386" i="61"/>
  <c r="C386" i="61"/>
  <c r="B386" i="61"/>
  <c r="L385" i="61"/>
  <c r="F385" i="61"/>
  <c r="C385" i="61"/>
  <c r="B385" i="61"/>
  <c r="L384" i="61"/>
  <c r="F384" i="61"/>
  <c r="C384" i="61"/>
  <c r="B384" i="61"/>
  <c r="L383" i="61"/>
  <c r="F383" i="61"/>
  <c r="C383" i="61"/>
  <c r="B383" i="61"/>
  <c r="L382" i="61"/>
  <c r="F382" i="61"/>
  <c r="C382" i="61"/>
  <c r="B382" i="61"/>
  <c r="L381" i="61"/>
  <c r="F381" i="61"/>
  <c r="C381" i="61"/>
  <c r="B381" i="61"/>
  <c r="M381" i="61" s="1"/>
  <c r="M380" i="61"/>
  <c r="M379" i="61"/>
  <c r="N379" i="61" s="1"/>
  <c r="O379" i="61" s="1"/>
  <c r="P379" i="61" s="1"/>
  <c r="M376" i="61"/>
  <c r="N376" i="61" s="1"/>
  <c r="O376" i="61" s="1"/>
  <c r="P376" i="61" s="1"/>
  <c r="M374" i="61"/>
  <c r="M373" i="61"/>
  <c r="M372" i="61"/>
  <c r="M368" i="61"/>
  <c r="M366" i="61"/>
  <c r="M365" i="61"/>
  <c r="M364" i="61"/>
  <c r="M360" i="61"/>
  <c r="N360" i="61" s="1"/>
  <c r="O360" i="61" s="1"/>
  <c r="P360" i="61" s="1"/>
  <c r="M358" i="61"/>
  <c r="M357" i="61"/>
  <c r="M356" i="61"/>
  <c r="M355" i="61"/>
  <c r="M354" i="61"/>
  <c r="M352" i="61"/>
  <c r="M349" i="61"/>
  <c r="N349" i="61" s="1"/>
  <c r="O349" i="61" s="1"/>
  <c r="P349" i="61" s="1"/>
  <c r="M345" i="61"/>
  <c r="M344" i="61"/>
  <c r="M337" i="61"/>
  <c r="M333" i="61"/>
  <c r="M329" i="61"/>
  <c r="M328" i="61"/>
  <c r="M323" i="61"/>
  <c r="M322" i="61"/>
  <c r="M321" i="61"/>
  <c r="M320" i="61"/>
  <c r="N320" i="61" s="1"/>
  <c r="O320" i="61" s="1"/>
  <c r="P320" i="61" s="1"/>
  <c r="M319" i="61"/>
  <c r="M315" i="61"/>
  <c r="M313" i="61"/>
  <c r="M312" i="61"/>
  <c r="M307" i="61"/>
  <c r="M306" i="61"/>
  <c r="M305" i="61"/>
  <c r="M304" i="61"/>
  <c r="M303" i="61"/>
  <c r="M299" i="61"/>
  <c r="M298" i="61"/>
  <c r="M297" i="61"/>
  <c r="M296" i="61"/>
  <c r="M295" i="61"/>
  <c r="M291" i="61"/>
  <c r="M290" i="61"/>
  <c r="M289" i="61"/>
  <c r="M288" i="61"/>
  <c r="M287" i="61"/>
  <c r="M283" i="61"/>
  <c r="M282" i="61"/>
  <c r="M281" i="61"/>
  <c r="M280" i="61"/>
  <c r="M279" i="61"/>
  <c r="M275" i="61"/>
  <c r="M274" i="61"/>
  <c r="M272" i="61"/>
  <c r="M271" i="61"/>
  <c r="M267" i="61"/>
  <c r="M266" i="61"/>
  <c r="M259" i="61"/>
  <c r="N259" i="61" s="1"/>
  <c r="O259" i="61" s="1"/>
  <c r="P259" i="61" s="1"/>
  <c r="M258" i="61"/>
  <c r="M257" i="61"/>
  <c r="M256" i="61"/>
  <c r="M255" i="61"/>
  <c r="M251" i="61"/>
  <c r="N251" i="61" s="1"/>
  <c r="O251" i="61" s="1"/>
  <c r="P251" i="61" s="1"/>
  <c r="M250" i="61"/>
  <c r="M249" i="61"/>
  <c r="M248" i="61"/>
  <c r="M243" i="61"/>
  <c r="M242" i="61"/>
  <c r="M241" i="61"/>
  <c r="M240" i="61"/>
  <c r="M239" i="61"/>
  <c r="M235" i="61"/>
  <c r="M234" i="61"/>
  <c r="M233" i="61"/>
  <c r="M232" i="61"/>
  <c r="M231" i="61"/>
  <c r="M227" i="61"/>
  <c r="M226" i="61"/>
  <c r="M225" i="61"/>
  <c r="N225" i="61" s="1"/>
  <c r="O225" i="61" s="1"/>
  <c r="P225" i="61" s="1"/>
  <c r="M224" i="61"/>
  <c r="N224" i="61" s="1"/>
  <c r="O224" i="61" s="1"/>
  <c r="P224" i="61" s="1"/>
  <c r="M223" i="61"/>
  <c r="M222" i="61"/>
  <c r="M219" i="61"/>
  <c r="M218" i="61"/>
  <c r="M217" i="61"/>
  <c r="M216" i="61"/>
  <c r="M215" i="61"/>
  <c r="M214" i="61"/>
  <c r="M211" i="61"/>
  <c r="M210" i="61"/>
  <c r="M209" i="61"/>
  <c r="M208" i="61"/>
  <c r="M207" i="61"/>
  <c r="M206" i="61"/>
  <c r="M203" i="61"/>
  <c r="M202" i="61"/>
  <c r="M201" i="61"/>
  <c r="M200" i="61"/>
  <c r="M199" i="61"/>
  <c r="M198" i="61"/>
  <c r="N198" i="61" s="1"/>
  <c r="O198" i="61" s="1"/>
  <c r="P198" i="61" s="1"/>
  <c r="R288" i="61"/>
  <c r="M195" i="61"/>
  <c r="N195" i="61" s="1"/>
  <c r="O195" i="61" s="1"/>
  <c r="P195" i="61" s="1"/>
  <c r="R287" i="61"/>
  <c r="R286" i="61"/>
  <c r="M193" i="61"/>
  <c r="R285" i="61"/>
  <c r="R284" i="61"/>
  <c r="M191" i="61"/>
  <c r="R283" i="61"/>
  <c r="M190" i="61"/>
  <c r="R282" i="61"/>
  <c r="M189" i="61"/>
  <c r="R281" i="61"/>
  <c r="R280" i="61"/>
  <c r="M187" i="61"/>
  <c r="R279" i="61"/>
  <c r="R278" i="61"/>
  <c r="M185" i="61"/>
  <c r="R277" i="61"/>
  <c r="R276" i="61"/>
  <c r="M183" i="61"/>
  <c r="R275" i="61"/>
  <c r="M182" i="61"/>
  <c r="R274" i="61"/>
  <c r="M181" i="61"/>
  <c r="R273" i="61"/>
  <c r="R272" i="61"/>
  <c r="M179" i="61"/>
  <c r="R271" i="61"/>
  <c r="M178" i="61"/>
  <c r="R270" i="61"/>
  <c r="M177" i="61"/>
  <c r="R269" i="61"/>
  <c r="R268" i="61"/>
  <c r="M175" i="61"/>
  <c r="R267" i="61"/>
  <c r="M174" i="61"/>
  <c r="R266" i="61"/>
  <c r="M173" i="61"/>
  <c r="R265" i="61"/>
  <c r="R264" i="61"/>
  <c r="M171" i="61"/>
  <c r="R263" i="61"/>
  <c r="M170" i="61"/>
  <c r="R262" i="61"/>
  <c r="M169" i="61"/>
  <c r="R261" i="61"/>
  <c r="R260" i="61"/>
  <c r="M167" i="61"/>
  <c r="R259" i="61"/>
  <c r="M166" i="61"/>
  <c r="R258" i="61"/>
  <c r="M165" i="61"/>
  <c r="R257" i="61"/>
  <c r="R256" i="61"/>
  <c r="M163" i="61"/>
  <c r="R255" i="61"/>
  <c r="M162" i="61"/>
  <c r="R254" i="61"/>
  <c r="M161" i="61"/>
  <c r="R253" i="61"/>
  <c r="R252" i="61"/>
  <c r="M159" i="61"/>
  <c r="R251" i="61"/>
  <c r="M158" i="61"/>
  <c r="R250" i="61"/>
  <c r="M157" i="61"/>
  <c r="R249" i="61"/>
  <c r="R248" i="61"/>
  <c r="M155" i="61"/>
  <c r="R247" i="61"/>
  <c r="M154" i="61"/>
  <c r="R246" i="61"/>
  <c r="M153" i="61"/>
  <c r="R245" i="61"/>
  <c r="R244" i="61"/>
  <c r="M151" i="61"/>
  <c r="N151" i="61" s="1"/>
  <c r="O151" i="61" s="1"/>
  <c r="P151" i="61" s="1"/>
  <c r="R243" i="61"/>
  <c r="M150" i="61"/>
  <c r="R242" i="61"/>
  <c r="M149" i="61"/>
  <c r="R241" i="61"/>
  <c r="R240" i="61"/>
  <c r="M147" i="61"/>
  <c r="R239" i="61"/>
  <c r="M146" i="61"/>
  <c r="R238" i="61"/>
  <c r="M145" i="61"/>
  <c r="R237" i="61"/>
  <c r="R236" i="61"/>
  <c r="M143" i="61"/>
  <c r="R235" i="61"/>
  <c r="M142" i="61"/>
  <c r="R234" i="61"/>
  <c r="M141" i="61"/>
  <c r="R233" i="61"/>
  <c r="R232" i="61"/>
  <c r="M139" i="61"/>
  <c r="R231" i="61"/>
  <c r="M138" i="61"/>
  <c r="R230" i="61"/>
  <c r="M137" i="61"/>
  <c r="R229" i="61"/>
  <c r="R228" i="61"/>
  <c r="M135" i="61"/>
  <c r="R227" i="61"/>
  <c r="M134" i="61"/>
  <c r="R226" i="61"/>
  <c r="M133" i="61"/>
  <c r="R225" i="61"/>
  <c r="R224" i="61"/>
  <c r="M131" i="61"/>
  <c r="R223" i="61"/>
  <c r="M130" i="61"/>
  <c r="R222" i="61"/>
  <c r="M129" i="61"/>
  <c r="R221" i="61"/>
  <c r="R220" i="61"/>
  <c r="M127" i="61"/>
  <c r="R219" i="61"/>
  <c r="M126" i="61"/>
  <c r="R218" i="61"/>
  <c r="M125" i="61"/>
  <c r="R217" i="61"/>
  <c r="R216" i="61"/>
  <c r="M123" i="61"/>
  <c r="R215" i="61"/>
  <c r="M122" i="61"/>
  <c r="R214" i="61"/>
  <c r="M121" i="61"/>
  <c r="R213" i="61"/>
  <c r="R212" i="61"/>
  <c r="M119" i="61"/>
  <c r="R211" i="61"/>
  <c r="M118" i="61"/>
  <c r="R210" i="61"/>
  <c r="M117" i="61"/>
  <c r="R209" i="61"/>
  <c r="R208" i="61"/>
  <c r="M115" i="61"/>
  <c r="R207" i="61"/>
  <c r="M114" i="61"/>
  <c r="R206" i="61"/>
  <c r="M113" i="61"/>
  <c r="R205" i="61"/>
  <c r="R204" i="61"/>
  <c r="M111" i="61"/>
  <c r="R203" i="61"/>
  <c r="M110" i="61"/>
  <c r="R202" i="61"/>
  <c r="M109" i="61"/>
  <c r="R201" i="61"/>
  <c r="N108" i="61"/>
  <c r="O108" i="61" s="1"/>
  <c r="P108" i="61" s="1"/>
  <c r="M108" i="61"/>
  <c r="R200" i="61"/>
  <c r="M107" i="61"/>
  <c r="R199" i="61"/>
  <c r="M106" i="61"/>
  <c r="R198" i="61"/>
  <c r="R197" i="61"/>
  <c r="M104" i="61"/>
  <c r="R196" i="61"/>
  <c r="M103" i="61"/>
  <c r="R195" i="61"/>
  <c r="R194" i="61"/>
  <c r="R193" i="61"/>
  <c r="M100" i="61"/>
  <c r="R192" i="61"/>
  <c r="M99" i="61"/>
  <c r="R191" i="61"/>
  <c r="M98" i="61"/>
  <c r="R190" i="61"/>
  <c r="R189" i="61"/>
  <c r="R188" i="61"/>
  <c r="M95" i="61"/>
  <c r="R187" i="61"/>
  <c r="R186" i="61"/>
  <c r="R185" i="61"/>
  <c r="M92" i="61"/>
  <c r="R184" i="61"/>
  <c r="M91" i="61"/>
  <c r="R183" i="61"/>
  <c r="M90" i="61"/>
  <c r="R182" i="61"/>
  <c r="R181" i="61"/>
  <c r="R180" i="61"/>
  <c r="M87" i="61"/>
  <c r="R179" i="61"/>
  <c r="R178" i="61"/>
  <c r="R177" i="61"/>
  <c r="M84" i="61"/>
  <c r="R176" i="61"/>
  <c r="M83" i="61"/>
  <c r="R175" i="61"/>
  <c r="M82" i="61"/>
  <c r="R174" i="61"/>
  <c r="R173" i="61"/>
  <c r="R172" i="61"/>
  <c r="M79" i="61"/>
  <c r="R171" i="61"/>
  <c r="R170" i="61"/>
  <c r="R169" i="61"/>
  <c r="M76" i="61"/>
  <c r="R168" i="61"/>
  <c r="M75" i="61"/>
  <c r="R167" i="61"/>
  <c r="M74" i="61"/>
  <c r="N74" i="61" s="1"/>
  <c r="O74" i="61" s="1"/>
  <c r="P74" i="61" s="1"/>
  <c r="R166" i="61"/>
  <c r="R165" i="61"/>
  <c r="R164" i="61"/>
  <c r="M71" i="61"/>
  <c r="R163" i="61"/>
  <c r="R162" i="61"/>
  <c r="R161" i="61"/>
  <c r="M68" i="61"/>
  <c r="R160" i="61"/>
  <c r="M67" i="61"/>
  <c r="R159" i="61"/>
  <c r="M66" i="61"/>
  <c r="R158" i="61"/>
  <c r="R157" i="61"/>
  <c r="R156" i="61"/>
  <c r="M63" i="61"/>
  <c r="R155" i="61"/>
  <c r="R154" i="61"/>
  <c r="R153" i="61"/>
  <c r="M60" i="61"/>
  <c r="R152" i="61"/>
  <c r="M59" i="61"/>
  <c r="R151" i="61"/>
  <c r="M58" i="61"/>
  <c r="R150" i="61"/>
  <c r="R149" i="61"/>
  <c r="M56" i="61"/>
  <c r="R148" i="61"/>
  <c r="M55" i="61"/>
  <c r="R147" i="61"/>
  <c r="R146" i="61"/>
  <c r="R145" i="61"/>
  <c r="M52" i="61"/>
  <c r="R144" i="61"/>
  <c r="M51" i="61"/>
  <c r="R143" i="61"/>
  <c r="R142" i="61"/>
  <c r="R141" i="61"/>
  <c r="R140" i="61"/>
  <c r="R139" i="61"/>
  <c r="R138" i="61"/>
  <c r="R137" i="61"/>
  <c r="R136" i="61"/>
  <c r="R135" i="61"/>
  <c r="R134" i="61"/>
  <c r="R133" i="61"/>
  <c r="R132" i="61"/>
  <c r="R131" i="61"/>
  <c r="R11" i="61"/>
  <c r="B5" i="61"/>
  <c r="B2" i="61"/>
  <c r="N464" i="61" l="1"/>
  <c r="O464" i="61" s="1"/>
  <c r="P464" i="61" s="1"/>
  <c r="N392" i="61"/>
  <c r="O392" i="61" s="1"/>
  <c r="P392" i="61" s="1"/>
  <c r="N381" i="61"/>
  <c r="O381" i="61" s="1"/>
  <c r="P381" i="61" s="1"/>
  <c r="M384" i="61"/>
  <c r="N384" i="61" s="1"/>
  <c r="O384" i="61" s="1"/>
  <c r="P384" i="61" s="1"/>
  <c r="N55" i="61"/>
  <c r="O55" i="61" s="1"/>
  <c r="P55" i="61" s="1"/>
  <c r="N113" i="61"/>
  <c r="O113" i="61" s="1"/>
  <c r="P113" i="61" s="1"/>
  <c r="N365" i="61"/>
  <c r="O365" i="61" s="1"/>
  <c r="P365" i="61" s="1"/>
  <c r="M470" i="61"/>
  <c r="N470" i="61" s="1"/>
  <c r="O470" i="61" s="1"/>
  <c r="P470" i="61" s="1"/>
  <c r="N210" i="61"/>
  <c r="O210" i="61" s="1"/>
  <c r="P210" i="61" s="1"/>
  <c r="N232" i="61"/>
  <c r="O232" i="61" s="1"/>
  <c r="P232" i="61" s="1"/>
  <c r="N248" i="61"/>
  <c r="O248" i="61" s="1"/>
  <c r="P248" i="61" s="1"/>
  <c r="N222" i="61"/>
  <c r="O222" i="61" s="1"/>
  <c r="P222" i="61" s="1"/>
  <c r="N226" i="61"/>
  <c r="O226" i="61" s="1"/>
  <c r="P226" i="61" s="1"/>
  <c r="N234" i="61"/>
  <c r="O234" i="61" s="1"/>
  <c r="P234" i="61" s="1"/>
  <c r="N396" i="61"/>
  <c r="O396" i="61" s="1"/>
  <c r="P396" i="61" s="1"/>
  <c r="N313" i="61"/>
  <c r="O313" i="61" s="1"/>
  <c r="P313" i="61" s="1"/>
  <c r="N389" i="61"/>
  <c r="O389" i="61" s="1"/>
  <c r="P389" i="61" s="1"/>
  <c r="M469" i="61"/>
  <c r="N469" i="61" s="1"/>
  <c r="O469" i="61" s="1"/>
  <c r="P469" i="61" s="1"/>
  <c r="M460" i="61"/>
  <c r="N460" i="61" s="1"/>
  <c r="O460" i="61" s="1"/>
  <c r="P460" i="61" s="1"/>
  <c r="N477" i="61"/>
  <c r="O477" i="61" s="1"/>
  <c r="P477" i="61" s="1"/>
  <c r="N480" i="61"/>
  <c r="O480" i="61" s="1"/>
  <c r="P480" i="61" s="1"/>
  <c r="N95" i="61"/>
  <c r="O95" i="61" s="1"/>
  <c r="P95" i="61" s="1"/>
  <c r="N153" i="61"/>
  <c r="O153" i="61" s="1"/>
  <c r="P153" i="61" s="1"/>
  <c r="N241" i="61"/>
  <c r="O241" i="61" s="1"/>
  <c r="P241" i="61" s="1"/>
  <c r="N257" i="61"/>
  <c r="O257" i="61" s="1"/>
  <c r="P257" i="61" s="1"/>
  <c r="N321" i="61"/>
  <c r="O321" i="61" s="1"/>
  <c r="P321" i="61" s="1"/>
  <c r="M429" i="61"/>
  <c r="N429" i="61" s="1"/>
  <c r="O429" i="61" s="1"/>
  <c r="P429" i="61" s="1"/>
  <c r="N432" i="61"/>
  <c r="O432" i="61" s="1"/>
  <c r="P432" i="61" s="1"/>
  <c r="N157" i="61"/>
  <c r="O157" i="61" s="1"/>
  <c r="P157" i="61" s="1"/>
  <c r="N448" i="61"/>
  <c r="O448" i="61" s="1"/>
  <c r="P448" i="61" s="1"/>
  <c r="N119" i="61"/>
  <c r="O119" i="61" s="1"/>
  <c r="P119" i="61" s="1"/>
  <c r="N123" i="61"/>
  <c r="O123" i="61" s="1"/>
  <c r="P123" i="61" s="1"/>
  <c r="N135" i="61"/>
  <c r="O135" i="61" s="1"/>
  <c r="P135" i="61" s="1"/>
  <c r="N255" i="61"/>
  <c r="O255" i="61" s="1"/>
  <c r="P255" i="61" s="1"/>
  <c r="M454" i="61"/>
  <c r="N454" i="61" s="1"/>
  <c r="O454" i="61" s="1"/>
  <c r="P454" i="61" s="1"/>
  <c r="N177" i="61"/>
  <c r="O177" i="61" s="1"/>
  <c r="P177" i="61" s="1"/>
  <c r="N356" i="61"/>
  <c r="O356" i="61" s="1"/>
  <c r="P356" i="61" s="1"/>
  <c r="M486" i="61"/>
  <c r="N486" i="61" s="1"/>
  <c r="O486" i="61" s="1"/>
  <c r="P486" i="61" s="1"/>
  <c r="N242" i="61"/>
  <c r="O242" i="61" s="1"/>
  <c r="P242" i="61" s="1"/>
  <c r="N181" i="61"/>
  <c r="O181" i="61" s="1"/>
  <c r="P181" i="61" s="1"/>
  <c r="N239" i="61"/>
  <c r="O239" i="61" s="1"/>
  <c r="P239" i="61" s="1"/>
  <c r="N312" i="61"/>
  <c r="O312" i="61" s="1"/>
  <c r="P312" i="61" s="1"/>
  <c r="N364" i="61"/>
  <c r="O364" i="61" s="1"/>
  <c r="P364" i="61" s="1"/>
  <c r="M408" i="61"/>
  <c r="N408" i="61" s="1"/>
  <c r="O408" i="61" s="1"/>
  <c r="P408" i="61" s="1"/>
  <c r="M414" i="61"/>
  <c r="N414" i="61" s="1"/>
  <c r="O414" i="61" s="1"/>
  <c r="P414" i="61" s="1"/>
  <c r="N71" i="61"/>
  <c r="O71" i="61" s="1"/>
  <c r="P71" i="61" s="1"/>
  <c r="N79" i="61"/>
  <c r="O79" i="61" s="1"/>
  <c r="P79" i="61" s="1"/>
  <c r="N133" i="61"/>
  <c r="O133" i="61" s="1"/>
  <c r="P133" i="61" s="1"/>
  <c r="N163" i="61"/>
  <c r="O163" i="61" s="1"/>
  <c r="P163" i="61" s="1"/>
  <c r="N171" i="61"/>
  <c r="O171" i="61" s="1"/>
  <c r="P171" i="61" s="1"/>
  <c r="N444" i="61"/>
  <c r="O444" i="61" s="1"/>
  <c r="P444" i="61" s="1"/>
  <c r="M476" i="61"/>
  <c r="N476" i="61" s="1"/>
  <c r="O476" i="61" s="1"/>
  <c r="P476" i="61" s="1"/>
  <c r="N58" i="61"/>
  <c r="O58" i="61" s="1"/>
  <c r="P58" i="61" s="1"/>
  <c r="N183" i="61"/>
  <c r="O183" i="61" s="1"/>
  <c r="P183" i="61" s="1"/>
  <c r="N82" i="61"/>
  <c r="O82" i="61" s="1"/>
  <c r="P82" i="61" s="1"/>
  <c r="N147" i="61"/>
  <c r="O147" i="61" s="1"/>
  <c r="P147" i="61" s="1"/>
  <c r="N165" i="61"/>
  <c r="O165" i="61" s="1"/>
  <c r="P165" i="61" s="1"/>
  <c r="N175" i="61"/>
  <c r="O175" i="61" s="1"/>
  <c r="P175" i="61" s="1"/>
  <c r="N214" i="61"/>
  <c r="O214" i="61" s="1"/>
  <c r="P214" i="61" s="1"/>
  <c r="N218" i="61"/>
  <c r="O218" i="61" s="1"/>
  <c r="P218" i="61" s="1"/>
  <c r="M273" i="61"/>
  <c r="N273" i="61" s="1"/>
  <c r="O273" i="61" s="1"/>
  <c r="P273" i="61" s="1"/>
  <c r="N295" i="61"/>
  <c r="O295" i="61" s="1"/>
  <c r="P295" i="61" s="1"/>
  <c r="N319" i="61"/>
  <c r="O319" i="61" s="1"/>
  <c r="P319" i="61" s="1"/>
  <c r="N428" i="61"/>
  <c r="O428" i="61" s="1"/>
  <c r="P428" i="61" s="1"/>
  <c r="M453" i="61"/>
  <c r="N453" i="61" s="1"/>
  <c r="O453" i="61" s="1"/>
  <c r="P453" i="61" s="1"/>
  <c r="N193" i="61"/>
  <c r="O193" i="61" s="1"/>
  <c r="P193" i="61" s="1"/>
  <c r="N211" i="61"/>
  <c r="O211" i="61" s="1"/>
  <c r="P211" i="61" s="1"/>
  <c r="N280" i="61"/>
  <c r="O280" i="61" s="1"/>
  <c r="P280" i="61" s="1"/>
  <c r="N373" i="61"/>
  <c r="O373" i="61" s="1"/>
  <c r="P373" i="61" s="1"/>
  <c r="N305" i="61"/>
  <c r="O305" i="61" s="1"/>
  <c r="P305" i="61" s="1"/>
  <c r="N66" i="61"/>
  <c r="O66" i="61" s="1"/>
  <c r="P66" i="61" s="1"/>
  <c r="N103" i="61"/>
  <c r="O103" i="61" s="1"/>
  <c r="P103" i="61" s="1"/>
  <c r="N117" i="61"/>
  <c r="O117" i="61" s="1"/>
  <c r="P117" i="61" s="1"/>
  <c r="N139" i="61"/>
  <c r="O139" i="61" s="1"/>
  <c r="P139" i="61" s="1"/>
  <c r="N141" i="61"/>
  <c r="O141" i="61" s="1"/>
  <c r="P141" i="61" s="1"/>
  <c r="N169" i="61"/>
  <c r="O169" i="61" s="1"/>
  <c r="P169" i="61" s="1"/>
  <c r="N202" i="61"/>
  <c r="O202" i="61" s="1"/>
  <c r="P202" i="61" s="1"/>
  <c r="N235" i="61"/>
  <c r="O235" i="61" s="1"/>
  <c r="P235" i="61" s="1"/>
  <c r="N328" i="61"/>
  <c r="O328" i="61" s="1"/>
  <c r="P328" i="61" s="1"/>
  <c r="N344" i="61"/>
  <c r="O344" i="61" s="1"/>
  <c r="P344" i="61" s="1"/>
  <c r="N472" i="61"/>
  <c r="O472" i="61" s="1"/>
  <c r="P472" i="61" s="1"/>
  <c r="N98" i="61"/>
  <c r="O98" i="61" s="1"/>
  <c r="P98" i="61" s="1"/>
  <c r="N159" i="61"/>
  <c r="O159" i="61" s="1"/>
  <c r="P159" i="61" s="1"/>
  <c r="N187" i="61"/>
  <c r="O187" i="61" s="1"/>
  <c r="P187" i="61" s="1"/>
  <c r="N209" i="61"/>
  <c r="O209" i="61" s="1"/>
  <c r="P209" i="61" s="1"/>
  <c r="N289" i="61"/>
  <c r="O289" i="61" s="1"/>
  <c r="P289" i="61" s="1"/>
  <c r="N368" i="61"/>
  <c r="O368" i="61" s="1"/>
  <c r="P368" i="61" s="1"/>
  <c r="N388" i="61"/>
  <c r="O388" i="61" s="1"/>
  <c r="P388" i="61" s="1"/>
  <c r="M400" i="61"/>
  <c r="N400" i="61" s="1"/>
  <c r="O400" i="61" s="1"/>
  <c r="P400" i="61" s="1"/>
  <c r="M421" i="61"/>
  <c r="N421" i="61" s="1"/>
  <c r="O421" i="61" s="1"/>
  <c r="P421" i="61" s="1"/>
  <c r="M437" i="61"/>
  <c r="N437" i="61" s="1"/>
  <c r="O437" i="61" s="1"/>
  <c r="P437" i="61" s="1"/>
  <c r="M462" i="61"/>
  <c r="N462" i="61" s="1"/>
  <c r="O462" i="61" s="1"/>
  <c r="P462" i="61" s="1"/>
  <c r="M468" i="61"/>
  <c r="N468" i="61" s="1"/>
  <c r="O468" i="61" s="1"/>
  <c r="P468" i="61" s="1"/>
  <c r="M493" i="61"/>
  <c r="N493" i="61" s="1"/>
  <c r="O493" i="61" s="1"/>
  <c r="P493" i="61" s="1"/>
  <c r="N87" i="61"/>
  <c r="O87" i="61" s="1"/>
  <c r="P87" i="61" s="1"/>
  <c r="N106" i="61"/>
  <c r="O106" i="61" s="1"/>
  <c r="P106" i="61" s="1"/>
  <c r="N111" i="61"/>
  <c r="O111" i="61" s="1"/>
  <c r="P111" i="61" s="1"/>
  <c r="N303" i="61"/>
  <c r="O303" i="61" s="1"/>
  <c r="P303" i="61" s="1"/>
  <c r="N323" i="61"/>
  <c r="O323" i="61" s="1"/>
  <c r="P323" i="61" s="1"/>
  <c r="N345" i="61"/>
  <c r="O345" i="61" s="1"/>
  <c r="P345" i="61" s="1"/>
  <c r="M348" i="61"/>
  <c r="N348" i="61" s="1"/>
  <c r="O348" i="61" s="1"/>
  <c r="P348" i="61" s="1"/>
  <c r="M420" i="61"/>
  <c r="N420" i="61" s="1"/>
  <c r="O420" i="61" s="1"/>
  <c r="P420" i="61" s="1"/>
  <c r="M430" i="61"/>
  <c r="N430" i="61" s="1"/>
  <c r="O430" i="61" s="1"/>
  <c r="P430" i="61" s="1"/>
  <c r="M436" i="61"/>
  <c r="N436" i="61" s="1"/>
  <c r="O436" i="61" s="1"/>
  <c r="P436" i="61" s="1"/>
  <c r="N440" i="61"/>
  <c r="O440" i="61" s="1"/>
  <c r="P440" i="61" s="1"/>
  <c r="M461" i="61"/>
  <c r="N461" i="61" s="1"/>
  <c r="O461" i="61" s="1"/>
  <c r="P461" i="61" s="1"/>
  <c r="M492" i="61"/>
  <c r="N492" i="61" s="1"/>
  <c r="O492" i="61" s="1"/>
  <c r="P492" i="61" s="1"/>
  <c r="N90" i="61"/>
  <c r="O90" i="61" s="1"/>
  <c r="P90" i="61" s="1"/>
  <c r="N372" i="61"/>
  <c r="O372" i="61" s="1"/>
  <c r="P372" i="61" s="1"/>
  <c r="N129" i="61"/>
  <c r="O129" i="61" s="1"/>
  <c r="P129" i="61" s="1"/>
  <c r="N272" i="61"/>
  <c r="O272" i="61" s="1"/>
  <c r="P272" i="61" s="1"/>
  <c r="N288" i="61"/>
  <c r="O288" i="61" s="1"/>
  <c r="P288" i="61" s="1"/>
  <c r="N304" i="61"/>
  <c r="O304" i="61" s="1"/>
  <c r="P304" i="61" s="1"/>
  <c r="N352" i="61"/>
  <c r="O352" i="61" s="1"/>
  <c r="P352" i="61" s="1"/>
  <c r="N240" i="61"/>
  <c r="O240" i="61" s="1"/>
  <c r="P240" i="61" s="1"/>
  <c r="N59" i="61"/>
  <c r="O59" i="61" s="1"/>
  <c r="P59" i="61" s="1"/>
  <c r="N83" i="61"/>
  <c r="O83" i="61" s="1"/>
  <c r="P83" i="61" s="1"/>
  <c r="N91" i="61"/>
  <c r="O91" i="61" s="1"/>
  <c r="P91" i="61" s="1"/>
  <c r="N99" i="61"/>
  <c r="O99" i="61" s="1"/>
  <c r="P99" i="61" s="1"/>
  <c r="N107" i="61"/>
  <c r="O107" i="61" s="1"/>
  <c r="P107" i="61" s="1"/>
  <c r="N155" i="61"/>
  <c r="O155" i="61" s="1"/>
  <c r="P155" i="61" s="1"/>
  <c r="N167" i="61"/>
  <c r="O167" i="61" s="1"/>
  <c r="P167" i="61" s="1"/>
  <c r="N191" i="61"/>
  <c r="O191" i="61" s="1"/>
  <c r="P191" i="61" s="1"/>
  <c r="N256" i="61"/>
  <c r="O256" i="61" s="1"/>
  <c r="P256" i="61" s="1"/>
  <c r="N281" i="61"/>
  <c r="O281" i="61" s="1"/>
  <c r="P281" i="61" s="1"/>
  <c r="N299" i="61"/>
  <c r="O299" i="61" s="1"/>
  <c r="P299" i="61" s="1"/>
  <c r="M332" i="61"/>
  <c r="N332" i="61" s="1"/>
  <c r="O332" i="61" s="1"/>
  <c r="P332" i="61" s="1"/>
  <c r="N333" i="61"/>
  <c r="O333" i="61" s="1"/>
  <c r="P333" i="61" s="1"/>
  <c r="M336" i="61"/>
  <c r="N336" i="61" s="1"/>
  <c r="O336" i="61" s="1"/>
  <c r="P336" i="61" s="1"/>
  <c r="N337" i="61"/>
  <c r="O337" i="61" s="1"/>
  <c r="P337" i="61" s="1"/>
  <c r="M340" i="61"/>
  <c r="N340" i="61" s="1"/>
  <c r="O340" i="61" s="1"/>
  <c r="P340" i="61" s="1"/>
  <c r="M422" i="61"/>
  <c r="N422" i="61" s="1"/>
  <c r="O422" i="61" s="1"/>
  <c r="P422" i="61" s="1"/>
  <c r="M494" i="61"/>
  <c r="N494" i="61" s="1"/>
  <c r="O494" i="61" s="1"/>
  <c r="P494" i="61" s="1"/>
  <c r="N250" i="61"/>
  <c r="O250" i="61" s="1"/>
  <c r="P250" i="61" s="1"/>
  <c r="N131" i="61"/>
  <c r="O131" i="61" s="1"/>
  <c r="P131" i="61" s="1"/>
  <c r="N143" i="61"/>
  <c r="O143" i="61" s="1"/>
  <c r="P143" i="61" s="1"/>
  <c r="N145" i="61"/>
  <c r="O145" i="61" s="1"/>
  <c r="P145" i="61" s="1"/>
  <c r="N243" i="61"/>
  <c r="O243" i="61" s="1"/>
  <c r="P243" i="61" s="1"/>
  <c r="N249" i="61"/>
  <c r="O249" i="61" s="1"/>
  <c r="P249" i="61" s="1"/>
  <c r="N290" i="61"/>
  <c r="O290" i="61" s="1"/>
  <c r="P290" i="61" s="1"/>
  <c r="N315" i="61"/>
  <c r="O315" i="61" s="1"/>
  <c r="P315" i="61" s="1"/>
  <c r="N380" i="61"/>
  <c r="O380" i="61" s="1"/>
  <c r="P380" i="61" s="1"/>
  <c r="O11" i="61"/>
  <c r="O50" i="61" s="1"/>
  <c r="N52" i="61"/>
  <c r="O52" i="61" s="1"/>
  <c r="P52" i="61" s="1"/>
  <c r="N60" i="61"/>
  <c r="O60" i="61" s="1"/>
  <c r="P60" i="61" s="1"/>
  <c r="N68" i="61"/>
  <c r="O68" i="61" s="1"/>
  <c r="P68" i="61" s="1"/>
  <c r="N76" i="61"/>
  <c r="O76" i="61" s="1"/>
  <c r="P76" i="61" s="1"/>
  <c r="N84" i="61"/>
  <c r="O84" i="61" s="1"/>
  <c r="P84" i="61" s="1"/>
  <c r="N92" i="61"/>
  <c r="O92" i="61" s="1"/>
  <c r="P92" i="61" s="1"/>
  <c r="N100" i="61"/>
  <c r="O100" i="61" s="1"/>
  <c r="P100" i="61" s="1"/>
  <c r="N121" i="61"/>
  <c r="O121" i="61" s="1"/>
  <c r="P121" i="61" s="1"/>
  <c r="N173" i="61"/>
  <c r="O173" i="61" s="1"/>
  <c r="P173" i="61" s="1"/>
  <c r="N185" i="61"/>
  <c r="O185" i="61" s="1"/>
  <c r="P185" i="61" s="1"/>
  <c r="N206" i="61"/>
  <c r="O206" i="61" s="1"/>
  <c r="P206" i="61" s="1"/>
  <c r="N217" i="61"/>
  <c r="O217" i="61" s="1"/>
  <c r="P217" i="61" s="1"/>
  <c r="N115" i="61"/>
  <c r="O115" i="61" s="1"/>
  <c r="P115" i="61" s="1"/>
  <c r="N179" i="61"/>
  <c r="O179" i="61" s="1"/>
  <c r="P179" i="61" s="1"/>
  <c r="M64" i="61"/>
  <c r="N64" i="61" s="1"/>
  <c r="O64" i="61" s="1"/>
  <c r="P64" i="61" s="1"/>
  <c r="M72" i="61"/>
  <c r="N72" i="61" s="1"/>
  <c r="O72" i="61" s="1"/>
  <c r="P72" i="61" s="1"/>
  <c r="M80" i="61"/>
  <c r="N80" i="61" s="1"/>
  <c r="O80" i="61" s="1"/>
  <c r="P80" i="61" s="1"/>
  <c r="M88" i="61"/>
  <c r="N88" i="61" s="1"/>
  <c r="O88" i="61" s="1"/>
  <c r="P88" i="61" s="1"/>
  <c r="M96" i="61"/>
  <c r="N96" i="61" s="1"/>
  <c r="O96" i="61" s="1"/>
  <c r="P96" i="61" s="1"/>
  <c r="N149" i="61"/>
  <c r="O149" i="61" s="1"/>
  <c r="P149" i="61" s="1"/>
  <c r="N161" i="61"/>
  <c r="O161" i="61" s="1"/>
  <c r="P161" i="61" s="1"/>
  <c r="N190" i="61"/>
  <c r="O190" i="61" s="1"/>
  <c r="P190" i="61" s="1"/>
  <c r="N201" i="61"/>
  <c r="O201" i="61" s="1"/>
  <c r="P201" i="61" s="1"/>
  <c r="M265" i="61"/>
  <c r="N265" i="61" s="1"/>
  <c r="O265" i="61" s="1"/>
  <c r="P265" i="61" s="1"/>
  <c r="N279" i="61"/>
  <c r="O279" i="61" s="1"/>
  <c r="P279" i="61" s="1"/>
  <c r="N291" i="61"/>
  <c r="O291" i="61" s="1"/>
  <c r="P291" i="61" s="1"/>
  <c r="N306" i="61"/>
  <c r="O306" i="61" s="1"/>
  <c r="P306" i="61" s="1"/>
  <c r="N357" i="61"/>
  <c r="O357" i="61" s="1"/>
  <c r="P357" i="61" s="1"/>
  <c r="M398" i="61"/>
  <c r="N398" i="61" s="1"/>
  <c r="O398" i="61" s="1"/>
  <c r="P398" i="61" s="1"/>
  <c r="M406" i="61"/>
  <c r="N406" i="61" s="1"/>
  <c r="O406" i="61" s="1"/>
  <c r="P406" i="61" s="1"/>
  <c r="M413" i="61"/>
  <c r="N413" i="61" s="1"/>
  <c r="O413" i="61" s="1"/>
  <c r="P413" i="61" s="1"/>
  <c r="N424" i="61"/>
  <c r="O424" i="61" s="1"/>
  <c r="P424" i="61" s="1"/>
  <c r="M446" i="61"/>
  <c r="N446" i="61" s="1"/>
  <c r="O446" i="61" s="1"/>
  <c r="P446" i="61" s="1"/>
  <c r="M452" i="61"/>
  <c r="N452" i="61" s="1"/>
  <c r="O452" i="61" s="1"/>
  <c r="P452" i="61" s="1"/>
  <c r="M485" i="61"/>
  <c r="N485" i="61" s="1"/>
  <c r="O485" i="61" s="1"/>
  <c r="P485" i="61" s="1"/>
  <c r="N219" i="61"/>
  <c r="O219" i="61" s="1"/>
  <c r="P219" i="61" s="1"/>
  <c r="N296" i="61"/>
  <c r="O296" i="61" s="1"/>
  <c r="P296" i="61" s="1"/>
  <c r="M54" i="61"/>
  <c r="N54" i="61" s="1"/>
  <c r="O54" i="61" s="1"/>
  <c r="P54" i="61" s="1"/>
  <c r="M62" i="61"/>
  <c r="N62" i="61" s="1"/>
  <c r="O62" i="61" s="1"/>
  <c r="P62" i="61" s="1"/>
  <c r="M70" i="61"/>
  <c r="N70" i="61" s="1"/>
  <c r="O70" i="61" s="1"/>
  <c r="P70" i="61" s="1"/>
  <c r="M78" i="61"/>
  <c r="N78" i="61" s="1"/>
  <c r="O78" i="61" s="1"/>
  <c r="P78" i="61" s="1"/>
  <c r="M86" i="61"/>
  <c r="N86" i="61" s="1"/>
  <c r="O86" i="61" s="1"/>
  <c r="P86" i="61" s="1"/>
  <c r="M94" i="61"/>
  <c r="N94" i="61" s="1"/>
  <c r="O94" i="61" s="1"/>
  <c r="P94" i="61" s="1"/>
  <c r="M102" i="61"/>
  <c r="N102" i="61" s="1"/>
  <c r="O102" i="61" s="1"/>
  <c r="P102" i="61" s="1"/>
  <c r="N125" i="61"/>
  <c r="O125" i="61" s="1"/>
  <c r="P125" i="61" s="1"/>
  <c r="N137" i="61"/>
  <c r="O137" i="61" s="1"/>
  <c r="P137" i="61" s="1"/>
  <c r="N189" i="61"/>
  <c r="O189" i="61" s="1"/>
  <c r="P189" i="61" s="1"/>
  <c r="M194" i="61"/>
  <c r="N194" i="61" s="1"/>
  <c r="O194" i="61" s="1"/>
  <c r="P194" i="61" s="1"/>
  <c r="N207" i="61"/>
  <c r="O207" i="61" s="1"/>
  <c r="P207" i="61" s="1"/>
  <c r="N231" i="61"/>
  <c r="O231" i="61" s="1"/>
  <c r="P231" i="61" s="1"/>
  <c r="M264" i="61"/>
  <c r="N264" i="61" s="1"/>
  <c r="O264" i="61" s="1"/>
  <c r="P264" i="61" s="1"/>
  <c r="N283" i="61"/>
  <c r="O283" i="61" s="1"/>
  <c r="P283" i="61" s="1"/>
  <c r="M314" i="61"/>
  <c r="N314" i="61" s="1"/>
  <c r="O314" i="61" s="1"/>
  <c r="P314" i="61" s="1"/>
  <c r="M382" i="61"/>
  <c r="N382" i="61" s="1"/>
  <c r="O382" i="61" s="1"/>
  <c r="P382" i="61" s="1"/>
  <c r="M390" i="61"/>
  <c r="N390" i="61" s="1"/>
  <c r="O390" i="61" s="1"/>
  <c r="P390" i="61" s="1"/>
  <c r="M397" i="61"/>
  <c r="N397" i="61" s="1"/>
  <c r="O397" i="61" s="1"/>
  <c r="P397" i="61" s="1"/>
  <c r="M404" i="61"/>
  <c r="N404" i="61" s="1"/>
  <c r="O404" i="61" s="1"/>
  <c r="P404" i="61" s="1"/>
  <c r="M405" i="61"/>
  <c r="N405" i="61" s="1"/>
  <c r="O405" i="61" s="1"/>
  <c r="P405" i="61" s="1"/>
  <c r="M412" i="61"/>
  <c r="N412" i="61" s="1"/>
  <c r="O412" i="61" s="1"/>
  <c r="P412" i="61" s="1"/>
  <c r="M445" i="61"/>
  <c r="N445" i="61" s="1"/>
  <c r="O445" i="61" s="1"/>
  <c r="P445" i="61" s="1"/>
  <c r="N456" i="61"/>
  <c r="O456" i="61" s="1"/>
  <c r="P456" i="61" s="1"/>
  <c r="M478" i="61"/>
  <c r="N478" i="61" s="1"/>
  <c r="O478" i="61" s="1"/>
  <c r="P478" i="61" s="1"/>
  <c r="M484" i="61"/>
  <c r="N484" i="61" s="1"/>
  <c r="O484" i="61" s="1"/>
  <c r="P484" i="61" s="1"/>
  <c r="N56" i="61"/>
  <c r="O56" i="61" s="1"/>
  <c r="P56" i="61" s="1"/>
  <c r="N104" i="61"/>
  <c r="O104" i="61" s="1"/>
  <c r="P104" i="61" s="1"/>
  <c r="N127" i="61"/>
  <c r="O127" i="61" s="1"/>
  <c r="P127" i="61" s="1"/>
  <c r="N109" i="61"/>
  <c r="O109" i="61" s="1"/>
  <c r="P109" i="61" s="1"/>
  <c r="M186" i="61"/>
  <c r="N186" i="61" s="1"/>
  <c r="O186" i="61" s="1"/>
  <c r="P186" i="61" s="1"/>
  <c r="N208" i="61"/>
  <c r="O208" i="61" s="1"/>
  <c r="P208" i="61" s="1"/>
  <c r="N223" i="61"/>
  <c r="O223" i="61" s="1"/>
  <c r="P223" i="61" s="1"/>
  <c r="N307" i="61"/>
  <c r="O307" i="61" s="1"/>
  <c r="P307" i="61" s="1"/>
  <c r="N416" i="61"/>
  <c r="O416" i="61" s="1"/>
  <c r="P416" i="61" s="1"/>
  <c r="M438" i="61"/>
  <c r="N438" i="61" s="1"/>
  <c r="O438" i="61" s="1"/>
  <c r="P438" i="61" s="1"/>
  <c r="N488" i="61"/>
  <c r="O488" i="61" s="1"/>
  <c r="P488" i="61" s="1"/>
  <c r="N75" i="61"/>
  <c r="O75" i="61" s="1"/>
  <c r="P75" i="61" s="1"/>
  <c r="N63" i="61"/>
  <c r="O63" i="61" s="1"/>
  <c r="P63" i="61" s="1"/>
  <c r="M77" i="61"/>
  <c r="N77" i="61" s="1"/>
  <c r="O77" i="61" s="1"/>
  <c r="P77" i="61" s="1"/>
  <c r="N51" i="61"/>
  <c r="O51" i="61" s="1"/>
  <c r="P51" i="61" s="1"/>
  <c r="M65" i="61"/>
  <c r="N65" i="61" s="1"/>
  <c r="O65" i="61" s="1"/>
  <c r="P65" i="61" s="1"/>
  <c r="M69" i="61"/>
  <c r="N69" i="61" s="1"/>
  <c r="O69" i="61" s="1"/>
  <c r="P69" i="61" s="1"/>
  <c r="M57" i="61"/>
  <c r="N57" i="61" s="1"/>
  <c r="O57" i="61" s="1"/>
  <c r="P57" i="61" s="1"/>
  <c r="M53" i="61"/>
  <c r="N53" i="61" s="1"/>
  <c r="O53" i="61" s="1"/>
  <c r="P53" i="61" s="1"/>
  <c r="M73" i="61"/>
  <c r="N73" i="61" s="1"/>
  <c r="O73" i="61" s="1"/>
  <c r="P73" i="61" s="1"/>
  <c r="M61" i="61"/>
  <c r="N61" i="61" s="1"/>
  <c r="O61" i="61" s="1"/>
  <c r="P61" i="61" s="1"/>
  <c r="N67" i="61"/>
  <c r="O67" i="61" s="1"/>
  <c r="P67" i="61" s="1"/>
  <c r="M253" i="61"/>
  <c r="N253" i="61" s="1"/>
  <c r="O253" i="61" s="1"/>
  <c r="P253" i="61" s="1"/>
  <c r="M317" i="61"/>
  <c r="N317" i="61" s="1"/>
  <c r="O317" i="61" s="1"/>
  <c r="P317" i="61" s="1"/>
  <c r="N118" i="61"/>
  <c r="O118" i="61" s="1"/>
  <c r="P118" i="61" s="1"/>
  <c r="N126" i="61"/>
  <c r="O126" i="61" s="1"/>
  <c r="P126" i="61" s="1"/>
  <c r="N134" i="61"/>
  <c r="O134" i="61" s="1"/>
  <c r="P134" i="61" s="1"/>
  <c r="N142" i="61"/>
  <c r="O142" i="61" s="1"/>
  <c r="P142" i="61" s="1"/>
  <c r="N150" i="61"/>
  <c r="O150" i="61" s="1"/>
  <c r="P150" i="61" s="1"/>
  <c r="N158" i="61"/>
  <c r="O158" i="61" s="1"/>
  <c r="P158" i="61" s="1"/>
  <c r="N166" i="61"/>
  <c r="O166" i="61" s="1"/>
  <c r="P166" i="61" s="1"/>
  <c r="N174" i="61"/>
  <c r="O174" i="61" s="1"/>
  <c r="P174" i="61" s="1"/>
  <c r="N182" i="61"/>
  <c r="O182" i="61" s="1"/>
  <c r="P182" i="61" s="1"/>
  <c r="M197" i="61"/>
  <c r="N197" i="61" s="1"/>
  <c r="O197" i="61" s="1"/>
  <c r="P197" i="61" s="1"/>
  <c r="N233" i="61"/>
  <c r="O233" i="61" s="1"/>
  <c r="P233" i="61" s="1"/>
  <c r="M263" i="61"/>
  <c r="N263" i="61" s="1"/>
  <c r="O263" i="61" s="1"/>
  <c r="P263" i="61" s="1"/>
  <c r="N297" i="61"/>
  <c r="O297" i="61" s="1"/>
  <c r="P297" i="61" s="1"/>
  <c r="M327" i="61"/>
  <c r="N327" i="61" s="1"/>
  <c r="O327" i="61" s="1"/>
  <c r="P327" i="61" s="1"/>
  <c r="M341" i="61"/>
  <c r="N341" i="61" s="1"/>
  <c r="O341" i="61" s="1"/>
  <c r="P341" i="61" s="1"/>
  <c r="N199" i="61"/>
  <c r="O199" i="61" s="1"/>
  <c r="P199" i="61" s="1"/>
  <c r="M205" i="61"/>
  <c r="N205" i="61" s="1"/>
  <c r="O205" i="61" s="1"/>
  <c r="P205" i="61" s="1"/>
  <c r="M286" i="61"/>
  <c r="N286" i="61" s="1"/>
  <c r="O286" i="61" s="1"/>
  <c r="P286" i="61" s="1"/>
  <c r="M116" i="61"/>
  <c r="N116" i="61" s="1"/>
  <c r="O116" i="61" s="1"/>
  <c r="P116" i="61" s="1"/>
  <c r="M213" i="61"/>
  <c r="N213" i="61" s="1"/>
  <c r="O213" i="61" s="1"/>
  <c r="P213" i="61" s="1"/>
  <c r="M270" i="61"/>
  <c r="N270" i="61" s="1"/>
  <c r="O270" i="61" s="1"/>
  <c r="P270" i="61" s="1"/>
  <c r="M387" i="61"/>
  <c r="N387" i="61" s="1"/>
  <c r="O387" i="61" s="1"/>
  <c r="P387" i="61" s="1"/>
  <c r="M81" i="61"/>
  <c r="N81" i="61" s="1"/>
  <c r="O81" i="61" s="1"/>
  <c r="P81" i="61" s="1"/>
  <c r="M85" i="61"/>
  <c r="N85" i="61" s="1"/>
  <c r="O85" i="61" s="1"/>
  <c r="P85" i="61" s="1"/>
  <c r="M89" i="61"/>
  <c r="N89" i="61" s="1"/>
  <c r="O89" i="61" s="1"/>
  <c r="P89" i="61" s="1"/>
  <c r="M93" i="61"/>
  <c r="N93" i="61" s="1"/>
  <c r="O93" i="61" s="1"/>
  <c r="P93" i="61" s="1"/>
  <c r="M97" i="61"/>
  <c r="N97" i="61" s="1"/>
  <c r="O97" i="61" s="1"/>
  <c r="P97" i="61" s="1"/>
  <c r="M101" i="61"/>
  <c r="N101" i="61" s="1"/>
  <c r="O101" i="61" s="1"/>
  <c r="P101" i="61" s="1"/>
  <c r="M105" i="61"/>
  <c r="N105" i="61" s="1"/>
  <c r="O105" i="61" s="1"/>
  <c r="P105" i="61" s="1"/>
  <c r="N114" i="61"/>
  <c r="O114" i="61" s="1"/>
  <c r="P114" i="61" s="1"/>
  <c r="N200" i="61"/>
  <c r="O200" i="61" s="1"/>
  <c r="P200" i="61" s="1"/>
  <c r="N203" i="61"/>
  <c r="O203" i="61" s="1"/>
  <c r="P203" i="61" s="1"/>
  <c r="N215" i="61"/>
  <c r="O215" i="61" s="1"/>
  <c r="P215" i="61" s="1"/>
  <c r="M330" i="61"/>
  <c r="N330" i="61" s="1"/>
  <c r="O330" i="61" s="1"/>
  <c r="P330" i="61" s="1"/>
  <c r="N110" i="61"/>
  <c r="O110" i="61" s="1"/>
  <c r="P110" i="61" s="1"/>
  <c r="M112" i="61"/>
  <c r="N112" i="61" s="1"/>
  <c r="O112" i="61" s="1"/>
  <c r="P112" i="61" s="1"/>
  <c r="N122" i="61"/>
  <c r="O122" i="61" s="1"/>
  <c r="P122" i="61" s="1"/>
  <c r="N130" i="61"/>
  <c r="O130" i="61" s="1"/>
  <c r="P130" i="61" s="1"/>
  <c r="N138" i="61"/>
  <c r="O138" i="61" s="1"/>
  <c r="P138" i="61" s="1"/>
  <c r="N146" i="61"/>
  <c r="O146" i="61" s="1"/>
  <c r="P146" i="61" s="1"/>
  <c r="N154" i="61"/>
  <c r="O154" i="61" s="1"/>
  <c r="P154" i="61" s="1"/>
  <c r="N162" i="61"/>
  <c r="O162" i="61" s="1"/>
  <c r="P162" i="61" s="1"/>
  <c r="N170" i="61"/>
  <c r="O170" i="61" s="1"/>
  <c r="P170" i="61" s="1"/>
  <c r="N178" i="61"/>
  <c r="O178" i="61" s="1"/>
  <c r="P178" i="61" s="1"/>
  <c r="N216" i="61"/>
  <c r="O216" i="61" s="1"/>
  <c r="P216" i="61" s="1"/>
  <c r="M247" i="61"/>
  <c r="N247" i="61" s="1"/>
  <c r="O247" i="61" s="1"/>
  <c r="P247" i="61" s="1"/>
  <c r="M269" i="61"/>
  <c r="N269" i="61" s="1"/>
  <c r="O269" i="61" s="1"/>
  <c r="P269" i="61" s="1"/>
  <c r="M311" i="61"/>
  <c r="N311" i="61" s="1"/>
  <c r="O311" i="61" s="1"/>
  <c r="P311" i="61" s="1"/>
  <c r="M338" i="61"/>
  <c r="N338" i="61" s="1"/>
  <c r="O338" i="61" s="1"/>
  <c r="P338" i="61" s="1"/>
  <c r="M220" i="61"/>
  <c r="N220" i="61" s="1"/>
  <c r="O220" i="61" s="1"/>
  <c r="P220" i="61" s="1"/>
  <c r="M229" i="61"/>
  <c r="N229" i="61" s="1"/>
  <c r="O229" i="61" s="1"/>
  <c r="P229" i="61" s="1"/>
  <c r="M246" i="61"/>
  <c r="N246" i="61" s="1"/>
  <c r="O246" i="61" s="1"/>
  <c r="P246" i="61" s="1"/>
  <c r="N258" i="61"/>
  <c r="O258" i="61" s="1"/>
  <c r="P258" i="61" s="1"/>
  <c r="N275" i="61"/>
  <c r="O275" i="61" s="1"/>
  <c r="P275" i="61" s="1"/>
  <c r="M293" i="61"/>
  <c r="N293" i="61" s="1"/>
  <c r="O293" i="61" s="1"/>
  <c r="P293" i="61" s="1"/>
  <c r="M310" i="61"/>
  <c r="N310" i="61" s="1"/>
  <c r="O310" i="61" s="1"/>
  <c r="P310" i="61" s="1"/>
  <c r="M339" i="61"/>
  <c r="N339" i="61" s="1"/>
  <c r="O339" i="61" s="1"/>
  <c r="P339" i="61" s="1"/>
  <c r="M350" i="61"/>
  <c r="N350" i="61" s="1"/>
  <c r="O350" i="61" s="1"/>
  <c r="P350" i="61" s="1"/>
  <c r="M361" i="61"/>
  <c r="N361" i="61" s="1"/>
  <c r="O361" i="61" s="1"/>
  <c r="P361" i="61" s="1"/>
  <c r="M371" i="61"/>
  <c r="N371" i="61" s="1"/>
  <c r="O371" i="61" s="1"/>
  <c r="P371" i="61" s="1"/>
  <c r="M403" i="61"/>
  <c r="N403" i="61" s="1"/>
  <c r="O403" i="61" s="1"/>
  <c r="P403" i="61" s="1"/>
  <c r="N227" i="61"/>
  <c r="O227" i="61" s="1"/>
  <c r="P227" i="61" s="1"/>
  <c r="M245" i="61"/>
  <c r="N245" i="61" s="1"/>
  <c r="O245" i="61" s="1"/>
  <c r="P245" i="61" s="1"/>
  <c r="M262" i="61"/>
  <c r="N262" i="61" s="1"/>
  <c r="O262" i="61" s="1"/>
  <c r="P262" i="61" s="1"/>
  <c r="N274" i="61"/>
  <c r="O274" i="61" s="1"/>
  <c r="P274" i="61" s="1"/>
  <c r="N282" i="61"/>
  <c r="O282" i="61" s="1"/>
  <c r="P282" i="61" s="1"/>
  <c r="M309" i="61"/>
  <c r="N309" i="61" s="1"/>
  <c r="O309" i="61" s="1"/>
  <c r="P309" i="61" s="1"/>
  <c r="M326" i="61"/>
  <c r="N326" i="61" s="1"/>
  <c r="O326" i="61" s="1"/>
  <c r="P326" i="61" s="1"/>
  <c r="M347" i="61"/>
  <c r="N347" i="61" s="1"/>
  <c r="O347" i="61" s="1"/>
  <c r="P347" i="61" s="1"/>
  <c r="M120" i="61"/>
  <c r="N120" i="61" s="1"/>
  <c r="O120" i="61" s="1"/>
  <c r="P120" i="61" s="1"/>
  <c r="M124" i="61"/>
  <c r="N124" i="61" s="1"/>
  <c r="O124" i="61" s="1"/>
  <c r="P124" i="61" s="1"/>
  <c r="M128" i="61"/>
  <c r="N128" i="61" s="1"/>
  <c r="O128" i="61" s="1"/>
  <c r="P128" i="61" s="1"/>
  <c r="M132" i="61"/>
  <c r="N132" i="61" s="1"/>
  <c r="O132" i="61" s="1"/>
  <c r="P132" i="61" s="1"/>
  <c r="M136" i="61"/>
  <c r="N136" i="61" s="1"/>
  <c r="O136" i="61" s="1"/>
  <c r="P136" i="61" s="1"/>
  <c r="M140" i="61"/>
  <c r="N140" i="61" s="1"/>
  <c r="O140" i="61" s="1"/>
  <c r="P140" i="61" s="1"/>
  <c r="M144" i="61"/>
  <c r="N144" i="61" s="1"/>
  <c r="O144" i="61" s="1"/>
  <c r="P144" i="61" s="1"/>
  <c r="M148" i="61"/>
  <c r="N148" i="61" s="1"/>
  <c r="O148" i="61" s="1"/>
  <c r="P148" i="61" s="1"/>
  <c r="M152" i="61"/>
  <c r="N152" i="61" s="1"/>
  <c r="O152" i="61" s="1"/>
  <c r="P152" i="61" s="1"/>
  <c r="M156" i="61"/>
  <c r="N156" i="61" s="1"/>
  <c r="O156" i="61" s="1"/>
  <c r="P156" i="61" s="1"/>
  <c r="M160" i="61"/>
  <c r="N160" i="61" s="1"/>
  <c r="O160" i="61" s="1"/>
  <c r="P160" i="61" s="1"/>
  <c r="M164" i="61"/>
  <c r="N164" i="61" s="1"/>
  <c r="O164" i="61" s="1"/>
  <c r="P164" i="61" s="1"/>
  <c r="M168" i="61"/>
  <c r="N168" i="61" s="1"/>
  <c r="O168" i="61" s="1"/>
  <c r="P168" i="61" s="1"/>
  <c r="M172" i="61"/>
  <c r="N172" i="61" s="1"/>
  <c r="O172" i="61" s="1"/>
  <c r="P172" i="61" s="1"/>
  <c r="M176" i="61"/>
  <c r="N176" i="61" s="1"/>
  <c r="O176" i="61" s="1"/>
  <c r="P176" i="61" s="1"/>
  <c r="M180" i="61"/>
  <c r="N180" i="61" s="1"/>
  <c r="O180" i="61" s="1"/>
  <c r="P180" i="61" s="1"/>
  <c r="M184" i="61"/>
  <c r="N184" i="61" s="1"/>
  <c r="O184" i="61" s="1"/>
  <c r="P184" i="61" s="1"/>
  <c r="M188" i="61"/>
  <c r="N188" i="61" s="1"/>
  <c r="O188" i="61" s="1"/>
  <c r="P188" i="61" s="1"/>
  <c r="M192" i="61"/>
  <c r="N192" i="61" s="1"/>
  <c r="O192" i="61" s="1"/>
  <c r="P192" i="61" s="1"/>
  <c r="M196" i="61"/>
  <c r="N196" i="61" s="1"/>
  <c r="O196" i="61" s="1"/>
  <c r="P196" i="61" s="1"/>
  <c r="M204" i="61"/>
  <c r="N204" i="61" s="1"/>
  <c r="O204" i="61" s="1"/>
  <c r="P204" i="61" s="1"/>
  <c r="M212" i="61"/>
  <c r="N212" i="61" s="1"/>
  <c r="O212" i="61" s="1"/>
  <c r="P212" i="61" s="1"/>
  <c r="M238" i="61"/>
  <c r="N238" i="61" s="1"/>
  <c r="O238" i="61" s="1"/>
  <c r="P238" i="61" s="1"/>
  <c r="N267" i="61"/>
  <c r="O267" i="61" s="1"/>
  <c r="P267" i="61" s="1"/>
  <c r="N271" i="61"/>
  <c r="O271" i="61" s="1"/>
  <c r="P271" i="61" s="1"/>
  <c r="M285" i="61"/>
  <c r="N285" i="61" s="1"/>
  <c r="O285" i="61" s="1"/>
  <c r="P285" i="61" s="1"/>
  <c r="M302" i="61"/>
  <c r="N302" i="61" s="1"/>
  <c r="O302" i="61" s="1"/>
  <c r="P302" i="61" s="1"/>
  <c r="N322" i="61"/>
  <c r="O322" i="61" s="1"/>
  <c r="P322" i="61" s="1"/>
  <c r="M335" i="61"/>
  <c r="N335" i="61" s="1"/>
  <c r="O335" i="61" s="1"/>
  <c r="P335" i="61" s="1"/>
  <c r="M346" i="61"/>
  <c r="N346" i="61" s="1"/>
  <c r="O346" i="61" s="1"/>
  <c r="P346" i="61" s="1"/>
  <c r="M363" i="61"/>
  <c r="N363" i="61" s="1"/>
  <c r="O363" i="61" s="1"/>
  <c r="P363" i="61" s="1"/>
  <c r="M370" i="61"/>
  <c r="N370" i="61" s="1"/>
  <c r="O370" i="61" s="1"/>
  <c r="P370" i="61" s="1"/>
  <c r="M402" i="61"/>
  <c r="N402" i="61" s="1"/>
  <c r="O402" i="61" s="1"/>
  <c r="P402" i="61" s="1"/>
  <c r="M261" i="61"/>
  <c r="N261" i="61" s="1"/>
  <c r="O261" i="61" s="1"/>
  <c r="P261" i="61" s="1"/>
  <c r="M278" i="61"/>
  <c r="N278" i="61" s="1"/>
  <c r="O278" i="61" s="1"/>
  <c r="P278" i="61" s="1"/>
  <c r="N298" i="61"/>
  <c r="O298" i="61" s="1"/>
  <c r="P298" i="61" s="1"/>
  <c r="M325" i="61"/>
  <c r="N325" i="61" s="1"/>
  <c r="O325" i="61" s="1"/>
  <c r="P325" i="61" s="1"/>
  <c r="M334" i="61"/>
  <c r="N334" i="61" s="1"/>
  <c r="O334" i="61" s="1"/>
  <c r="P334" i="61" s="1"/>
  <c r="M237" i="61"/>
  <c r="N237" i="61" s="1"/>
  <c r="O237" i="61" s="1"/>
  <c r="P237" i="61" s="1"/>
  <c r="M254" i="61"/>
  <c r="N254" i="61" s="1"/>
  <c r="O254" i="61" s="1"/>
  <c r="P254" i="61" s="1"/>
  <c r="N266" i="61"/>
  <c r="O266" i="61" s="1"/>
  <c r="P266" i="61" s="1"/>
  <c r="N287" i="61"/>
  <c r="O287" i="61" s="1"/>
  <c r="P287" i="61" s="1"/>
  <c r="M301" i="61"/>
  <c r="N301" i="61" s="1"/>
  <c r="O301" i="61" s="1"/>
  <c r="P301" i="61" s="1"/>
  <c r="M318" i="61"/>
  <c r="N318" i="61" s="1"/>
  <c r="O318" i="61" s="1"/>
  <c r="P318" i="61" s="1"/>
  <c r="N329" i="61"/>
  <c r="O329" i="61" s="1"/>
  <c r="P329" i="61" s="1"/>
  <c r="M343" i="61"/>
  <c r="N343" i="61" s="1"/>
  <c r="O343" i="61" s="1"/>
  <c r="P343" i="61" s="1"/>
  <c r="M351" i="61"/>
  <c r="N351" i="61" s="1"/>
  <c r="O351" i="61" s="1"/>
  <c r="P351" i="61" s="1"/>
  <c r="M377" i="61"/>
  <c r="N377" i="61" s="1"/>
  <c r="O377" i="61" s="1"/>
  <c r="P377" i="61" s="1"/>
  <c r="M221" i="61"/>
  <c r="N221" i="61" s="1"/>
  <c r="O221" i="61" s="1"/>
  <c r="P221" i="61" s="1"/>
  <c r="M230" i="61"/>
  <c r="N230" i="61" s="1"/>
  <c r="O230" i="61" s="1"/>
  <c r="P230" i="61" s="1"/>
  <c r="M277" i="61"/>
  <c r="N277" i="61" s="1"/>
  <c r="O277" i="61" s="1"/>
  <c r="P277" i="61" s="1"/>
  <c r="M294" i="61"/>
  <c r="N294" i="61" s="1"/>
  <c r="O294" i="61" s="1"/>
  <c r="P294" i="61" s="1"/>
  <c r="M331" i="61"/>
  <c r="N331" i="61" s="1"/>
  <c r="O331" i="61" s="1"/>
  <c r="P331" i="61" s="1"/>
  <c r="M342" i="61"/>
  <c r="N342" i="61" s="1"/>
  <c r="O342" i="61" s="1"/>
  <c r="P342" i="61" s="1"/>
  <c r="M362" i="61"/>
  <c r="N362" i="61" s="1"/>
  <c r="O362" i="61" s="1"/>
  <c r="P362" i="61" s="1"/>
  <c r="M426" i="61"/>
  <c r="N426" i="61" s="1"/>
  <c r="O426" i="61" s="1"/>
  <c r="P426" i="61" s="1"/>
  <c r="M435" i="61"/>
  <c r="N435" i="61" s="1"/>
  <c r="O435" i="61" s="1"/>
  <c r="P435" i="61" s="1"/>
  <c r="M458" i="61"/>
  <c r="N458" i="61" s="1"/>
  <c r="O458" i="61" s="1"/>
  <c r="P458" i="61" s="1"/>
  <c r="M467" i="61"/>
  <c r="N467" i="61" s="1"/>
  <c r="O467" i="61" s="1"/>
  <c r="P467" i="61" s="1"/>
  <c r="M490" i="61"/>
  <c r="N490" i="61" s="1"/>
  <c r="O490" i="61" s="1"/>
  <c r="P490" i="61" s="1"/>
  <c r="M369" i="61"/>
  <c r="N369" i="61" s="1"/>
  <c r="O369" i="61" s="1"/>
  <c r="P369" i="61" s="1"/>
  <c r="M411" i="61"/>
  <c r="N411" i="61" s="1"/>
  <c r="O411" i="61" s="1"/>
  <c r="P411" i="61" s="1"/>
  <c r="M434" i="61"/>
  <c r="N434" i="61" s="1"/>
  <c r="O434" i="61" s="1"/>
  <c r="P434" i="61" s="1"/>
  <c r="M443" i="61"/>
  <c r="N443" i="61" s="1"/>
  <c r="O443" i="61" s="1"/>
  <c r="P443" i="61" s="1"/>
  <c r="M466" i="61"/>
  <c r="N466" i="61" s="1"/>
  <c r="O466" i="61" s="1"/>
  <c r="P466" i="61" s="1"/>
  <c r="M475" i="61"/>
  <c r="N475" i="61" s="1"/>
  <c r="O475" i="61" s="1"/>
  <c r="P475" i="61" s="1"/>
  <c r="M228" i="61"/>
  <c r="N228" i="61" s="1"/>
  <c r="O228" i="61" s="1"/>
  <c r="P228" i="61" s="1"/>
  <c r="M236" i="61"/>
  <c r="N236" i="61" s="1"/>
  <c r="O236" i="61" s="1"/>
  <c r="P236" i="61" s="1"/>
  <c r="M244" i="61"/>
  <c r="N244" i="61" s="1"/>
  <c r="O244" i="61" s="1"/>
  <c r="P244" i="61" s="1"/>
  <c r="M252" i="61"/>
  <c r="N252" i="61" s="1"/>
  <c r="O252" i="61" s="1"/>
  <c r="P252" i="61" s="1"/>
  <c r="M260" i="61"/>
  <c r="N260" i="61" s="1"/>
  <c r="O260" i="61" s="1"/>
  <c r="P260" i="61" s="1"/>
  <c r="M268" i="61"/>
  <c r="N268" i="61" s="1"/>
  <c r="O268" i="61" s="1"/>
  <c r="P268" i="61" s="1"/>
  <c r="M276" i="61"/>
  <c r="N276" i="61" s="1"/>
  <c r="O276" i="61" s="1"/>
  <c r="P276" i="61" s="1"/>
  <c r="M284" i="61"/>
  <c r="N284" i="61" s="1"/>
  <c r="O284" i="61" s="1"/>
  <c r="P284" i="61" s="1"/>
  <c r="M292" i="61"/>
  <c r="N292" i="61" s="1"/>
  <c r="O292" i="61" s="1"/>
  <c r="P292" i="61" s="1"/>
  <c r="M300" i="61"/>
  <c r="N300" i="61" s="1"/>
  <c r="O300" i="61" s="1"/>
  <c r="P300" i="61" s="1"/>
  <c r="M308" i="61"/>
  <c r="N308" i="61" s="1"/>
  <c r="O308" i="61" s="1"/>
  <c r="P308" i="61" s="1"/>
  <c r="M316" i="61"/>
  <c r="N316" i="61" s="1"/>
  <c r="O316" i="61" s="1"/>
  <c r="P316" i="61" s="1"/>
  <c r="M324" i="61"/>
  <c r="N324" i="61" s="1"/>
  <c r="O324" i="61" s="1"/>
  <c r="P324" i="61" s="1"/>
  <c r="M353" i="61"/>
  <c r="N353" i="61" s="1"/>
  <c r="O353" i="61" s="1"/>
  <c r="P353" i="61" s="1"/>
  <c r="N355" i="61"/>
  <c r="O355" i="61" s="1"/>
  <c r="P355" i="61" s="1"/>
  <c r="M386" i="61"/>
  <c r="N386" i="61" s="1"/>
  <c r="O386" i="61" s="1"/>
  <c r="P386" i="61" s="1"/>
  <c r="M395" i="61"/>
  <c r="N395" i="61" s="1"/>
  <c r="O395" i="61" s="1"/>
  <c r="P395" i="61" s="1"/>
  <c r="M410" i="61"/>
  <c r="N410" i="61" s="1"/>
  <c r="O410" i="61" s="1"/>
  <c r="P410" i="61" s="1"/>
  <c r="M419" i="61"/>
  <c r="N419" i="61" s="1"/>
  <c r="O419" i="61" s="1"/>
  <c r="P419" i="61" s="1"/>
  <c r="M442" i="61"/>
  <c r="N442" i="61" s="1"/>
  <c r="O442" i="61" s="1"/>
  <c r="P442" i="61" s="1"/>
  <c r="M451" i="61"/>
  <c r="N451" i="61" s="1"/>
  <c r="O451" i="61" s="1"/>
  <c r="P451" i="61" s="1"/>
  <c r="M474" i="61"/>
  <c r="N474" i="61" s="1"/>
  <c r="O474" i="61" s="1"/>
  <c r="P474" i="61" s="1"/>
  <c r="N483" i="61"/>
  <c r="O483" i="61" s="1"/>
  <c r="P483" i="61" s="1"/>
  <c r="M483" i="61"/>
  <c r="N358" i="61"/>
  <c r="O358" i="61" s="1"/>
  <c r="P358" i="61" s="1"/>
  <c r="N354" i="61"/>
  <c r="O354" i="61" s="1"/>
  <c r="P354" i="61" s="1"/>
  <c r="N366" i="61"/>
  <c r="O366" i="61" s="1"/>
  <c r="P366" i="61" s="1"/>
  <c r="N374" i="61"/>
  <c r="O374" i="61" s="1"/>
  <c r="P374" i="61" s="1"/>
  <c r="M378" i="61"/>
  <c r="N378" i="61" s="1"/>
  <c r="O378" i="61" s="1"/>
  <c r="P378" i="61" s="1"/>
  <c r="M394" i="61"/>
  <c r="N394" i="61" s="1"/>
  <c r="O394" i="61" s="1"/>
  <c r="P394" i="61" s="1"/>
  <c r="M418" i="61"/>
  <c r="N418" i="61" s="1"/>
  <c r="O418" i="61" s="1"/>
  <c r="P418" i="61" s="1"/>
  <c r="M427" i="61"/>
  <c r="N427" i="61" s="1"/>
  <c r="O427" i="61" s="1"/>
  <c r="P427" i="61" s="1"/>
  <c r="M450" i="61"/>
  <c r="N450" i="61" s="1"/>
  <c r="O450" i="61" s="1"/>
  <c r="P450" i="61" s="1"/>
  <c r="M459" i="61"/>
  <c r="N459" i="61" s="1"/>
  <c r="O459" i="61" s="1"/>
  <c r="P459" i="61" s="1"/>
  <c r="M482" i="61"/>
  <c r="N482" i="61" s="1"/>
  <c r="O482" i="61" s="1"/>
  <c r="P482" i="61" s="1"/>
  <c r="M491" i="61"/>
  <c r="N491" i="61" s="1"/>
  <c r="O491" i="61" s="1"/>
  <c r="P491" i="61" s="1"/>
  <c r="M359" i="61"/>
  <c r="N359" i="61" s="1"/>
  <c r="O359" i="61" s="1"/>
  <c r="P359" i="61" s="1"/>
  <c r="M367" i="61"/>
  <c r="N367" i="61" s="1"/>
  <c r="O367" i="61" s="1"/>
  <c r="P367" i="61" s="1"/>
  <c r="M375" i="61"/>
  <c r="N375" i="61" s="1"/>
  <c r="O375" i="61" s="1"/>
  <c r="P375" i="61" s="1"/>
  <c r="M383" i="61"/>
  <c r="N383" i="61" s="1"/>
  <c r="O383" i="61" s="1"/>
  <c r="P383" i="61" s="1"/>
  <c r="M391" i="61"/>
  <c r="N391" i="61" s="1"/>
  <c r="O391" i="61" s="1"/>
  <c r="P391" i="61" s="1"/>
  <c r="M399" i="61"/>
  <c r="N399" i="61" s="1"/>
  <c r="O399" i="61" s="1"/>
  <c r="P399" i="61" s="1"/>
  <c r="M407" i="61"/>
  <c r="N407" i="61" s="1"/>
  <c r="O407" i="61" s="1"/>
  <c r="P407" i="61" s="1"/>
  <c r="M415" i="61"/>
  <c r="N415" i="61" s="1"/>
  <c r="O415" i="61" s="1"/>
  <c r="P415" i="61" s="1"/>
  <c r="M423" i="61"/>
  <c r="N423" i="61" s="1"/>
  <c r="O423" i="61" s="1"/>
  <c r="P423" i="61" s="1"/>
  <c r="M431" i="61"/>
  <c r="N431" i="61" s="1"/>
  <c r="O431" i="61" s="1"/>
  <c r="P431" i="61" s="1"/>
  <c r="M439" i="61"/>
  <c r="N439" i="61" s="1"/>
  <c r="O439" i="61" s="1"/>
  <c r="P439" i="61" s="1"/>
  <c r="M447" i="61"/>
  <c r="N447" i="61" s="1"/>
  <c r="O447" i="61" s="1"/>
  <c r="P447" i="61" s="1"/>
  <c r="M455" i="61"/>
  <c r="N455" i="61" s="1"/>
  <c r="O455" i="61" s="1"/>
  <c r="P455" i="61" s="1"/>
  <c r="M463" i="61"/>
  <c r="N463" i="61" s="1"/>
  <c r="O463" i="61" s="1"/>
  <c r="P463" i="61" s="1"/>
  <c r="M471" i="61"/>
  <c r="N471" i="61" s="1"/>
  <c r="O471" i="61" s="1"/>
  <c r="P471" i="61" s="1"/>
  <c r="M479" i="61"/>
  <c r="N479" i="61" s="1"/>
  <c r="O479" i="61" s="1"/>
  <c r="P479" i="61" s="1"/>
  <c r="M487" i="61"/>
  <c r="N487" i="61" s="1"/>
  <c r="O487" i="61" s="1"/>
  <c r="P487" i="61" s="1"/>
  <c r="M495" i="61"/>
  <c r="N495" i="61" s="1"/>
  <c r="O495" i="61" s="1"/>
  <c r="P495" i="61" s="1"/>
  <c r="M385" i="61"/>
  <c r="N385" i="61" s="1"/>
  <c r="O385" i="61" s="1"/>
  <c r="P385" i="61" s="1"/>
  <c r="M393" i="61"/>
  <c r="N393" i="61" s="1"/>
  <c r="O393" i="61" s="1"/>
  <c r="P393" i="61" s="1"/>
  <c r="M401" i="61"/>
  <c r="N401" i="61" s="1"/>
  <c r="O401" i="61" s="1"/>
  <c r="P401" i="61" s="1"/>
  <c r="M409" i="61"/>
  <c r="N409" i="61" s="1"/>
  <c r="O409" i="61" s="1"/>
  <c r="P409" i="61" s="1"/>
  <c r="M417" i="61"/>
  <c r="N417" i="61" s="1"/>
  <c r="O417" i="61" s="1"/>
  <c r="P417" i="61" s="1"/>
  <c r="M425" i="61"/>
  <c r="N425" i="61" s="1"/>
  <c r="O425" i="61" s="1"/>
  <c r="P425" i="61" s="1"/>
  <c r="M433" i="61"/>
  <c r="N433" i="61" s="1"/>
  <c r="O433" i="61" s="1"/>
  <c r="P433" i="61" s="1"/>
  <c r="M441" i="61"/>
  <c r="N441" i="61" s="1"/>
  <c r="O441" i="61" s="1"/>
  <c r="P441" i="61" s="1"/>
  <c r="M449" i="61"/>
  <c r="N449" i="61" s="1"/>
  <c r="O449" i="61" s="1"/>
  <c r="P449" i="61" s="1"/>
  <c r="M457" i="61"/>
  <c r="N457" i="61" s="1"/>
  <c r="O457" i="61" s="1"/>
  <c r="P457" i="61" s="1"/>
  <c r="M465" i="61"/>
  <c r="N465" i="61" s="1"/>
  <c r="O465" i="61" s="1"/>
  <c r="P465" i="61" s="1"/>
  <c r="M473" i="61"/>
  <c r="N473" i="61" s="1"/>
  <c r="O473" i="61" s="1"/>
  <c r="P473" i="61" s="1"/>
  <c r="M481" i="61"/>
  <c r="N481" i="61" s="1"/>
  <c r="O481" i="61" s="1"/>
  <c r="P481" i="61" s="1"/>
  <c r="M489" i="61"/>
  <c r="N489" i="61" s="1"/>
  <c r="O489" i="61" s="1"/>
  <c r="P489" i="61" s="1"/>
  <c r="P11" i="61" l="1"/>
  <c r="P50" i="61" s="1"/>
  <c r="P13" i="30" l="1"/>
  <c r="P14" i="30" s="1"/>
  <c r="D7" i="30" l="1"/>
  <c r="D9" i="57" l="1"/>
  <c r="H9" i="29" l="1"/>
  <c r="D24" i="27"/>
  <c r="J9" i="57" a="1"/>
  <c r="F9" i="57" a="1"/>
  <c r="J9" i="57" l="1"/>
  <c r="F9" i="57"/>
  <c r="R9" i="57" s="1"/>
  <c r="N9" i="57" l="1"/>
  <c r="M7" i="27" l="1"/>
  <c r="M8" i="27"/>
  <c r="M9" i="27"/>
  <c r="M10" i="27"/>
  <c r="M11" i="27"/>
  <c r="M12" i="27"/>
  <c r="M13" i="27"/>
  <c r="M14" i="27"/>
  <c r="M15" i="27"/>
  <c r="M16" i="27"/>
  <c r="M17" i="27"/>
  <c r="M6" i="27"/>
  <c r="L17" i="27"/>
  <c r="L7" i="27"/>
  <c r="L8" i="27"/>
  <c r="L9" i="27"/>
  <c r="L10" i="27"/>
  <c r="L11" i="27"/>
  <c r="L12" i="27"/>
  <c r="L13" i="27"/>
  <c r="L14" i="27"/>
  <c r="L15" i="27"/>
  <c r="L16" i="27"/>
  <c r="L6" i="27"/>
  <c r="K7" i="27"/>
  <c r="K8" i="27"/>
  <c r="K9" i="27"/>
  <c r="K10" i="27"/>
  <c r="K11" i="27"/>
  <c r="K12" i="27"/>
  <c r="K13" i="27"/>
  <c r="K14" i="27"/>
  <c r="K15" i="27"/>
  <c r="K16" i="27"/>
  <c r="K17" i="27"/>
  <c r="K6" i="27"/>
  <c r="J7" i="27"/>
  <c r="J8" i="27"/>
  <c r="J9" i="27"/>
  <c r="J10" i="27"/>
  <c r="J11" i="27"/>
  <c r="J12" i="27"/>
  <c r="J13" i="27"/>
  <c r="J14" i="27"/>
  <c r="J15" i="27"/>
  <c r="J16" i="27"/>
  <c r="J17" i="27"/>
  <c r="J6" i="27"/>
  <c r="D25" i="27"/>
  <c r="D26" i="27"/>
  <c r="D27" i="27"/>
  <c r="D28" i="27"/>
  <c r="D29" i="27"/>
  <c r="D30" i="27"/>
  <c r="D31" i="27"/>
  <c r="D32" i="27"/>
  <c r="D33" i="27"/>
  <c r="D34" i="27"/>
  <c r="D23" i="27"/>
  <c r="C17" i="30"/>
  <c r="C16" i="30"/>
  <c r="C22" i="30"/>
  <c r="G11" i="30"/>
  <c r="F7" i="30"/>
  <c r="D8" i="30"/>
  <c r="C8" i="30"/>
  <c r="E8" i="30" l="1"/>
  <c r="E7" i="30"/>
  <c r="F86" i="48"/>
  <c r="M98" i="48"/>
  <c r="O21" i="39" l="1"/>
  <c r="U19" i="59" a="1"/>
  <c r="U19" i="59" l="1"/>
  <c r="L80" i="52" l="1"/>
  <c r="G80" i="40"/>
  <c r="D80" i="43"/>
  <c r="D80" i="44"/>
  <c r="I80" i="48"/>
  <c r="N21" i="39"/>
  <c r="M21" i="39" l="1"/>
  <c r="C13" i="30" l="1"/>
  <c r="E12" i="30" l="1"/>
  <c r="I21" i="39"/>
  <c r="J21" i="39"/>
  <c r="K21" i="39"/>
  <c r="L21" i="39"/>
  <c r="F60" i="59" l="1"/>
  <c r="K30" i="59"/>
  <c r="K31" i="59"/>
  <c r="J31" i="59"/>
  <c r="J30" i="59"/>
  <c r="U17" i="59" a="1"/>
  <c r="U26" i="59" a="1"/>
  <c r="U20" i="59" a="1"/>
  <c r="U10" i="59" a="1"/>
  <c r="U24" i="59" a="1"/>
  <c r="U22" i="59" a="1"/>
  <c r="U12" i="59" a="1"/>
  <c r="U25" i="59" a="1"/>
  <c r="U23" i="59" a="1"/>
  <c r="U13" i="59" a="1"/>
  <c r="U15" i="59" a="1"/>
  <c r="U14" i="59" a="1"/>
  <c r="U11" i="59" a="1"/>
  <c r="U16" i="59" a="1"/>
  <c r="U27" i="59" a="1"/>
  <c r="U21" i="59" a="1"/>
  <c r="U9" i="59" a="1"/>
  <c r="U18" i="59" a="1"/>
  <c r="U25" i="59" l="1"/>
  <c r="U14" i="59"/>
  <c r="U26" i="59"/>
  <c r="U17" i="59"/>
  <c r="U10" i="59"/>
  <c r="U18" i="59"/>
  <c r="U22" i="59"/>
  <c r="U15" i="59"/>
  <c r="U27" i="59"/>
  <c r="U21" i="59"/>
  <c r="U11" i="59"/>
  <c r="U23" i="59"/>
  <c r="U16" i="59"/>
  <c r="U13" i="59"/>
  <c r="U12" i="59"/>
  <c r="U20" i="59"/>
  <c r="U24" i="59"/>
  <c r="U9" i="59"/>
  <c r="K29" i="59"/>
  <c r="C27" i="59" l="1"/>
  <c r="C26" i="59"/>
  <c r="C25" i="59"/>
  <c r="C24" i="59"/>
  <c r="C23" i="59"/>
  <c r="C22" i="59"/>
  <c r="C21" i="59"/>
  <c r="C20" i="59"/>
  <c r="C19" i="59"/>
  <c r="C18" i="59"/>
  <c r="C17" i="59"/>
  <c r="C16" i="59"/>
  <c r="C15" i="59"/>
  <c r="C14" i="59"/>
  <c r="C13" i="59"/>
  <c r="C12" i="59"/>
  <c r="C11" i="59"/>
  <c r="C10" i="59"/>
  <c r="C9" i="59"/>
  <c r="C2" i="59"/>
  <c r="D17" i="59" l="1"/>
  <c r="E17" i="59"/>
  <c r="D25" i="59"/>
  <c r="E25" i="59"/>
  <c r="D10" i="59"/>
  <c r="E10" i="59"/>
  <c r="D18" i="59"/>
  <c r="E18" i="59"/>
  <c r="D26" i="59"/>
  <c r="E26" i="59"/>
  <c r="D19" i="59"/>
  <c r="E19" i="59"/>
  <c r="D27" i="59"/>
  <c r="E27" i="59"/>
  <c r="D11" i="59"/>
  <c r="E11" i="59"/>
  <c r="D12" i="59"/>
  <c r="E12" i="59"/>
  <c r="D20" i="59"/>
  <c r="E20" i="59"/>
  <c r="D9" i="59"/>
  <c r="E9" i="59"/>
  <c r="D13" i="59"/>
  <c r="E13" i="59"/>
  <c r="D21" i="59"/>
  <c r="E21" i="59"/>
  <c r="D24" i="59"/>
  <c r="E24" i="59"/>
  <c r="D14" i="59"/>
  <c r="E14" i="59"/>
  <c r="D22" i="59"/>
  <c r="E22" i="59"/>
  <c r="D16" i="59"/>
  <c r="E16" i="59"/>
  <c r="D15" i="59"/>
  <c r="E15" i="59"/>
  <c r="D23" i="59"/>
  <c r="E23" i="59"/>
  <c r="D28" i="59" l="1"/>
  <c r="E28" i="59"/>
  <c r="C6" i="27" l="1"/>
  <c r="D6" i="27"/>
  <c r="E6" i="27"/>
  <c r="F6" i="27"/>
  <c r="O80" i="49"/>
  <c r="O80" i="45"/>
  <c r="L80" i="44"/>
  <c r="L80" i="55"/>
  <c r="O80" i="44"/>
  <c r="T80" i="35"/>
  <c r="C37" i="30"/>
  <c r="C35" i="30"/>
  <c r="D37" i="30"/>
  <c r="D35" i="30"/>
  <c r="D28" i="30"/>
  <c r="C28" i="30"/>
  <c r="D23" i="30"/>
  <c r="C23" i="30"/>
  <c r="D22" i="30"/>
  <c r="E22" i="30" s="1"/>
  <c r="D21" i="30"/>
  <c r="C21" i="30"/>
  <c r="D20" i="30"/>
  <c r="C20" i="30"/>
  <c r="D17" i="30"/>
  <c r="D16" i="30"/>
  <c r="E16" i="30" s="1"/>
  <c r="D15" i="30"/>
  <c r="E15" i="30" s="1"/>
  <c r="B201" i="31"/>
  <c r="G201" i="31" s="1"/>
  <c r="C201" i="31"/>
  <c r="D201" i="31"/>
  <c r="E201" i="31"/>
  <c r="F201" i="31"/>
  <c r="B202" i="31"/>
  <c r="G202" i="31" s="1"/>
  <c r="C202" i="31"/>
  <c r="D202" i="31"/>
  <c r="E202" i="31"/>
  <c r="F202" i="31"/>
  <c r="B203" i="31"/>
  <c r="G203" i="31" s="1"/>
  <c r="C203" i="31"/>
  <c r="D203" i="31"/>
  <c r="E203" i="31"/>
  <c r="F203" i="31"/>
  <c r="B204" i="31"/>
  <c r="G204" i="31" s="1"/>
  <c r="H204" i="31" s="1"/>
  <c r="I204" i="31" s="1"/>
  <c r="J204" i="31" s="1"/>
  <c r="C204" i="31"/>
  <c r="D204" i="31"/>
  <c r="E204" i="31"/>
  <c r="F204" i="31"/>
  <c r="B205" i="31"/>
  <c r="G205" i="31" s="1"/>
  <c r="C205" i="31"/>
  <c r="D205" i="31"/>
  <c r="E205" i="31"/>
  <c r="F205" i="31"/>
  <c r="B206" i="31"/>
  <c r="G206" i="31" s="1"/>
  <c r="C206" i="31"/>
  <c r="D206" i="31"/>
  <c r="E206" i="31"/>
  <c r="F206" i="31"/>
  <c r="B207" i="31"/>
  <c r="G207" i="31" s="1"/>
  <c r="C207" i="31"/>
  <c r="D207" i="31"/>
  <c r="E207" i="31"/>
  <c r="F207" i="31"/>
  <c r="B208" i="31"/>
  <c r="G208" i="31" s="1"/>
  <c r="C208" i="31"/>
  <c r="D208" i="31"/>
  <c r="E208" i="31"/>
  <c r="F208" i="31"/>
  <c r="B209" i="31"/>
  <c r="G209" i="31" s="1"/>
  <c r="C209" i="31"/>
  <c r="D209" i="31"/>
  <c r="E209" i="31"/>
  <c r="F209" i="31"/>
  <c r="B210" i="31"/>
  <c r="G210" i="31" s="1"/>
  <c r="C210" i="31"/>
  <c r="D210" i="31"/>
  <c r="E210" i="31"/>
  <c r="F210" i="31"/>
  <c r="B211" i="31"/>
  <c r="G211" i="31" s="1"/>
  <c r="C211" i="31"/>
  <c r="D211" i="31"/>
  <c r="E211" i="31"/>
  <c r="F211" i="31"/>
  <c r="B212" i="31"/>
  <c r="G212" i="31" s="1"/>
  <c r="C212" i="31"/>
  <c r="D212" i="31"/>
  <c r="E212" i="31"/>
  <c r="F212" i="31"/>
  <c r="B213" i="31"/>
  <c r="G213" i="31" s="1"/>
  <c r="C213" i="31"/>
  <c r="D213" i="31"/>
  <c r="E213" i="31"/>
  <c r="F213" i="31"/>
  <c r="B214" i="31"/>
  <c r="G214" i="31" s="1"/>
  <c r="C214" i="31"/>
  <c r="D214" i="31"/>
  <c r="E214" i="31"/>
  <c r="F214" i="31"/>
  <c r="B215" i="31"/>
  <c r="G215" i="31" s="1"/>
  <c r="C215" i="31"/>
  <c r="D215" i="31"/>
  <c r="E215" i="31"/>
  <c r="F215" i="31"/>
  <c r="B216" i="31"/>
  <c r="G216" i="31" s="1"/>
  <c r="C216" i="31"/>
  <c r="D216" i="31"/>
  <c r="E216" i="31"/>
  <c r="F216" i="31"/>
  <c r="B217" i="31"/>
  <c r="G217" i="31" s="1"/>
  <c r="C217" i="31"/>
  <c r="D217" i="31"/>
  <c r="E217" i="31"/>
  <c r="F217" i="31"/>
  <c r="B218" i="31"/>
  <c r="G218" i="31" s="1"/>
  <c r="C218" i="31"/>
  <c r="D218" i="31"/>
  <c r="E218" i="31"/>
  <c r="F218" i="31"/>
  <c r="B219" i="31"/>
  <c r="G219" i="31" s="1"/>
  <c r="C219" i="31"/>
  <c r="D219" i="31"/>
  <c r="E219" i="31"/>
  <c r="F219" i="31"/>
  <c r="B220" i="31"/>
  <c r="G220" i="31" s="1"/>
  <c r="C220" i="31"/>
  <c r="D220" i="31"/>
  <c r="E220" i="31"/>
  <c r="F220" i="31"/>
  <c r="B221" i="31"/>
  <c r="G221" i="31" s="1"/>
  <c r="C221" i="31"/>
  <c r="D221" i="31"/>
  <c r="E221" i="31"/>
  <c r="F221" i="31"/>
  <c r="B222" i="31"/>
  <c r="G222" i="31" s="1"/>
  <c r="C222" i="31"/>
  <c r="D222" i="31"/>
  <c r="E222" i="31"/>
  <c r="F222" i="31"/>
  <c r="B223" i="31"/>
  <c r="G223" i="31" s="1"/>
  <c r="C223" i="31"/>
  <c r="D223" i="31"/>
  <c r="E223" i="31"/>
  <c r="F223" i="31"/>
  <c r="B224" i="31"/>
  <c r="G224" i="31" s="1"/>
  <c r="C224" i="31"/>
  <c r="D224" i="31"/>
  <c r="E224" i="31"/>
  <c r="F224" i="31"/>
  <c r="B225" i="31"/>
  <c r="G225" i="31" s="1"/>
  <c r="C225" i="31"/>
  <c r="D225" i="31"/>
  <c r="E225" i="31"/>
  <c r="F225" i="31"/>
  <c r="B226" i="31"/>
  <c r="G226" i="31" s="1"/>
  <c r="C226" i="31"/>
  <c r="D226" i="31"/>
  <c r="E226" i="31"/>
  <c r="F226" i="31"/>
  <c r="B227" i="31"/>
  <c r="G227" i="31" s="1"/>
  <c r="C227" i="31"/>
  <c r="D227" i="31"/>
  <c r="E227" i="31"/>
  <c r="F227" i="31"/>
  <c r="B228" i="31"/>
  <c r="G228" i="31" s="1"/>
  <c r="C228" i="31"/>
  <c r="D228" i="31"/>
  <c r="E228" i="31"/>
  <c r="F228" i="31"/>
  <c r="B229" i="31"/>
  <c r="G229" i="31" s="1"/>
  <c r="C229" i="31"/>
  <c r="D229" i="31"/>
  <c r="E229" i="31"/>
  <c r="F229" i="31"/>
  <c r="B230" i="31"/>
  <c r="G230" i="31" s="1"/>
  <c r="C230" i="31"/>
  <c r="D230" i="31"/>
  <c r="E230" i="31"/>
  <c r="F230" i="31"/>
  <c r="B231" i="31"/>
  <c r="G231" i="31" s="1"/>
  <c r="C231" i="31"/>
  <c r="D231" i="31"/>
  <c r="E231" i="31"/>
  <c r="F231" i="31"/>
  <c r="B232" i="31"/>
  <c r="G232" i="31" s="1"/>
  <c r="C232" i="31"/>
  <c r="D232" i="31"/>
  <c r="E232" i="31"/>
  <c r="F232" i="31"/>
  <c r="B233" i="31"/>
  <c r="G233" i="31" s="1"/>
  <c r="C233" i="31"/>
  <c r="D233" i="31"/>
  <c r="E233" i="31"/>
  <c r="F233" i="31"/>
  <c r="B234" i="31"/>
  <c r="G234" i="31" s="1"/>
  <c r="C234" i="31"/>
  <c r="D234" i="31"/>
  <c r="E234" i="31"/>
  <c r="F234" i="31"/>
  <c r="B235" i="31"/>
  <c r="C235" i="31"/>
  <c r="D235" i="31"/>
  <c r="E235" i="31"/>
  <c r="F235" i="31"/>
  <c r="B236" i="31"/>
  <c r="G236" i="31" s="1"/>
  <c r="C236" i="31"/>
  <c r="D236" i="31"/>
  <c r="E236" i="31"/>
  <c r="F236" i="31"/>
  <c r="B237" i="31"/>
  <c r="G237" i="31" s="1"/>
  <c r="C237" i="31"/>
  <c r="D237" i="31"/>
  <c r="E237" i="31"/>
  <c r="F237" i="31"/>
  <c r="B238" i="31"/>
  <c r="G238" i="31" s="1"/>
  <c r="C238" i="31"/>
  <c r="D238" i="31"/>
  <c r="E238" i="31"/>
  <c r="F238" i="31"/>
  <c r="B239" i="31"/>
  <c r="G239" i="31" s="1"/>
  <c r="C239" i="31"/>
  <c r="D239" i="31"/>
  <c r="E239" i="31"/>
  <c r="F239" i="31"/>
  <c r="B240" i="31"/>
  <c r="G240" i="31" s="1"/>
  <c r="C240" i="31"/>
  <c r="D240" i="31"/>
  <c r="E240" i="31"/>
  <c r="F240" i="31"/>
  <c r="B241" i="31"/>
  <c r="G241" i="31" s="1"/>
  <c r="C241" i="31"/>
  <c r="D241" i="31"/>
  <c r="E241" i="31"/>
  <c r="F241" i="31"/>
  <c r="B242" i="31"/>
  <c r="G242" i="31" s="1"/>
  <c r="C242" i="31"/>
  <c r="D242" i="31"/>
  <c r="E242" i="31"/>
  <c r="F242" i="31"/>
  <c r="B243" i="31"/>
  <c r="C243" i="31"/>
  <c r="D243" i="31"/>
  <c r="E243" i="31"/>
  <c r="F243" i="31"/>
  <c r="B244" i="31"/>
  <c r="G244" i="31" s="1"/>
  <c r="C244" i="31"/>
  <c r="D244" i="31"/>
  <c r="E244" i="31"/>
  <c r="F244" i="31"/>
  <c r="B245" i="31"/>
  <c r="G245" i="31" s="1"/>
  <c r="C245" i="31"/>
  <c r="D245" i="31"/>
  <c r="E245" i="31"/>
  <c r="F245" i="31"/>
  <c r="B246" i="31"/>
  <c r="G246" i="31" s="1"/>
  <c r="C246" i="31"/>
  <c r="D246" i="31"/>
  <c r="E246" i="31"/>
  <c r="F246" i="31"/>
  <c r="B247" i="31"/>
  <c r="G247" i="31" s="1"/>
  <c r="C247" i="31"/>
  <c r="D247" i="31"/>
  <c r="E247" i="31"/>
  <c r="F247" i="31"/>
  <c r="B248" i="31"/>
  <c r="C248" i="31"/>
  <c r="D248" i="31"/>
  <c r="E248" i="31"/>
  <c r="F248" i="31"/>
  <c r="B249" i="31"/>
  <c r="G249" i="31" s="1"/>
  <c r="C249" i="31"/>
  <c r="D249" i="31"/>
  <c r="E249" i="31"/>
  <c r="F249" i="31"/>
  <c r="B250" i="31"/>
  <c r="C250" i="31"/>
  <c r="D250" i="31"/>
  <c r="E250" i="31"/>
  <c r="F250" i="31"/>
  <c r="B251" i="31"/>
  <c r="G251" i="31" s="1"/>
  <c r="C251" i="31"/>
  <c r="D251" i="31"/>
  <c r="E251" i="31"/>
  <c r="F251" i="31"/>
  <c r="B252" i="31"/>
  <c r="G252" i="31" s="1"/>
  <c r="C252" i="31"/>
  <c r="D252" i="31"/>
  <c r="E252" i="31"/>
  <c r="F252" i="31"/>
  <c r="B253" i="31"/>
  <c r="G253" i="31" s="1"/>
  <c r="C253" i="31"/>
  <c r="D253" i="31"/>
  <c r="E253" i="31"/>
  <c r="F253" i="31"/>
  <c r="B254" i="31"/>
  <c r="G254" i="31" s="1"/>
  <c r="C254" i="31"/>
  <c r="D254" i="31"/>
  <c r="E254" i="31"/>
  <c r="F254" i="31"/>
  <c r="B255" i="31"/>
  <c r="G255" i="31" s="1"/>
  <c r="C255" i="31"/>
  <c r="D255" i="31"/>
  <c r="E255" i="31"/>
  <c r="F255" i="31"/>
  <c r="B256" i="31"/>
  <c r="G256" i="31" s="1"/>
  <c r="C256" i="31"/>
  <c r="D256" i="31"/>
  <c r="E256" i="31"/>
  <c r="F256" i="31"/>
  <c r="B257" i="31"/>
  <c r="C257" i="31"/>
  <c r="D257" i="31"/>
  <c r="E257" i="31"/>
  <c r="F257" i="31"/>
  <c r="B258" i="31"/>
  <c r="G258" i="31" s="1"/>
  <c r="C258" i="31"/>
  <c r="D258" i="31"/>
  <c r="E258" i="31"/>
  <c r="F258" i="31"/>
  <c r="B259" i="31"/>
  <c r="C259" i="31"/>
  <c r="D259" i="31"/>
  <c r="E259" i="31"/>
  <c r="F259" i="31"/>
  <c r="B260" i="31"/>
  <c r="G260" i="31" s="1"/>
  <c r="C260" i="31"/>
  <c r="D260" i="31"/>
  <c r="E260" i="31"/>
  <c r="F260" i="31"/>
  <c r="B261" i="31"/>
  <c r="G261" i="31" s="1"/>
  <c r="C261" i="31"/>
  <c r="D261" i="31"/>
  <c r="E261" i="31"/>
  <c r="F261" i="31"/>
  <c r="B262" i="31"/>
  <c r="G262" i="31" s="1"/>
  <c r="C262" i="31"/>
  <c r="D262" i="31"/>
  <c r="E262" i="31"/>
  <c r="F262" i="31"/>
  <c r="B263" i="31"/>
  <c r="G263" i="31" s="1"/>
  <c r="C263" i="31"/>
  <c r="D263" i="31"/>
  <c r="E263" i="31"/>
  <c r="F263" i="31"/>
  <c r="B264" i="31"/>
  <c r="G264" i="31" s="1"/>
  <c r="C264" i="31"/>
  <c r="D264" i="31"/>
  <c r="E264" i="31"/>
  <c r="F264" i="31"/>
  <c r="B265" i="31"/>
  <c r="C265" i="31"/>
  <c r="D265" i="31"/>
  <c r="E265" i="31"/>
  <c r="F265" i="31"/>
  <c r="B266" i="31"/>
  <c r="G266" i="31" s="1"/>
  <c r="C266" i="31"/>
  <c r="D266" i="31"/>
  <c r="E266" i="31"/>
  <c r="F266" i="31"/>
  <c r="B267" i="31"/>
  <c r="G267" i="31" s="1"/>
  <c r="C267" i="31"/>
  <c r="D267" i="31"/>
  <c r="E267" i="31"/>
  <c r="F267" i="31"/>
  <c r="B268" i="31"/>
  <c r="G268" i="31" s="1"/>
  <c r="C268" i="31"/>
  <c r="D268" i="31"/>
  <c r="E268" i="31"/>
  <c r="F268" i="31"/>
  <c r="B269" i="31"/>
  <c r="G269" i="31" s="1"/>
  <c r="C269" i="31"/>
  <c r="D269" i="31"/>
  <c r="E269" i="31"/>
  <c r="F269" i="31"/>
  <c r="B270" i="31"/>
  <c r="G270" i="31" s="1"/>
  <c r="C270" i="31"/>
  <c r="D270" i="31"/>
  <c r="E270" i="31"/>
  <c r="F270" i="31"/>
  <c r="B271" i="31"/>
  <c r="G271" i="31" s="1"/>
  <c r="C271" i="31"/>
  <c r="D271" i="31"/>
  <c r="E271" i="31"/>
  <c r="F271" i="31"/>
  <c r="B272" i="31"/>
  <c r="G272" i="31" s="1"/>
  <c r="C272" i="31"/>
  <c r="D272" i="31"/>
  <c r="E272" i="31"/>
  <c r="F272" i="31"/>
  <c r="B273" i="31"/>
  <c r="C273" i="31"/>
  <c r="D273" i="31"/>
  <c r="E273" i="31"/>
  <c r="F273" i="31"/>
  <c r="B274" i="31"/>
  <c r="G274" i="31" s="1"/>
  <c r="C274" i="31"/>
  <c r="D274" i="31"/>
  <c r="E274" i="31"/>
  <c r="F274" i="31"/>
  <c r="B275" i="31"/>
  <c r="G275" i="31" s="1"/>
  <c r="C275" i="31"/>
  <c r="D275" i="31"/>
  <c r="E275" i="31"/>
  <c r="F275" i="31"/>
  <c r="B276" i="31"/>
  <c r="G276" i="31" s="1"/>
  <c r="C276" i="31"/>
  <c r="D276" i="31"/>
  <c r="E276" i="31"/>
  <c r="F276" i="31"/>
  <c r="B277" i="31"/>
  <c r="G277" i="31" s="1"/>
  <c r="C277" i="31"/>
  <c r="D277" i="31"/>
  <c r="E277" i="31"/>
  <c r="F277" i="31"/>
  <c r="B278" i="31"/>
  <c r="G278" i="31" s="1"/>
  <c r="C278" i="31"/>
  <c r="D278" i="31"/>
  <c r="E278" i="31"/>
  <c r="F278" i="31"/>
  <c r="B279" i="31"/>
  <c r="G279" i="31" s="1"/>
  <c r="C279" i="31"/>
  <c r="D279" i="31"/>
  <c r="E279" i="31"/>
  <c r="F279" i="31"/>
  <c r="B280" i="31"/>
  <c r="G280" i="31" s="1"/>
  <c r="C280" i="31"/>
  <c r="D280" i="31"/>
  <c r="E280" i="31"/>
  <c r="F280" i="31"/>
  <c r="B281" i="31"/>
  <c r="C281" i="31"/>
  <c r="D281" i="31"/>
  <c r="E281" i="31"/>
  <c r="F281" i="31"/>
  <c r="B282" i="31"/>
  <c r="G282" i="31" s="1"/>
  <c r="C282" i="31"/>
  <c r="D282" i="31"/>
  <c r="E282" i="31"/>
  <c r="F282" i="31"/>
  <c r="B283" i="31"/>
  <c r="G283" i="31" s="1"/>
  <c r="C283" i="31"/>
  <c r="D283" i="31"/>
  <c r="E283" i="31"/>
  <c r="F283" i="31"/>
  <c r="B284" i="31"/>
  <c r="G284" i="31" s="1"/>
  <c r="C284" i="31"/>
  <c r="D284" i="31"/>
  <c r="E284" i="31"/>
  <c r="F284" i="31"/>
  <c r="B285" i="31"/>
  <c r="G285" i="31" s="1"/>
  <c r="C285" i="31"/>
  <c r="D285" i="31"/>
  <c r="E285" i="31"/>
  <c r="F285" i="31"/>
  <c r="B286" i="31"/>
  <c r="G286" i="31" s="1"/>
  <c r="C286" i="31"/>
  <c r="D286" i="31"/>
  <c r="E286" i="31"/>
  <c r="F286" i="31"/>
  <c r="B287" i="31"/>
  <c r="G287" i="31" s="1"/>
  <c r="C287" i="31"/>
  <c r="D287" i="31"/>
  <c r="E287" i="31"/>
  <c r="F287" i="31"/>
  <c r="B288" i="31"/>
  <c r="G288" i="31" s="1"/>
  <c r="C288" i="31"/>
  <c r="D288" i="31"/>
  <c r="E288" i="31"/>
  <c r="F288" i="31"/>
  <c r="B289" i="31"/>
  <c r="G289" i="31" s="1"/>
  <c r="C289" i="31"/>
  <c r="D289" i="31"/>
  <c r="E289" i="31"/>
  <c r="F289" i="31"/>
  <c r="B290" i="31"/>
  <c r="G290" i="31" s="1"/>
  <c r="C290" i="31"/>
  <c r="D290" i="31"/>
  <c r="E290" i="31"/>
  <c r="F290" i="31"/>
  <c r="B291" i="31"/>
  <c r="G291" i="31" s="1"/>
  <c r="C291" i="31"/>
  <c r="D291" i="31"/>
  <c r="E291" i="31"/>
  <c r="F291" i="31"/>
  <c r="B292" i="31"/>
  <c r="G292" i="31" s="1"/>
  <c r="C292" i="31"/>
  <c r="D292" i="31"/>
  <c r="E292" i="31"/>
  <c r="F292" i="31"/>
  <c r="B293" i="31"/>
  <c r="G293" i="31" s="1"/>
  <c r="C293" i="31"/>
  <c r="D293" i="31"/>
  <c r="E293" i="31"/>
  <c r="F293" i="31"/>
  <c r="B294" i="31"/>
  <c r="G294" i="31" s="1"/>
  <c r="C294" i="31"/>
  <c r="D294" i="31"/>
  <c r="E294" i="31"/>
  <c r="F294" i="31"/>
  <c r="B295" i="31"/>
  <c r="C295" i="31"/>
  <c r="D295" i="31"/>
  <c r="E295" i="31"/>
  <c r="F295" i="31"/>
  <c r="B296" i="31"/>
  <c r="G296" i="31" s="1"/>
  <c r="C296" i="31"/>
  <c r="D296" i="31"/>
  <c r="E296" i="31"/>
  <c r="F296" i="31"/>
  <c r="B297" i="31"/>
  <c r="G297" i="31" s="1"/>
  <c r="C297" i="31"/>
  <c r="D297" i="31"/>
  <c r="E297" i="31"/>
  <c r="F297" i="31"/>
  <c r="B298" i="31"/>
  <c r="G298" i="31" s="1"/>
  <c r="C298" i="31"/>
  <c r="D298" i="31"/>
  <c r="E298" i="31"/>
  <c r="F298" i="31"/>
  <c r="B299" i="31"/>
  <c r="C299" i="31"/>
  <c r="D299" i="31"/>
  <c r="E299" i="31"/>
  <c r="F299" i="31"/>
  <c r="B300" i="31"/>
  <c r="G300" i="31" s="1"/>
  <c r="C300" i="31"/>
  <c r="D300" i="31"/>
  <c r="E300" i="31"/>
  <c r="F300" i="31"/>
  <c r="B301" i="31"/>
  <c r="G301" i="31" s="1"/>
  <c r="C301" i="31"/>
  <c r="D301" i="31"/>
  <c r="E301" i="31"/>
  <c r="F301" i="31"/>
  <c r="B302" i="31"/>
  <c r="G302" i="31" s="1"/>
  <c r="C302" i="31"/>
  <c r="D302" i="31"/>
  <c r="E302" i="31"/>
  <c r="F302" i="31"/>
  <c r="B303" i="31"/>
  <c r="G303" i="31" s="1"/>
  <c r="C303" i="31"/>
  <c r="D303" i="31"/>
  <c r="E303" i="31"/>
  <c r="F303" i="31"/>
  <c r="B304" i="31"/>
  <c r="G304" i="31" s="1"/>
  <c r="C304" i="31"/>
  <c r="D304" i="31"/>
  <c r="E304" i="31"/>
  <c r="F304" i="31"/>
  <c r="B305" i="31"/>
  <c r="G305" i="31" s="1"/>
  <c r="C305" i="31"/>
  <c r="D305" i="31"/>
  <c r="E305" i="31"/>
  <c r="F305" i="31"/>
  <c r="B306" i="31"/>
  <c r="G306" i="31" s="1"/>
  <c r="C306" i="31"/>
  <c r="D306" i="31"/>
  <c r="E306" i="31"/>
  <c r="F306" i="31"/>
  <c r="B307" i="31"/>
  <c r="G307" i="31" s="1"/>
  <c r="C307" i="31"/>
  <c r="D307" i="31"/>
  <c r="E307" i="31"/>
  <c r="F307" i="31"/>
  <c r="B308" i="31"/>
  <c r="G308" i="31" s="1"/>
  <c r="C308" i="31"/>
  <c r="D308" i="31"/>
  <c r="E308" i="31"/>
  <c r="F308" i="31"/>
  <c r="B309" i="31"/>
  <c r="C309" i="31"/>
  <c r="D309" i="31"/>
  <c r="E309" i="31"/>
  <c r="F309" i="31"/>
  <c r="B310" i="31"/>
  <c r="G310" i="31" s="1"/>
  <c r="C310" i="31"/>
  <c r="D310" i="31"/>
  <c r="E310" i="31"/>
  <c r="F310" i="31"/>
  <c r="B311" i="31"/>
  <c r="G311" i="31" s="1"/>
  <c r="C311" i="31"/>
  <c r="D311" i="31"/>
  <c r="E311" i="31"/>
  <c r="F311" i="31"/>
  <c r="B312" i="31"/>
  <c r="G312" i="31" s="1"/>
  <c r="C312" i="31"/>
  <c r="D312" i="31"/>
  <c r="E312" i="31"/>
  <c r="F312" i="31"/>
  <c r="B313" i="31"/>
  <c r="G313" i="31" s="1"/>
  <c r="C313" i="31"/>
  <c r="D313" i="31"/>
  <c r="E313" i="31"/>
  <c r="F313" i="31"/>
  <c r="B314" i="31"/>
  <c r="G314" i="31" s="1"/>
  <c r="C314" i="31"/>
  <c r="D314" i="31"/>
  <c r="E314" i="31"/>
  <c r="F314" i="31"/>
  <c r="B315" i="31"/>
  <c r="G315" i="31" s="1"/>
  <c r="C315" i="31"/>
  <c r="D315" i="31"/>
  <c r="E315" i="31"/>
  <c r="F315" i="31"/>
  <c r="B316" i="31"/>
  <c r="G316" i="31" s="1"/>
  <c r="C316" i="31"/>
  <c r="D316" i="31"/>
  <c r="E316" i="31"/>
  <c r="F316" i="31"/>
  <c r="B317" i="31"/>
  <c r="C317" i="31"/>
  <c r="D317" i="31"/>
  <c r="E317" i="31"/>
  <c r="F317" i="31"/>
  <c r="B318" i="31"/>
  <c r="G318" i="31" s="1"/>
  <c r="C318" i="31"/>
  <c r="D318" i="31"/>
  <c r="E318" i="31"/>
  <c r="F318" i="31"/>
  <c r="B319" i="31"/>
  <c r="G319" i="31" s="1"/>
  <c r="C319" i="31"/>
  <c r="D319" i="31"/>
  <c r="E319" i="31"/>
  <c r="F319" i="31"/>
  <c r="B320" i="31"/>
  <c r="G320" i="31" s="1"/>
  <c r="C320" i="31"/>
  <c r="D320" i="31"/>
  <c r="E320" i="31"/>
  <c r="F320" i="31"/>
  <c r="B321" i="31"/>
  <c r="G321" i="31" s="1"/>
  <c r="C321" i="31"/>
  <c r="D321" i="31"/>
  <c r="E321" i="31"/>
  <c r="F321" i="31"/>
  <c r="B322" i="31"/>
  <c r="G322" i="31" s="1"/>
  <c r="C322" i="31"/>
  <c r="D322" i="31"/>
  <c r="E322" i="31"/>
  <c r="F322" i="31"/>
  <c r="B323" i="31"/>
  <c r="G323" i="31" s="1"/>
  <c r="C323" i="31"/>
  <c r="D323" i="31"/>
  <c r="E323" i="31"/>
  <c r="F323" i="31"/>
  <c r="B324" i="31"/>
  <c r="G324" i="31" s="1"/>
  <c r="C324" i="31"/>
  <c r="D324" i="31"/>
  <c r="E324" i="31"/>
  <c r="F324" i="31"/>
  <c r="B325" i="31"/>
  <c r="G325" i="31" s="1"/>
  <c r="C325" i="31"/>
  <c r="D325" i="31"/>
  <c r="E325" i="31"/>
  <c r="F325" i="31"/>
  <c r="B326" i="31"/>
  <c r="G326" i="31" s="1"/>
  <c r="C326" i="31"/>
  <c r="D326" i="31"/>
  <c r="E326" i="31"/>
  <c r="F326" i="31"/>
  <c r="B327" i="31"/>
  <c r="G327" i="31" s="1"/>
  <c r="C327" i="31"/>
  <c r="D327" i="31"/>
  <c r="E327" i="31"/>
  <c r="F327" i="31"/>
  <c r="B328" i="31"/>
  <c r="G328" i="31" s="1"/>
  <c r="C328" i="31"/>
  <c r="D328" i="31"/>
  <c r="E328" i="31"/>
  <c r="F328" i="31"/>
  <c r="B329" i="31"/>
  <c r="G329" i="31" s="1"/>
  <c r="C329" i="31"/>
  <c r="D329" i="31"/>
  <c r="E329" i="31"/>
  <c r="F329" i="31"/>
  <c r="B330" i="31"/>
  <c r="G330" i="31" s="1"/>
  <c r="C330" i="31"/>
  <c r="D330" i="31"/>
  <c r="E330" i="31"/>
  <c r="F330" i="31"/>
  <c r="B331" i="31"/>
  <c r="G331" i="31" s="1"/>
  <c r="C331" i="31"/>
  <c r="D331" i="31"/>
  <c r="E331" i="31"/>
  <c r="F331" i="31"/>
  <c r="B332" i="31"/>
  <c r="C332" i="31"/>
  <c r="D332" i="31"/>
  <c r="E332" i="31"/>
  <c r="F332" i="31"/>
  <c r="B333" i="31"/>
  <c r="G333" i="31" s="1"/>
  <c r="C333" i="31"/>
  <c r="D333" i="31"/>
  <c r="E333" i="31"/>
  <c r="F333" i="31"/>
  <c r="B334" i="31"/>
  <c r="G334" i="31" s="1"/>
  <c r="C334" i="31"/>
  <c r="D334" i="31"/>
  <c r="E334" i="31"/>
  <c r="F334" i="31"/>
  <c r="B335" i="31"/>
  <c r="G335" i="31" s="1"/>
  <c r="C335" i="31"/>
  <c r="D335" i="31"/>
  <c r="E335" i="31"/>
  <c r="F335" i="31"/>
  <c r="B336" i="31"/>
  <c r="G336" i="31" s="1"/>
  <c r="C336" i="31"/>
  <c r="D336" i="31"/>
  <c r="E336" i="31"/>
  <c r="F336" i="31"/>
  <c r="B337" i="31"/>
  <c r="G337" i="31" s="1"/>
  <c r="C337" i="31"/>
  <c r="D337" i="31"/>
  <c r="E337" i="31"/>
  <c r="F337" i="31"/>
  <c r="B338" i="31"/>
  <c r="G338" i="31" s="1"/>
  <c r="C338" i="31"/>
  <c r="D338" i="31"/>
  <c r="E338" i="31"/>
  <c r="F338" i="31"/>
  <c r="B339" i="31"/>
  <c r="G339" i="31" s="1"/>
  <c r="C339" i="31"/>
  <c r="D339" i="31"/>
  <c r="E339" i="31"/>
  <c r="F339" i="31"/>
  <c r="B340" i="31"/>
  <c r="C340" i="31"/>
  <c r="D340" i="31"/>
  <c r="E340" i="31"/>
  <c r="F340" i="31"/>
  <c r="B341" i="31"/>
  <c r="G341" i="31" s="1"/>
  <c r="C341" i="31"/>
  <c r="D341" i="31"/>
  <c r="E341" i="31"/>
  <c r="F341" i="31"/>
  <c r="B342" i="31"/>
  <c r="G342" i="31" s="1"/>
  <c r="C342" i="31"/>
  <c r="D342" i="31"/>
  <c r="E342" i="31"/>
  <c r="F342" i="31"/>
  <c r="B343" i="31"/>
  <c r="C343" i="31"/>
  <c r="D343" i="31"/>
  <c r="E343" i="31"/>
  <c r="F343" i="31"/>
  <c r="B344" i="31"/>
  <c r="G344" i="31" s="1"/>
  <c r="C344" i="31"/>
  <c r="D344" i="31"/>
  <c r="E344" i="31"/>
  <c r="F344" i="31"/>
  <c r="B345" i="31"/>
  <c r="C345" i="31"/>
  <c r="D345" i="31"/>
  <c r="E345" i="31"/>
  <c r="F345" i="31"/>
  <c r="B346" i="31"/>
  <c r="G346" i="31" s="1"/>
  <c r="C346" i="31"/>
  <c r="D346" i="31"/>
  <c r="E346" i="31"/>
  <c r="F346" i="31"/>
  <c r="B347" i="31"/>
  <c r="C347" i="31"/>
  <c r="D347" i="31"/>
  <c r="E347" i="31"/>
  <c r="F347" i="31"/>
  <c r="B348" i="31"/>
  <c r="G348" i="31" s="1"/>
  <c r="C348" i="31"/>
  <c r="D348" i="31"/>
  <c r="E348" i="31"/>
  <c r="F348" i="31"/>
  <c r="B349" i="31"/>
  <c r="G349" i="31" s="1"/>
  <c r="C349" i="31"/>
  <c r="D349" i="31"/>
  <c r="E349" i="31"/>
  <c r="F349" i="31"/>
  <c r="B350" i="31"/>
  <c r="G350" i="31" s="1"/>
  <c r="C350" i="31"/>
  <c r="D350" i="31"/>
  <c r="E350" i="31"/>
  <c r="F350" i="31"/>
  <c r="B351" i="31"/>
  <c r="G351" i="31" s="1"/>
  <c r="C351" i="31"/>
  <c r="D351" i="31"/>
  <c r="E351" i="31"/>
  <c r="F351" i="31"/>
  <c r="B352" i="31"/>
  <c r="G352" i="31" s="1"/>
  <c r="C352" i="31"/>
  <c r="D352" i="31"/>
  <c r="E352" i="31"/>
  <c r="F352" i="31"/>
  <c r="B353" i="31"/>
  <c r="G353" i="31" s="1"/>
  <c r="C353" i="31"/>
  <c r="D353" i="31"/>
  <c r="E353" i="31"/>
  <c r="F353" i="31"/>
  <c r="B354" i="31"/>
  <c r="G354" i="31" s="1"/>
  <c r="C354" i="31"/>
  <c r="D354" i="31"/>
  <c r="E354" i="31"/>
  <c r="F354" i="31"/>
  <c r="B355" i="31"/>
  <c r="C355" i="31"/>
  <c r="D355" i="31"/>
  <c r="E355" i="31"/>
  <c r="F355" i="31"/>
  <c r="B356" i="31"/>
  <c r="G356" i="31" s="1"/>
  <c r="C356" i="31"/>
  <c r="D356" i="31"/>
  <c r="E356" i="31"/>
  <c r="F356" i="31"/>
  <c r="B357" i="31"/>
  <c r="G357" i="31" s="1"/>
  <c r="H357" i="31" s="1"/>
  <c r="I357" i="31" s="1"/>
  <c r="J357" i="31" s="1"/>
  <c r="C357" i="31"/>
  <c r="D357" i="31"/>
  <c r="E357" i="31"/>
  <c r="F357" i="31"/>
  <c r="B358" i="31"/>
  <c r="G358" i="31" s="1"/>
  <c r="C358" i="31"/>
  <c r="D358" i="31"/>
  <c r="E358" i="31"/>
  <c r="F358" i="31"/>
  <c r="B359" i="31"/>
  <c r="G359" i="31" s="1"/>
  <c r="C359" i="31"/>
  <c r="D359" i="31"/>
  <c r="E359" i="31"/>
  <c r="F359" i="31"/>
  <c r="B360" i="31"/>
  <c r="G360" i="31" s="1"/>
  <c r="C360" i="31"/>
  <c r="D360" i="31"/>
  <c r="E360" i="31"/>
  <c r="F360" i="31"/>
  <c r="B361" i="31"/>
  <c r="C361" i="31"/>
  <c r="D361" i="31"/>
  <c r="E361" i="31"/>
  <c r="F361" i="31"/>
  <c r="B362" i="31"/>
  <c r="G362" i="31" s="1"/>
  <c r="C362" i="31"/>
  <c r="D362" i="31"/>
  <c r="E362" i="31"/>
  <c r="F362" i="31"/>
  <c r="B363" i="31"/>
  <c r="G363" i="31" s="1"/>
  <c r="C363" i="31"/>
  <c r="D363" i="31"/>
  <c r="E363" i="31"/>
  <c r="F363" i="31"/>
  <c r="B364" i="31"/>
  <c r="C364" i="31"/>
  <c r="D364" i="31"/>
  <c r="E364" i="31"/>
  <c r="F364" i="31"/>
  <c r="B365" i="31"/>
  <c r="G365" i="31" s="1"/>
  <c r="C365" i="31"/>
  <c r="D365" i="31"/>
  <c r="E365" i="31"/>
  <c r="F365" i="31"/>
  <c r="B366" i="31"/>
  <c r="G366" i="31" s="1"/>
  <c r="C366" i="31"/>
  <c r="D366" i="31"/>
  <c r="E366" i="31"/>
  <c r="F366" i="31"/>
  <c r="B367" i="31"/>
  <c r="G367" i="31" s="1"/>
  <c r="C367" i="31"/>
  <c r="D367" i="31"/>
  <c r="E367" i="31"/>
  <c r="F367" i="31"/>
  <c r="B368" i="31"/>
  <c r="C368" i="31"/>
  <c r="D368" i="31"/>
  <c r="E368" i="31"/>
  <c r="F368" i="31"/>
  <c r="B369" i="31"/>
  <c r="G369" i="31" s="1"/>
  <c r="C369" i="31"/>
  <c r="D369" i="31"/>
  <c r="E369" i="31"/>
  <c r="F369" i="31"/>
  <c r="B370" i="31"/>
  <c r="G370" i="31" s="1"/>
  <c r="C370" i="31"/>
  <c r="D370" i="31"/>
  <c r="E370" i="31"/>
  <c r="F370" i="31"/>
  <c r="B371" i="31"/>
  <c r="C371" i="31"/>
  <c r="D371" i="31"/>
  <c r="E371" i="31"/>
  <c r="F371" i="31"/>
  <c r="B372" i="31"/>
  <c r="C372" i="31"/>
  <c r="D372" i="31"/>
  <c r="E372" i="31"/>
  <c r="F372" i="31"/>
  <c r="B373" i="31"/>
  <c r="G373" i="31" s="1"/>
  <c r="C373" i="31"/>
  <c r="D373" i="31"/>
  <c r="E373" i="31"/>
  <c r="F373" i="31"/>
  <c r="B374" i="31"/>
  <c r="G374" i="31" s="1"/>
  <c r="C374" i="31"/>
  <c r="D374" i="31"/>
  <c r="E374" i="31"/>
  <c r="F374" i="31"/>
  <c r="B375" i="31"/>
  <c r="G375" i="31" s="1"/>
  <c r="C375" i="31"/>
  <c r="D375" i="31"/>
  <c r="E375" i="31"/>
  <c r="F375" i="31"/>
  <c r="B376" i="31"/>
  <c r="C376" i="31"/>
  <c r="D376" i="31"/>
  <c r="E376" i="31"/>
  <c r="F376" i="31"/>
  <c r="B377" i="31"/>
  <c r="C377" i="31"/>
  <c r="D377" i="31"/>
  <c r="E377" i="31"/>
  <c r="F377" i="31"/>
  <c r="B378" i="31"/>
  <c r="G378" i="31" s="1"/>
  <c r="C378" i="31"/>
  <c r="D378" i="31"/>
  <c r="E378" i="31"/>
  <c r="F378" i="31"/>
  <c r="B379" i="31"/>
  <c r="C379" i="31"/>
  <c r="D379" i="31"/>
  <c r="E379" i="31"/>
  <c r="F379" i="31"/>
  <c r="B380" i="31"/>
  <c r="C380" i="31"/>
  <c r="D380" i="31"/>
  <c r="E380" i="31"/>
  <c r="F380" i="31"/>
  <c r="B381" i="31"/>
  <c r="G381" i="31" s="1"/>
  <c r="C381" i="31"/>
  <c r="D381" i="31"/>
  <c r="E381" i="31"/>
  <c r="F381" i="31"/>
  <c r="B382" i="31"/>
  <c r="G382" i="31" s="1"/>
  <c r="C382" i="31"/>
  <c r="D382" i="31"/>
  <c r="E382" i="31"/>
  <c r="F382" i="31"/>
  <c r="B383" i="31"/>
  <c r="G383" i="31" s="1"/>
  <c r="C383" i="31"/>
  <c r="D383" i="31"/>
  <c r="E383" i="31"/>
  <c r="F383" i="31"/>
  <c r="B384" i="31"/>
  <c r="C384" i="31"/>
  <c r="D384" i="31"/>
  <c r="E384" i="31"/>
  <c r="F384" i="31"/>
  <c r="B385" i="31"/>
  <c r="G385" i="31" s="1"/>
  <c r="C385" i="31"/>
  <c r="D385" i="31"/>
  <c r="E385" i="31"/>
  <c r="F385" i="31"/>
  <c r="B386" i="31"/>
  <c r="G386" i="31" s="1"/>
  <c r="C386" i="31"/>
  <c r="D386" i="31"/>
  <c r="E386" i="31"/>
  <c r="F386" i="31"/>
  <c r="B387" i="31"/>
  <c r="G387" i="31" s="1"/>
  <c r="C387" i="31"/>
  <c r="D387" i="31"/>
  <c r="E387" i="31"/>
  <c r="F387" i="31"/>
  <c r="B388" i="31"/>
  <c r="C388" i="31"/>
  <c r="D388" i="31"/>
  <c r="E388" i="31"/>
  <c r="F388" i="31"/>
  <c r="B389" i="31"/>
  <c r="G389" i="31" s="1"/>
  <c r="H389" i="31" s="1"/>
  <c r="I389" i="31" s="1"/>
  <c r="J389" i="31" s="1"/>
  <c r="C389" i="31"/>
  <c r="D389" i="31"/>
  <c r="E389" i="31"/>
  <c r="F389" i="31"/>
  <c r="B390" i="31"/>
  <c r="G390" i="31" s="1"/>
  <c r="C390" i="31"/>
  <c r="D390" i="31"/>
  <c r="E390" i="31"/>
  <c r="F390" i="31"/>
  <c r="B391" i="31"/>
  <c r="G391" i="31" s="1"/>
  <c r="C391" i="31"/>
  <c r="D391" i="31"/>
  <c r="E391" i="31"/>
  <c r="F391" i="31"/>
  <c r="B392" i="31"/>
  <c r="C392" i="31"/>
  <c r="D392" i="31"/>
  <c r="E392" i="31"/>
  <c r="F392" i="31"/>
  <c r="B393" i="31"/>
  <c r="G393" i="31" s="1"/>
  <c r="C393" i="31"/>
  <c r="D393" i="31"/>
  <c r="E393" i="31"/>
  <c r="F393" i="31"/>
  <c r="B394" i="31"/>
  <c r="G394" i="31" s="1"/>
  <c r="C394" i="31"/>
  <c r="D394" i="31"/>
  <c r="E394" i="31"/>
  <c r="F394" i="31"/>
  <c r="B395" i="31"/>
  <c r="G395" i="31" s="1"/>
  <c r="C395" i="31"/>
  <c r="D395" i="31"/>
  <c r="E395" i="31"/>
  <c r="F395" i="31"/>
  <c r="B396" i="31"/>
  <c r="G396" i="31" s="1"/>
  <c r="C396" i="31"/>
  <c r="D396" i="31"/>
  <c r="E396" i="31"/>
  <c r="F396" i="31"/>
  <c r="B397" i="31"/>
  <c r="G397" i="31" s="1"/>
  <c r="C397" i="31"/>
  <c r="D397" i="31"/>
  <c r="E397" i="31"/>
  <c r="F397" i="31"/>
  <c r="B398" i="31"/>
  <c r="G398" i="31" s="1"/>
  <c r="C398" i="31"/>
  <c r="D398" i="31"/>
  <c r="E398" i="31"/>
  <c r="F398" i="31"/>
  <c r="B399" i="31"/>
  <c r="G399" i="31" s="1"/>
  <c r="C399" i="31"/>
  <c r="D399" i="31"/>
  <c r="E399" i="31"/>
  <c r="F399" i="31"/>
  <c r="B400" i="31"/>
  <c r="C400" i="31"/>
  <c r="D400" i="31"/>
  <c r="E400" i="31"/>
  <c r="F400" i="31"/>
  <c r="B401" i="31"/>
  <c r="G401" i="31" s="1"/>
  <c r="C401" i="31"/>
  <c r="D401" i="31"/>
  <c r="E401" i="31"/>
  <c r="F401" i="31"/>
  <c r="B402" i="31"/>
  <c r="G402" i="31" s="1"/>
  <c r="C402" i="31"/>
  <c r="D402" i="31"/>
  <c r="E402" i="31"/>
  <c r="F402" i="31"/>
  <c r="B403" i="31"/>
  <c r="G403" i="31" s="1"/>
  <c r="C403" i="31"/>
  <c r="D403" i="31"/>
  <c r="E403" i="31"/>
  <c r="F403" i="31"/>
  <c r="B404" i="31"/>
  <c r="G404" i="31" s="1"/>
  <c r="C404" i="31"/>
  <c r="D404" i="31"/>
  <c r="E404" i="31"/>
  <c r="F404" i="31"/>
  <c r="B405" i="31"/>
  <c r="G405" i="31" s="1"/>
  <c r="H405" i="31" s="1"/>
  <c r="I405" i="31" s="1"/>
  <c r="J405" i="31" s="1"/>
  <c r="C405" i="31"/>
  <c r="D405" i="31"/>
  <c r="E405" i="31"/>
  <c r="F405" i="31"/>
  <c r="B406" i="31"/>
  <c r="G406" i="31" s="1"/>
  <c r="C406" i="31"/>
  <c r="D406" i="31"/>
  <c r="E406" i="31"/>
  <c r="F406" i="31"/>
  <c r="B407" i="31"/>
  <c r="G407" i="31" s="1"/>
  <c r="C407" i="31"/>
  <c r="D407" i="31"/>
  <c r="E407" i="31"/>
  <c r="F407" i="31"/>
  <c r="B408" i="31"/>
  <c r="C408" i="31"/>
  <c r="D408" i="31"/>
  <c r="E408" i="31"/>
  <c r="F408" i="31"/>
  <c r="B409" i="31"/>
  <c r="C409" i="31"/>
  <c r="D409" i="31"/>
  <c r="E409" i="31"/>
  <c r="F409" i="31"/>
  <c r="B410" i="31"/>
  <c r="G410" i="31" s="1"/>
  <c r="C410" i="31"/>
  <c r="D410" i="31"/>
  <c r="E410" i="31"/>
  <c r="F410" i="31"/>
  <c r="B411" i="31"/>
  <c r="G411" i="31" s="1"/>
  <c r="C411" i="31"/>
  <c r="D411" i="31"/>
  <c r="E411" i="31"/>
  <c r="F411" i="31"/>
  <c r="B412" i="31"/>
  <c r="G412" i="31" s="1"/>
  <c r="C412" i="31"/>
  <c r="D412" i="31"/>
  <c r="E412" i="31"/>
  <c r="F412" i="31"/>
  <c r="B413" i="31"/>
  <c r="G413" i="31" s="1"/>
  <c r="C413" i="31"/>
  <c r="D413" i="31"/>
  <c r="E413" i="31"/>
  <c r="F413" i="31"/>
  <c r="B414" i="31"/>
  <c r="G414" i="31" s="1"/>
  <c r="C414" i="31"/>
  <c r="D414" i="31"/>
  <c r="E414" i="31"/>
  <c r="F414" i="31"/>
  <c r="B415" i="31"/>
  <c r="G415" i="31" s="1"/>
  <c r="C415" i="31"/>
  <c r="D415" i="31"/>
  <c r="E415" i="31"/>
  <c r="F415" i="31"/>
  <c r="B416" i="31"/>
  <c r="G416" i="31" s="1"/>
  <c r="C416" i="31"/>
  <c r="D416" i="31"/>
  <c r="E416" i="31"/>
  <c r="F416" i="31"/>
  <c r="B417" i="31"/>
  <c r="G417" i="31" s="1"/>
  <c r="C417" i="31"/>
  <c r="D417" i="31"/>
  <c r="E417" i="31"/>
  <c r="F417" i="31"/>
  <c r="B418" i="31"/>
  <c r="G418" i="31" s="1"/>
  <c r="H418" i="31" s="1"/>
  <c r="I418" i="31" s="1"/>
  <c r="J418" i="31" s="1"/>
  <c r="C418" i="31"/>
  <c r="D418" i="31"/>
  <c r="E418" i="31"/>
  <c r="F418" i="31"/>
  <c r="B419" i="31"/>
  <c r="C419" i="31"/>
  <c r="D419" i="31"/>
  <c r="E419" i="31"/>
  <c r="F419" i="31"/>
  <c r="B420" i="31"/>
  <c r="C420" i="31"/>
  <c r="D420" i="31"/>
  <c r="E420" i="31"/>
  <c r="F420" i="31"/>
  <c r="B421" i="31"/>
  <c r="C421" i="31"/>
  <c r="D421" i="31"/>
  <c r="E421" i="31"/>
  <c r="F421" i="31"/>
  <c r="B422" i="31"/>
  <c r="G422" i="31" s="1"/>
  <c r="C422" i="31"/>
  <c r="D422" i="31"/>
  <c r="E422" i="31"/>
  <c r="F422" i="31"/>
  <c r="B423" i="31"/>
  <c r="G423" i="31" s="1"/>
  <c r="C423" i="31"/>
  <c r="D423" i="31"/>
  <c r="E423" i="31"/>
  <c r="F423" i="31"/>
  <c r="B424" i="31"/>
  <c r="G424" i="31" s="1"/>
  <c r="C424" i="31"/>
  <c r="D424" i="31"/>
  <c r="E424" i="31"/>
  <c r="F424" i="31"/>
  <c r="B425" i="31"/>
  <c r="G425" i="31" s="1"/>
  <c r="C425" i="31"/>
  <c r="D425" i="31"/>
  <c r="E425" i="31"/>
  <c r="F425" i="31"/>
  <c r="B426" i="31"/>
  <c r="G426" i="31" s="1"/>
  <c r="C426" i="31"/>
  <c r="D426" i="31"/>
  <c r="E426" i="31"/>
  <c r="F426" i="31"/>
  <c r="B427" i="31"/>
  <c r="G427" i="31" s="1"/>
  <c r="C427" i="31"/>
  <c r="D427" i="31"/>
  <c r="E427" i="31"/>
  <c r="F427" i="31"/>
  <c r="B428" i="31"/>
  <c r="G428" i="31" s="1"/>
  <c r="C428" i="31"/>
  <c r="D428" i="31"/>
  <c r="E428" i="31"/>
  <c r="F428" i="31"/>
  <c r="B429" i="31"/>
  <c r="G429" i="31" s="1"/>
  <c r="C429" i="31"/>
  <c r="D429" i="31"/>
  <c r="E429" i="31"/>
  <c r="F429" i="31"/>
  <c r="B430" i="31"/>
  <c r="G430" i="31" s="1"/>
  <c r="C430" i="31"/>
  <c r="D430" i="31"/>
  <c r="E430" i="31"/>
  <c r="F430" i="31"/>
  <c r="B431" i="31"/>
  <c r="G431" i="31" s="1"/>
  <c r="C431" i="31"/>
  <c r="D431" i="31"/>
  <c r="E431" i="31"/>
  <c r="F431" i="31"/>
  <c r="B432" i="31"/>
  <c r="G432" i="31" s="1"/>
  <c r="C432" i="31"/>
  <c r="D432" i="31"/>
  <c r="E432" i="31"/>
  <c r="F432" i="31"/>
  <c r="B433" i="31"/>
  <c r="G433" i="31" s="1"/>
  <c r="C433" i="31"/>
  <c r="D433" i="31"/>
  <c r="E433" i="31"/>
  <c r="F433" i="31"/>
  <c r="B434" i="31"/>
  <c r="G434" i="31" s="1"/>
  <c r="C434" i="31"/>
  <c r="D434" i="31"/>
  <c r="E434" i="31"/>
  <c r="F434" i="31"/>
  <c r="B435" i="31"/>
  <c r="G435" i="31" s="1"/>
  <c r="C435" i="31"/>
  <c r="D435" i="31"/>
  <c r="E435" i="31"/>
  <c r="F435" i="31"/>
  <c r="B436" i="31"/>
  <c r="C436" i="31"/>
  <c r="D436" i="31"/>
  <c r="E436" i="31"/>
  <c r="F436" i="31"/>
  <c r="B437" i="31"/>
  <c r="G437" i="31" s="1"/>
  <c r="C437" i="31"/>
  <c r="D437" i="31"/>
  <c r="E437" i="31"/>
  <c r="F437" i="31"/>
  <c r="B438" i="31"/>
  <c r="G438" i="31" s="1"/>
  <c r="C438" i="31"/>
  <c r="D438" i="31"/>
  <c r="E438" i="31"/>
  <c r="F438" i="31"/>
  <c r="B439" i="31"/>
  <c r="G439" i="31" s="1"/>
  <c r="C439" i="31"/>
  <c r="D439" i="31"/>
  <c r="E439" i="31"/>
  <c r="F439" i="31"/>
  <c r="B440" i="31"/>
  <c r="C440" i="31"/>
  <c r="D440" i="31"/>
  <c r="E440" i="31"/>
  <c r="F440" i="31"/>
  <c r="B441" i="31"/>
  <c r="G441" i="31" s="1"/>
  <c r="C441" i="31"/>
  <c r="D441" i="31"/>
  <c r="E441" i="31"/>
  <c r="F441" i="31"/>
  <c r="B442" i="31"/>
  <c r="G442" i="31" s="1"/>
  <c r="C442" i="31"/>
  <c r="D442" i="31"/>
  <c r="E442" i="31"/>
  <c r="F442" i="31"/>
  <c r="B443" i="31"/>
  <c r="C443" i="31"/>
  <c r="D443" i="31"/>
  <c r="E443" i="31"/>
  <c r="F443" i="31"/>
  <c r="B444" i="31"/>
  <c r="C444" i="31"/>
  <c r="D444" i="31"/>
  <c r="E444" i="31"/>
  <c r="F444" i="31"/>
  <c r="B445" i="31"/>
  <c r="G445" i="31" s="1"/>
  <c r="C445" i="31"/>
  <c r="D445" i="31"/>
  <c r="E445" i="31"/>
  <c r="F445" i="31"/>
  <c r="B446" i="31"/>
  <c r="C446" i="31"/>
  <c r="D446" i="31"/>
  <c r="E446" i="31"/>
  <c r="F446" i="31"/>
  <c r="G446" i="31"/>
  <c r="B447" i="31"/>
  <c r="G447" i="31" s="1"/>
  <c r="C447" i="31"/>
  <c r="D447" i="31"/>
  <c r="E447" i="31"/>
  <c r="F447" i="31"/>
  <c r="B448" i="31"/>
  <c r="G448" i="31" s="1"/>
  <c r="H448" i="31" s="1"/>
  <c r="I448" i="31" s="1"/>
  <c r="J448" i="31" s="1"/>
  <c r="C448" i="31"/>
  <c r="D448" i="31"/>
  <c r="E448" i="31"/>
  <c r="F448" i="31"/>
  <c r="B449" i="31"/>
  <c r="C449" i="31"/>
  <c r="D449" i="31"/>
  <c r="E449" i="31"/>
  <c r="F449" i="31"/>
  <c r="B450" i="31"/>
  <c r="G450" i="31" s="1"/>
  <c r="C450" i="31"/>
  <c r="D450" i="31"/>
  <c r="E450" i="31"/>
  <c r="F450" i="31"/>
  <c r="B451" i="31"/>
  <c r="C451" i="31"/>
  <c r="D451" i="31"/>
  <c r="E451" i="31"/>
  <c r="F451" i="31"/>
  <c r="B452" i="31"/>
  <c r="G452" i="31" s="1"/>
  <c r="C452" i="31"/>
  <c r="D452" i="31"/>
  <c r="E452" i="31"/>
  <c r="F452" i="31"/>
  <c r="B453" i="31"/>
  <c r="C453" i="31"/>
  <c r="D453" i="31"/>
  <c r="E453" i="31"/>
  <c r="F453" i="31"/>
  <c r="B454" i="31"/>
  <c r="G454" i="31" s="1"/>
  <c r="C454" i="31"/>
  <c r="D454" i="31"/>
  <c r="E454" i="31"/>
  <c r="F454" i="31"/>
  <c r="B455" i="31"/>
  <c r="C455" i="31"/>
  <c r="D455" i="31"/>
  <c r="E455" i="31"/>
  <c r="F455" i="31"/>
  <c r="G455" i="31"/>
  <c r="B456" i="31"/>
  <c r="C456" i="31"/>
  <c r="D456" i="31"/>
  <c r="E456" i="31"/>
  <c r="F456" i="31"/>
  <c r="B457" i="31"/>
  <c r="G457" i="31" s="1"/>
  <c r="C457" i="31"/>
  <c r="D457" i="31"/>
  <c r="E457" i="31"/>
  <c r="F457" i="31"/>
  <c r="B458" i="31"/>
  <c r="C458" i="31"/>
  <c r="D458" i="31"/>
  <c r="E458" i="31"/>
  <c r="F458" i="31"/>
  <c r="G458" i="31"/>
  <c r="H458" i="31" s="1"/>
  <c r="I458" i="31" s="1"/>
  <c r="J458" i="31" s="1"/>
  <c r="B459" i="31"/>
  <c r="G459" i="31" s="1"/>
  <c r="C459" i="31"/>
  <c r="D459" i="31"/>
  <c r="E459" i="31"/>
  <c r="F459" i="31"/>
  <c r="B460" i="31"/>
  <c r="C460" i="31"/>
  <c r="D460" i="31"/>
  <c r="E460" i="31"/>
  <c r="F460" i="31"/>
  <c r="B461" i="31"/>
  <c r="G461" i="31" s="1"/>
  <c r="C461" i="31"/>
  <c r="D461" i="31"/>
  <c r="E461" i="31"/>
  <c r="F461" i="31"/>
  <c r="B462" i="31"/>
  <c r="G462" i="31" s="1"/>
  <c r="C462" i="31"/>
  <c r="D462" i="31"/>
  <c r="E462" i="31"/>
  <c r="F462" i="31"/>
  <c r="B463" i="31"/>
  <c r="C463" i="31"/>
  <c r="D463" i="31"/>
  <c r="E463" i="31"/>
  <c r="F463" i="31"/>
  <c r="B464" i="31"/>
  <c r="C464" i="31"/>
  <c r="D464" i="31"/>
  <c r="E464" i="31"/>
  <c r="F464" i="31"/>
  <c r="B465" i="31"/>
  <c r="G465" i="31" s="1"/>
  <c r="H465" i="31" s="1"/>
  <c r="I465" i="31" s="1"/>
  <c r="J465" i="31" s="1"/>
  <c r="C465" i="31"/>
  <c r="D465" i="31"/>
  <c r="E465" i="31"/>
  <c r="F465" i="31"/>
  <c r="B466" i="31"/>
  <c r="G466" i="31" s="1"/>
  <c r="C466" i="31"/>
  <c r="D466" i="31"/>
  <c r="E466" i="31"/>
  <c r="F466" i="31"/>
  <c r="B467" i="31"/>
  <c r="G467" i="31" s="1"/>
  <c r="C467" i="31"/>
  <c r="D467" i="31"/>
  <c r="E467" i="31"/>
  <c r="F467" i="31"/>
  <c r="B468" i="31"/>
  <c r="C468" i="31"/>
  <c r="D468" i="31"/>
  <c r="E468" i="31"/>
  <c r="F468" i="31"/>
  <c r="B469" i="31"/>
  <c r="G469" i="31" s="1"/>
  <c r="C469" i="31"/>
  <c r="D469" i="31"/>
  <c r="E469" i="31"/>
  <c r="F469" i="31"/>
  <c r="B470" i="31"/>
  <c r="G470" i="31" s="1"/>
  <c r="C470" i="31"/>
  <c r="D470" i="31"/>
  <c r="E470" i="31"/>
  <c r="F470" i="31"/>
  <c r="B471" i="31"/>
  <c r="G471" i="31" s="1"/>
  <c r="H471" i="31" s="1"/>
  <c r="I471" i="31" s="1"/>
  <c r="J471" i="31" s="1"/>
  <c r="C471" i="31"/>
  <c r="D471" i="31"/>
  <c r="E471" i="31"/>
  <c r="F471" i="31"/>
  <c r="B472" i="31"/>
  <c r="H472" i="31" s="1"/>
  <c r="I472" i="31" s="1"/>
  <c r="J472" i="31" s="1"/>
  <c r="C472" i="31"/>
  <c r="D472" i="31"/>
  <c r="E472" i="31"/>
  <c r="F472" i="31"/>
  <c r="G472" i="31"/>
  <c r="B473" i="31"/>
  <c r="G473" i="31" s="1"/>
  <c r="H473" i="31" s="1"/>
  <c r="I473" i="31" s="1"/>
  <c r="J473" i="31" s="1"/>
  <c r="C473" i="31"/>
  <c r="D473" i="31"/>
  <c r="E473" i="31"/>
  <c r="F473" i="31"/>
  <c r="B474" i="31"/>
  <c r="G474" i="31" s="1"/>
  <c r="H474" i="31" s="1"/>
  <c r="I474" i="31" s="1"/>
  <c r="J474" i="31" s="1"/>
  <c r="C474" i="31"/>
  <c r="D474" i="31"/>
  <c r="E474" i="31"/>
  <c r="F474" i="31"/>
  <c r="B475" i="31"/>
  <c r="H475" i="31"/>
  <c r="I475" i="31" s="1"/>
  <c r="J475" i="31" s="1"/>
  <c r="C475" i="31"/>
  <c r="D475" i="31"/>
  <c r="E475" i="31"/>
  <c r="F475" i="31"/>
  <c r="G475" i="31"/>
  <c r="B476" i="31"/>
  <c r="G476" i="31" s="1"/>
  <c r="H476" i="31" s="1"/>
  <c r="I476" i="31" s="1"/>
  <c r="J476" i="31" s="1"/>
  <c r="C476" i="31"/>
  <c r="D476" i="31"/>
  <c r="E476" i="31"/>
  <c r="F476" i="31"/>
  <c r="B477" i="31"/>
  <c r="G477" i="31" s="1"/>
  <c r="H477" i="31" s="1"/>
  <c r="I477" i="31" s="1"/>
  <c r="J477" i="31" s="1"/>
  <c r="C477" i="31"/>
  <c r="D477" i="31"/>
  <c r="E477" i="31"/>
  <c r="F477" i="31"/>
  <c r="B478" i="31"/>
  <c r="H478" i="31" s="1"/>
  <c r="I478" i="31" s="1"/>
  <c r="J478" i="31" s="1"/>
  <c r="C478" i="31"/>
  <c r="D478" i="31"/>
  <c r="E478" i="31"/>
  <c r="F478" i="31"/>
  <c r="B479" i="31"/>
  <c r="G479" i="31" s="1"/>
  <c r="H479" i="31" s="1"/>
  <c r="I479" i="31" s="1"/>
  <c r="J479" i="31" s="1"/>
  <c r="C479" i="31"/>
  <c r="D479" i="31"/>
  <c r="E479" i="31"/>
  <c r="F479" i="31"/>
  <c r="B480" i="31"/>
  <c r="G480" i="31" s="1"/>
  <c r="C480" i="31"/>
  <c r="D480" i="31"/>
  <c r="E480" i="31"/>
  <c r="F480" i="31"/>
  <c r="B481" i="31"/>
  <c r="H481" i="31" s="1"/>
  <c r="I481" i="31" s="1"/>
  <c r="J481" i="31" s="1"/>
  <c r="C481" i="31"/>
  <c r="D481" i="31"/>
  <c r="E481" i="31"/>
  <c r="F481" i="31"/>
  <c r="B482" i="31"/>
  <c r="G482" i="31" s="1"/>
  <c r="C482" i="31"/>
  <c r="D482" i="31"/>
  <c r="E482" i="31"/>
  <c r="F482" i="31"/>
  <c r="B483" i="31"/>
  <c r="G483" i="31" s="1"/>
  <c r="C483" i="31"/>
  <c r="D483" i="31"/>
  <c r="E483" i="31"/>
  <c r="F483" i="31"/>
  <c r="B484" i="31"/>
  <c r="G484" i="31" s="1"/>
  <c r="C484" i="31"/>
  <c r="D484" i="31"/>
  <c r="E484" i="31"/>
  <c r="F484" i="31"/>
  <c r="H484" i="31" s="1"/>
  <c r="I484" i="31" s="1"/>
  <c r="J484" i="31" s="1"/>
  <c r="B485" i="31"/>
  <c r="G485" i="31" s="1"/>
  <c r="C485" i="31"/>
  <c r="D485" i="31"/>
  <c r="E485" i="31"/>
  <c r="F485" i="31"/>
  <c r="B486" i="31"/>
  <c r="G486" i="31" s="1"/>
  <c r="C486" i="31"/>
  <c r="D486" i="31"/>
  <c r="E486" i="31"/>
  <c r="F486" i="31"/>
  <c r="B487" i="31"/>
  <c r="G487" i="31" s="1"/>
  <c r="C487" i="31"/>
  <c r="D487" i="31"/>
  <c r="E487" i="31"/>
  <c r="F487" i="31"/>
  <c r="B488" i="31"/>
  <c r="G488" i="31" s="1"/>
  <c r="C488" i="31"/>
  <c r="D488" i="31"/>
  <c r="E488" i="31"/>
  <c r="F488" i="31"/>
  <c r="B489" i="31"/>
  <c r="G489" i="31" s="1"/>
  <c r="H489" i="31" s="1"/>
  <c r="I489" i="31" s="1"/>
  <c r="J489" i="31" s="1"/>
  <c r="C489" i="31"/>
  <c r="D489" i="31"/>
  <c r="E489" i="31"/>
  <c r="F489" i="31"/>
  <c r="B490" i="31"/>
  <c r="G490" i="31" s="1"/>
  <c r="C490" i="31"/>
  <c r="D490" i="31"/>
  <c r="E490" i="31"/>
  <c r="F490" i="31"/>
  <c r="B491" i="31"/>
  <c r="C491" i="31"/>
  <c r="D491" i="31"/>
  <c r="E491" i="31"/>
  <c r="F491" i="31"/>
  <c r="G491" i="31"/>
  <c r="H491" i="31"/>
  <c r="I491" i="31" s="1"/>
  <c r="J491" i="31" s="1"/>
  <c r="B492" i="31"/>
  <c r="H492" i="31" s="1"/>
  <c r="I492" i="31" s="1"/>
  <c r="J492" i="31" s="1"/>
  <c r="C492" i="31"/>
  <c r="D492" i="31"/>
  <c r="E492" i="31"/>
  <c r="F492" i="31"/>
  <c r="B493" i="31"/>
  <c r="G493" i="31" s="1"/>
  <c r="H493" i="31" s="1"/>
  <c r="I493" i="31" s="1"/>
  <c r="J493" i="31" s="1"/>
  <c r="C493" i="31"/>
  <c r="D493" i="31"/>
  <c r="E493" i="31"/>
  <c r="F493" i="31"/>
  <c r="B494" i="31"/>
  <c r="G494" i="31" s="1"/>
  <c r="H494" i="31" s="1"/>
  <c r="I494" i="31" s="1"/>
  <c r="J494" i="31" s="1"/>
  <c r="C494" i="31"/>
  <c r="D494" i="31"/>
  <c r="E494" i="31"/>
  <c r="F494" i="31"/>
  <c r="B495" i="31"/>
  <c r="C495" i="31"/>
  <c r="D495" i="31"/>
  <c r="E495" i="31"/>
  <c r="F495" i="31"/>
  <c r="G495" i="31"/>
  <c r="B496" i="31"/>
  <c r="G496" i="31" s="1"/>
  <c r="H496" i="31" s="1"/>
  <c r="I496" i="31" s="1"/>
  <c r="J496" i="31" s="1"/>
  <c r="C496" i="31"/>
  <c r="D496" i="31"/>
  <c r="E496" i="31"/>
  <c r="F496" i="31"/>
  <c r="B497" i="31"/>
  <c r="G497" i="31" s="1"/>
  <c r="C497" i="31"/>
  <c r="D497" i="31"/>
  <c r="E497" i="31"/>
  <c r="F497" i="31"/>
  <c r="B498" i="31"/>
  <c r="H498" i="31" s="1"/>
  <c r="I498" i="31" s="1"/>
  <c r="J498" i="31" s="1"/>
  <c r="C498" i="31"/>
  <c r="D498" i="31"/>
  <c r="E498" i="31"/>
  <c r="F498" i="31"/>
  <c r="B499" i="31"/>
  <c r="G499" i="31" s="1"/>
  <c r="H499" i="31" s="1"/>
  <c r="I499" i="31" s="1"/>
  <c r="J499" i="31" s="1"/>
  <c r="C499" i="31"/>
  <c r="D499" i="31"/>
  <c r="E499" i="31"/>
  <c r="F499" i="31"/>
  <c r="B500" i="31"/>
  <c r="H500" i="31"/>
  <c r="I500" i="31" s="1"/>
  <c r="J500" i="31" s="1"/>
  <c r="C500" i="31"/>
  <c r="D500" i="31"/>
  <c r="E500" i="31"/>
  <c r="F500" i="31"/>
  <c r="G500" i="31"/>
  <c r="G421" i="31"/>
  <c r="H421" i="31" s="1"/>
  <c r="I421" i="31" s="1"/>
  <c r="J421" i="31" s="1"/>
  <c r="G372" i="31"/>
  <c r="G347" i="31"/>
  <c r="G444" i="31"/>
  <c r="H444" i="31" s="1"/>
  <c r="I444" i="31" s="1"/>
  <c r="J444" i="31" s="1"/>
  <c r="G380" i="31"/>
  <c r="G436" i="31"/>
  <c r="G420" i="31"/>
  <c r="G388" i="31"/>
  <c r="G295" i="31"/>
  <c r="G248" i="31"/>
  <c r="D28" i="58"/>
  <c r="C28" i="58"/>
  <c r="D27" i="58"/>
  <c r="C27" i="58"/>
  <c r="D26" i="58"/>
  <c r="C26" i="58"/>
  <c r="D25" i="58"/>
  <c r="C25" i="58"/>
  <c r="D24" i="58"/>
  <c r="C24" i="58"/>
  <c r="D23" i="58"/>
  <c r="C23" i="58"/>
  <c r="D22" i="58"/>
  <c r="C22" i="58"/>
  <c r="D21" i="58"/>
  <c r="C21" i="58"/>
  <c r="D20" i="58"/>
  <c r="C20" i="58"/>
  <c r="D19" i="58"/>
  <c r="C19" i="58"/>
  <c r="D18" i="58"/>
  <c r="C18" i="58"/>
  <c r="D17" i="58"/>
  <c r="C17" i="58"/>
  <c r="D16" i="58"/>
  <c r="C16" i="58"/>
  <c r="D15" i="58"/>
  <c r="C15" i="58"/>
  <c r="D14" i="58"/>
  <c r="C14" i="58"/>
  <c r="D13" i="58"/>
  <c r="C13" i="58"/>
  <c r="D12" i="58"/>
  <c r="C12" i="58"/>
  <c r="D11" i="58"/>
  <c r="C11" i="58"/>
  <c r="D10" i="58"/>
  <c r="C10" i="58"/>
  <c r="C5" i="58"/>
  <c r="C2" i="58"/>
  <c r="C27" i="57"/>
  <c r="D27" i="57"/>
  <c r="C26" i="57"/>
  <c r="D26" i="57"/>
  <c r="C25" i="57"/>
  <c r="D25" i="57"/>
  <c r="C24" i="57"/>
  <c r="D24" i="57"/>
  <c r="C23" i="57"/>
  <c r="D23" i="57"/>
  <c r="C22" i="57"/>
  <c r="D22" i="57"/>
  <c r="C21" i="57"/>
  <c r="D21" i="57"/>
  <c r="C20" i="57"/>
  <c r="D20" i="57"/>
  <c r="C19" i="57"/>
  <c r="D19" i="57"/>
  <c r="C18" i="57"/>
  <c r="D18" i="57"/>
  <c r="C17" i="57"/>
  <c r="D17" i="57"/>
  <c r="C16" i="57"/>
  <c r="D16" i="57"/>
  <c r="C15" i="57"/>
  <c r="D15" i="57"/>
  <c r="C14" i="57"/>
  <c r="D14" i="57"/>
  <c r="C13" i="57"/>
  <c r="D13" i="57"/>
  <c r="C12" i="57"/>
  <c r="D12" i="57"/>
  <c r="C11" i="57"/>
  <c r="D11" i="57"/>
  <c r="C10" i="57"/>
  <c r="D10" i="57"/>
  <c r="C9" i="57"/>
  <c r="C2" i="57"/>
  <c r="R16" i="28"/>
  <c r="Q16" i="28"/>
  <c r="P16" i="28"/>
  <c r="O16" i="28"/>
  <c r="N16" i="28"/>
  <c r="R15" i="28"/>
  <c r="Q15" i="28"/>
  <c r="P15" i="28"/>
  <c r="O15" i="28"/>
  <c r="N15" i="28"/>
  <c r="R14" i="28"/>
  <c r="Q14" i="28"/>
  <c r="P14" i="28"/>
  <c r="O14" i="28"/>
  <c r="N14" i="28"/>
  <c r="R13" i="28"/>
  <c r="Q13" i="28"/>
  <c r="P13" i="28"/>
  <c r="O13" i="28"/>
  <c r="N13" i="28"/>
  <c r="R12" i="28"/>
  <c r="Q12" i="28"/>
  <c r="P12" i="28"/>
  <c r="O12" i="28"/>
  <c r="N12" i="28"/>
  <c r="R11" i="28"/>
  <c r="Q11" i="28"/>
  <c r="P11" i="28"/>
  <c r="O11" i="28"/>
  <c r="N11" i="28"/>
  <c r="R10" i="28"/>
  <c r="Q10" i="28"/>
  <c r="P10" i="28"/>
  <c r="O10" i="28"/>
  <c r="N10" i="28"/>
  <c r="R9" i="28"/>
  <c r="Q9" i="28"/>
  <c r="P9" i="28"/>
  <c r="O9" i="28"/>
  <c r="N9" i="28"/>
  <c r="R8" i="28"/>
  <c r="Q8" i="28"/>
  <c r="P8" i="28"/>
  <c r="O8" i="28"/>
  <c r="N8" i="28"/>
  <c r="R7" i="28"/>
  <c r="Q7" i="28"/>
  <c r="P7" i="28"/>
  <c r="O7" i="28"/>
  <c r="N7" i="28"/>
  <c r="R6" i="28"/>
  <c r="Q6" i="28"/>
  <c r="P6" i="28"/>
  <c r="O6" i="28"/>
  <c r="N6" i="28"/>
  <c r="R5" i="28"/>
  <c r="Q5" i="28"/>
  <c r="P5" i="28"/>
  <c r="O5" i="28"/>
  <c r="L16" i="28"/>
  <c r="K16" i="28"/>
  <c r="L15" i="28"/>
  <c r="K15" i="28"/>
  <c r="L14" i="28"/>
  <c r="K14" i="28"/>
  <c r="L13" i="28"/>
  <c r="K13" i="28"/>
  <c r="L12" i="28"/>
  <c r="K12" i="28"/>
  <c r="L11" i="28"/>
  <c r="K11" i="28"/>
  <c r="L10" i="28"/>
  <c r="K10" i="28"/>
  <c r="L9" i="28"/>
  <c r="K9" i="28"/>
  <c r="L8" i="28"/>
  <c r="K8" i="28"/>
  <c r="L7" i="28"/>
  <c r="K7" i="28"/>
  <c r="L6" i="28"/>
  <c r="K6" i="28"/>
  <c r="L5" i="28"/>
  <c r="K5" i="28"/>
  <c r="O84" i="48"/>
  <c r="C98" i="48"/>
  <c r="K98" i="48"/>
  <c r="J98" i="48"/>
  <c r="I98" i="48"/>
  <c r="H98" i="48"/>
  <c r="E98" i="48"/>
  <c r="D98" i="48"/>
  <c r="F97" i="48"/>
  <c r="F96" i="48"/>
  <c r="F95" i="48"/>
  <c r="F94" i="48"/>
  <c r="F93" i="48"/>
  <c r="F92" i="48"/>
  <c r="F91" i="48"/>
  <c r="F90" i="48"/>
  <c r="F89" i="48"/>
  <c r="F88" i="48"/>
  <c r="F87" i="48"/>
  <c r="O80" i="53"/>
  <c r="L80" i="46"/>
  <c r="L80" i="41"/>
  <c r="L80" i="45"/>
  <c r="T80" i="56"/>
  <c r="L80" i="53"/>
  <c r="N80" i="49"/>
  <c r="T80" i="45"/>
  <c r="L80" i="40"/>
  <c r="U80" i="56"/>
  <c r="R80" i="56"/>
  <c r="Q80" i="56"/>
  <c r="P80" i="56"/>
  <c r="O80" i="56"/>
  <c r="N80" i="56"/>
  <c r="M80" i="56"/>
  <c r="K80" i="56"/>
  <c r="I80" i="56"/>
  <c r="H80" i="56"/>
  <c r="G80" i="56"/>
  <c r="E80" i="56"/>
  <c r="D80" i="56"/>
  <c r="J79" i="56"/>
  <c r="J78" i="56"/>
  <c r="J77" i="56"/>
  <c r="J76" i="56"/>
  <c r="J75" i="56"/>
  <c r="J74" i="56"/>
  <c r="J73" i="56"/>
  <c r="J72" i="56"/>
  <c r="J71" i="56"/>
  <c r="J70" i="56"/>
  <c r="J69" i="56"/>
  <c r="J68" i="56"/>
  <c r="P11" i="56"/>
  <c r="D10" i="56"/>
  <c r="U80" i="55"/>
  <c r="T80" i="55"/>
  <c r="R80" i="55"/>
  <c r="Q80" i="55"/>
  <c r="P80" i="55"/>
  <c r="O80" i="55"/>
  <c r="N80" i="55"/>
  <c r="M80" i="55"/>
  <c r="K80" i="55"/>
  <c r="I80" i="55"/>
  <c r="H80" i="55"/>
  <c r="G80" i="55"/>
  <c r="F80" i="55"/>
  <c r="E80" i="55"/>
  <c r="D80" i="55"/>
  <c r="J79" i="55"/>
  <c r="J78" i="55"/>
  <c r="J77" i="55"/>
  <c r="J76" i="55"/>
  <c r="J75" i="55"/>
  <c r="J74" i="55"/>
  <c r="J73" i="55"/>
  <c r="J72" i="55"/>
  <c r="J71" i="55"/>
  <c r="J70" i="55"/>
  <c r="J69" i="55"/>
  <c r="J68" i="55"/>
  <c r="P11" i="55"/>
  <c r="D10" i="55"/>
  <c r="U80" i="54"/>
  <c r="T80" i="54"/>
  <c r="R80" i="54"/>
  <c r="Q80" i="54"/>
  <c r="P80" i="54"/>
  <c r="O80" i="54"/>
  <c r="N80" i="54"/>
  <c r="M80" i="54"/>
  <c r="L80" i="54"/>
  <c r="K80" i="54"/>
  <c r="I80" i="54"/>
  <c r="H80" i="54"/>
  <c r="G80" i="54"/>
  <c r="F80" i="54"/>
  <c r="E80" i="54"/>
  <c r="D80" i="54"/>
  <c r="J79" i="54"/>
  <c r="J78" i="54"/>
  <c r="J77" i="54"/>
  <c r="J76" i="54"/>
  <c r="J75" i="54"/>
  <c r="J74" i="54"/>
  <c r="J73" i="54"/>
  <c r="J72" i="54"/>
  <c r="J71" i="54"/>
  <c r="J70" i="54"/>
  <c r="J69" i="54"/>
  <c r="J68" i="54"/>
  <c r="P11" i="54"/>
  <c r="D10" i="54"/>
  <c r="U80" i="53"/>
  <c r="T80" i="53"/>
  <c r="R80" i="53"/>
  <c r="Q80" i="53"/>
  <c r="P80" i="53"/>
  <c r="N80" i="53"/>
  <c r="M80" i="53"/>
  <c r="K80" i="53"/>
  <c r="I80" i="53"/>
  <c r="H80" i="53"/>
  <c r="G80" i="53"/>
  <c r="F80" i="53"/>
  <c r="E80" i="53"/>
  <c r="D80" i="53"/>
  <c r="J79" i="53"/>
  <c r="J78" i="53"/>
  <c r="J77" i="53"/>
  <c r="J76" i="53"/>
  <c r="J75" i="53"/>
  <c r="J74" i="53"/>
  <c r="J73" i="53"/>
  <c r="J72" i="53"/>
  <c r="J71" i="53"/>
  <c r="J70" i="53"/>
  <c r="J69" i="53"/>
  <c r="J68" i="53"/>
  <c r="P11" i="53"/>
  <c r="D10" i="53"/>
  <c r="U80" i="52"/>
  <c r="T80" i="52"/>
  <c r="R80" i="52"/>
  <c r="Q80" i="52"/>
  <c r="P80" i="52"/>
  <c r="O80" i="52"/>
  <c r="N80" i="52"/>
  <c r="M80" i="52"/>
  <c r="K80" i="52"/>
  <c r="I80" i="52"/>
  <c r="H80" i="52"/>
  <c r="G80" i="52"/>
  <c r="F80" i="52"/>
  <c r="E80" i="52"/>
  <c r="D80" i="52"/>
  <c r="J79" i="52"/>
  <c r="J78" i="52"/>
  <c r="J77" i="52"/>
  <c r="J76" i="52"/>
  <c r="J75" i="52"/>
  <c r="J74" i="52"/>
  <c r="J73" i="52"/>
  <c r="J72" i="52"/>
  <c r="J71" i="52"/>
  <c r="J70" i="52"/>
  <c r="J69" i="52"/>
  <c r="J68" i="52"/>
  <c r="P11" i="52"/>
  <c r="D10" i="52"/>
  <c r="U80" i="51"/>
  <c r="T80" i="51"/>
  <c r="R80" i="51"/>
  <c r="Q80" i="51"/>
  <c r="P80" i="51"/>
  <c r="O80" i="51"/>
  <c r="N80" i="51"/>
  <c r="M80" i="51"/>
  <c r="L80" i="51"/>
  <c r="K80" i="51"/>
  <c r="I80" i="51"/>
  <c r="H80" i="51"/>
  <c r="G80" i="51"/>
  <c r="F80" i="51"/>
  <c r="E80" i="51"/>
  <c r="D80" i="51"/>
  <c r="J79" i="51"/>
  <c r="J78" i="51"/>
  <c r="J77" i="51"/>
  <c r="J76" i="51"/>
  <c r="J75" i="51"/>
  <c r="J74" i="51"/>
  <c r="J73" i="51"/>
  <c r="J72" i="51"/>
  <c r="J71" i="51"/>
  <c r="J70" i="51"/>
  <c r="J69" i="51"/>
  <c r="J68" i="51"/>
  <c r="P11" i="51"/>
  <c r="D10" i="51"/>
  <c r="U80" i="50"/>
  <c r="T80" i="50"/>
  <c r="R80" i="50"/>
  <c r="Q80" i="50"/>
  <c r="P80" i="50"/>
  <c r="N80" i="50"/>
  <c r="M80" i="50"/>
  <c r="L80" i="50"/>
  <c r="K80" i="50"/>
  <c r="I80" i="50"/>
  <c r="H80" i="50"/>
  <c r="G80" i="50"/>
  <c r="F80" i="50"/>
  <c r="E80" i="50"/>
  <c r="D80" i="50"/>
  <c r="J79" i="50"/>
  <c r="J78" i="50"/>
  <c r="J77" i="50"/>
  <c r="J76" i="50"/>
  <c r="J75" i="50"/>
  <c r="J74" i="50"/>
  <c r="J73" i="50"/>
  <c r="J72" i="50"/>
  <c r="J71" i="50"/>
  <c r="J70" i="50"/>
  <c r="J68" i="50"/>
  <c r="P11" i="50"/>
  <c r="D10" i="50"/>
  <c r="U80" i="49"/>
  <c r="T80" i="49"/>
  <c r="R80" i="49"/>
  <c r="Q80" i="49"/>
  <c r="P80" i="49"/>
  <c r="M80" i="49"/>
  <c r="L80" i="49"/>
  <c r="K80" i="49"/>
  <c r="I80" i="49"/>
  <c r="H80" i="49"/>
  <c r="G80" i="49"/>
  <c r="F80" i="49"/>
  <c r="E80" i="49"/>
  <c r="D80" i="49"/>
  <c r="J79" i="49"/>
  <c r="J78" i="49"/>
  <c r="J77" i="49"/>
  <c r="J76" i="49"/>
  <c r="J75" i="49"/>
  <c r="J74" i="49"/>
  <c r="J73" i="49"/>
  <c r="J72" i="49"/>
  <c r="J71" i="49"/>
  <c r="J70" i="49"/>
  <c r="J69" i="49"/>
  <c r="J68" i="49"/>
  <c r="P11" i="49"/>
  <c r="D10" i="49"/>
  <c r="U80" i="48"/>
  <c r="R80" i="48"/>
  <c r="Q80" i="48"/>
  <c r="P80" i="48"/>
  <c r="M80" i="48"/>
  <c r="K80" i="48"/>
  <c r="H80" i="48"/>
  <c r="G80" i="48"/>
  <c r="F80" i="48"/>
  <c r="E80" i="48"/>
  <c r="D80" i="48"/>
  <c r="J79" i="48"/>
  <c r="J78" i="48"/>
  <c r="J77" i="48"/>
  <c r="J76" i="48"/>
  <c r="J75" i="48"/>
  <c r="J74" i="48"/>
  <c r="J73" i="48"/>
  <c r="J72" i="48"/>
  <c r="J71" i="48"/>
  <c r="J70" i="48"/>
  <c r="J69" i="48"/>
  <c r="J68" i="48"/>
  <c r="P11" i="48"/>
  <c r="D10" i="48"/>
  <c r="U80" i="47"/>
  <c r="T80" i="47"/>
  <c r="R80" i="47"/>
  <c r="Q80" i="47"/>
  <c r="P80" i="47"/>
  <c r="O80" i="47"/>
  <c r="N80" i="47"/>
  <c r="M80" i="47"/>
  <c r="L80" i="47"/>
  <c r="K80" i="47"/>
  <c r="I80" i="47"/>
  <c r="H80" i="47"/>
  <c r="G80" i="47"/>
  <c r="F80" i="47"/>
  <c r="E80" i="47"/>
  <c r="D80" i="47"/>
  <c r="J79" i="47"/>
  <c r="J78" i="47"/>
  <c r="J77" i="47"/>
  <c r="J76" i="47"/>
  <c r="J75" i="47"/>
  <c r="J74" i="47"/>
  <c r="J73" i="47"/>
  <c r="J72" i="47"/>
  <c r="J71" i="47"/>
  <c r="J70" i="47"/>
  <c r="J69" i="47"/>
  <c r="J68" i="47"/>
  <c r="P11" i="47"/>
  <c r="D10" i="47"/>
  <c r="U80" i="46"/>
  <c r="T80" i="46"/>
  <c r="R80" i="46"/>
  <c r="Q80" i="46"/>
  <c r="P80" i="46"/>
  <c r="O80" i="46"/>
  <c r="N80" i="46"/>
  <c r="M80" i="46"/>
  <c r="K80" i="46"/>
  <c r="I80" i="46"/>
  <c r="H80" i="46"/>
  <c r="G80" i="46"/>
  <c r="F80" i="46"/>
  <c r="E80" i="46"/>
  <c r="D80" i="46"/>
  <c r="J79" i="46"/>
  <c r="J78" i="46"/>
  <c r="J77" i="46"/>
  <c r="J76" i="46"/>
  <c r="J75" i="46"/>
  <c r="J74" i="46"/>
  <c r="J73" i="46"/>
  <c r="J72" i="46"/>
  <c r="J71" i="46"/>
  <c r="J70" i="46"/>
  <c r="J68" i="46"/>
  <c r="P11" i="46"/>
  <c r="D10" i="46"/>
  <c r="U80" i="45"/>
  <c r="R80" i="45"/>
  <c r="Q80" i="45"/>
  <c r="P80" i="45"/>
  <c r="N80" i="45"/>
  <c r="M80" i="45"/>
  <c r="K80" i="45"/>
  <c r="I80" i="45"/>
  <c r="H80" i="45"/>
  <c r="G80" i="45"/>
  <c r="F80" i="45"/>
  <c r="E80" i="45"/>
  <c r="D80" i="45"/>
  <c r="J79" i="45"/>
  <c r="J78" i="45"/>
  <c r="J77" i="45"/>
  <c r="J76" i="45"/>
  <c r="J75" i="45"/>
  <c r="J74" i="45"/>
  <c r="J73" i="45"/>
  <c r="J72" i="45"/>
  <c r="J71" i="45"/>
  <c r="J70" i="45"/>
  <c r="J69" i="45"/>
  <c r="J68" i="45"/>
  <c r="P11" i="45"/>
  <c r="D10" i="45"/>
  <c r="U80" i="44"/>
  <c r="T80" i="44"/>
  <c r="R80" i="44"/>
  <c r="Q80" i="44"/>
  <c r="P80" i="44"/>
  <c r="N80" i="44"/>
  <c r="M80" i="44"/>
  <c r="K80" i="44"/>
  <c r="I80" i="44"/>
  <c r="H80" i="44"/>
  <c r="G80" i="44"/>
  <c r="F80" i="44"/>
  <c r="J79" i="44"/>
  <c r="J78" i="44"/>
  <c r="J76" i="44"/>
  <c r="J75" i="44"/>
  <c r="J74" i="44"/>
  <c r="J73" i="44"/>
  <c r="J72" i="44"/>
  <c r="J71" i="44"/>
  <c r="J70" i="44"/>
  <c r="J69" i="44"/>
  <c r="J68" i="44"/>
  <c r="P11" i="44"/>
  <c r="D10" i="44"/>
  <c r="U80" i="43"/>
  <c r="T80" i="43"/>
  <c r="R80" i="43"/>
  <c r="Q80" i="43"/>
  <c r="P80" i="43"/>
  <c r="O80" i="43"/>
  <c r="N80" i="43"/>
  <c r="M80" i="43"/>
  <c r="L80" i="43"/>
  <c r="K80" i="43"/>
  <c r="I80" i="43"/>
  <c r="H80" i="43"/>
  <c r="G80" i="43"/>
  <c r="F80" i="43"/>
  <c r="E80" i="43"/>
  <c r="J79" i="43"/>
  <c r="J78" i="43"/>
  <c r="J77" i="43"/>
  <c r="J76" i="43"/>
  <c r="J75" i="43"/>
  <c r="J74" i="43"/>
  <c r="J73" i="43"/>
  <c r="J72" i="43"/>
  <c r="J71" i="43"/>
  <c r="J70" i="43"/>
  <c r="J69" i="43"/>
  <c r="J68" i="43"/>
  <c r="D10" i="43"/>
  <c r="U80" i="42"/>
  <c r="T80" i="42"/>
  <c r="R80" i="42"/>
  <c r="Q80" i="42"/>
  <c r="P80" i="42"/>
  <c r="O80" i="42"/>
  <c r="N80" i="42"/>
  <c r="M80" i="42"/>
  <c r="L80" i="42"/>
  <c r="K80" i="42"/>
  <c r="I80" i="42"/>
  <c r="H80" i="42"/>
  <c r="G80" i="42"/>
  <c r="F80" i="42"/>
  <c r="E80" i="42"/>
  <c r="D80" i="42"/>
  <c r="J79" i="42"/>
  <c r="J78" i="42"/>
  <c r="J77" i="42"/>
  <c r="J76" i="42"/>
  <c r="J75" i="42"/>
  <c r="J74" i="42"/>
  <c r="J73" i="42"/>
  <c r="J72" i="42"/>
  <c r="J71" i="42"/>
  <c r="J70" i="42"/>
  <c r="J69" i="42"/>
  <c r="J68" i="42"/>
  <c r="P11" i="42"/>
  <c r="U80" i="41"/>
  <c r="T80" i="41"/>
  <c r="R80" i="41"/>
  <c r="Q80" i="41"/>
  <c r="P80" i="41"/>
  <c r="O80" i="41"/>
  <c r="N80" i="41"/>
  <c r="M80" i="41"/>
  <c r="K80" i="41"/>
  <c r="I80" i="41"/>
  <c r="H80" i="41"/>
  <c r="G80" i="41"/>
  <c r="F80" i="41"/>
  <c r="E80" i="41"/>
  <c r="D80" i="41"/>
  <c r="J79" i="41"/>
  <c r="J78" i="41"/>
  <c r="J77" i="41"/>
  <c r="J76" i="41"/>
  <c r="J75" i="41"/>
  <c r="J74" i="41"/>
  <c r="J73" i="41"/>
  <c r="J72" i="41"/>
  <c r="J71" i="41"/>
  <c r="J70" i="41"/>
  <c r="J69" i="41"/>
  <c r="J68" i="41"/>
  <c r="P11" i="41"/>
  <c r="D10" i="41"/>
  <c r="U80" i="40"/>
  <c r="T80" i="40"/>
  <c r="R80" i="40"/>
  <c r="Q80" i="40"/>
  <c r="O80" i="40"/>
  <c r="N80" i="40"/>
  <c r="M80" i="40"/>
  <c r="K80" i="40"/>
  <c r="I80" i="40"/>
  <c r="H80" i="40"/>
  <c r="F80" i="40"/>
  <c r="E80" i="40"/>
  <c r="D80" i="40"/>
  <c r="J79" i="40"/>
  <c r="J78" i="40"/>
  <c r="J77" i="40"/>
  <c r="J76" i="40"/>
  <c r="J75" i="40"/>
  <c r="J74" i="40"/>
  <c r="J73" i="40"/>
  <c r="J72" i="40"/>
  <c r="J71" i="40"/>
  <c r="J70" i="40"/>
  <c r="J69" i="40"/>
  <c r="P80" i="40"/>
  <c r="J68" i="40"/>
  <c r="P11" i="40"/>
  <c r="D10" i="40"/>
  <c r="F17" i="27"/>
  <c r="E17" i="27"/>
  <c r="D17" i="27"/>
  <c r="C17" i="27"/>
  <c r="F16" i="27"/>
  <c r="E16" i="27"/>
  <c r="D16" i="27"/>
  <c r="C16" i="27"/>
  <c r="E15" i="27"/>
  <c r="D15" i="27"/>
  <c r="C15" i="27"/>
  <c r="F14" i="27"/>
  <c r="E14" i="27"/>
  <c r="D14" i="27"/>
  <c r="C14" i="27"/>
  <c r="E13" i="27"/>
  <c r="D13" i="27"/>
  <c r="F12" i="27"/>
  <c r="E12" i="27"/>
  <c r="D12" i="27"/>
  <c r="C12" i="27"/>
  <c r="E11" i="27"/>
  <c r="C11" i="27"/>
  <c r="F10" i="27"/>
  <c r="E10" i="27"/>
  <c r="D10" i="27"/>
  <c r="C10" i="27"/>
  <c r="F9" i="27"/>
  <c r="E9" i="27"/>
  <c r="D9" i="27"/>
  <c r="C9" i="27"/>
  <c r="F8" i="27"/>
  <c r="E8" i="27"/>
  <c r="D8" i="27"/>
  <c r="C8" i="27"/>
  <c r="E7" i="27"/>
  <c r="D7" i="27"/>
  <c r="C7" i="27"/>
  <c r="L80" i="38"/>
  <c r="U80" i="38"/>
  <c r="T80" i="38"/>
  <c r="R80" i="38"/>
  <c r="Q80" i="38"/>
  <c r="O80" i="38"/>
  <c r="N80" i="38"/>
  <c r="M80" i="38"/>
  <c r="K80" i="38"/>
  <c r="I80" i="38"/>
  <c r="H80" i="38"/>
  <c r="G80" i="38"/>
  <c r="F80" i="38"/>
  <c r="E80" i="38"/>
  <c r="D80" i="38"/>
  <c r="J79" i="38"/>
  <c r="J78" i="38"/>
  <c r="J77" i="38"/>
  <c r="J76" i="38"/>
  <c r="J75" i="38"/>
  <c r="J74" i="38"/>
  <c r="J73" i="38"/>
  <c r="J72" i="38"/>
  <c r="J71" i="38"/>
  <c r="J69" i="38"/>
  <c r="P80" i="38"/>
  <c r="J68" i="38"/>
  <c r="Q80" i="35"/>
  <c r="R80" i="35"/>
  <c r="U80" i="35"/>
  <c r="O80" i="35"/>
  <c r="N80" i="35"/>
  <c r="M80" i="35"/>
  <c r="K80" i="35"/>
  <c r="I80" i="35"/>
  <c r="G80" i="35"/>
  <c r="F80" i="35"/>
  <c r="E80" i="35"/>
  <c r="J79" i="35"/>
  <c r="J78" i="35"/>
  <c r="J77" i="35"/>
  <c r="J76" i="35"/>
  <c r="J75" i="35"/>
  <c r="J74" i="35"/>
  <c r="J73" i="35"/>
  <c r="J72" i="35"/>
  <c r="J71" i="35"/>
  <c r="J70" i="35"/>
  <c r="J69" i="35"/>
  <c r="J68" i="35"/>
  <c r="C7" i="35"/>
  <c r="O11" i="39"/>
  <c r="N11" i="39"/>
  <c r="M11" i="39"/>
  <c r="L11" i="39"/>
  <c r="K11" i="39"/>
  <c r="J11" i="39"/>
  <c r="I11" i="39"/>
  <c r="P11" i="38"/>
  <c r="D10" i="38"/>
  <c r="D10" i="35"/>
  <c r="P11" i="35"/>
  <c r="P80" i="35"/>
  <c r="B5" i="33"/>
  <c r="B5" i="31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9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9" i="33"/>
  <c r="L10" i="31"/>
  <c r="L11" i="31"/>
  <c r="L12" i="31"/>
  <c r="L13" i="31"/>
  <c r="L14" i="31"/>
  <c r="L15" i="31"/>
  <c r="L16" i="31"/>
  <c r="L17" i="31"/>
  <c r="L18" i="31"/>
  <c r="L19" i="31"/>
  <c r="L20" i="31"/>
  <c r="L21" i="31"/>
  <c r="L22" i="31"/>
  <c r="L23" i="31"/>
  <c r="L24" i="31"/>
  <c r="L25" i="31"/>
  <c r="L26" i="31"/>
  <c r="L27" i="31"/>
  <c r="L28" i="31"/>
  <c r="L29" i="31"/>
  <c r="L30" i="31"/>
  <c r="L31" i="31"/>
  <c r="L32" i="31"/>
  <c r="L33" i="31"/>
  <c r="L34" i="31"/>
  <c r="L35" i="31"/>
  <c r="L36" i="31"/>
  <c r="L37" i="31"/>
  <c r="L38" i="31"/>
  <c r="L39" i="31"/>
  <c r="L40" i="31"/>
  <c r="L41" i="31"/>
  <c r="L42" i="31"/>
  <c r="L43" i="31"/>
  <c r="L44" i="31"/>
  <c r="L45" i="31"/>
  <c r="L46" i="31"/>
  <c r="L47" i="31"/>
  <c r="L48" i="31"/>
  <c r="L49" i="31"/>
  <c r="L50" i="31"/>
  <c r="L51" i="31"/>
  <c r="L52" i="31"/>
  <c r="L53" i="31"/>
  <c r="L54" i="31"/>
  <c r="L55" i="31"/>
  <c r="L56" i="31"/>
  <c r="L57" i="31"/>
  <c r="L58" i="31"/>
  <c r="L59" i="31"/>
  <c r="L60" i="31"/>
  <c r="L61" i="31"/>
  <c r="L62" i="31"/>
  <c r="L63" i="31"/>
  <c r="L64" i="31"/>
  <c r="L65" i="31"/>
  <c r="L66" i="31"/>
  <c r="L67" i="31"/>
  <c r="L68" i="31"/>
  <c r="L69" i="31"/>
  <c r="L70" i="31"/>
  <c r="L71" i="31"/>
  <c r="L72" i="31"/>
  <c r="L73" i="31"/>
  <c r="L74" i="31"/>
  <c r="L75" i="31"/>
  <c r="L76" i="31"/>
  <c r="L77" i="31"/>
  <c r="L78" i="31"/>
  <c r="L79" i="31"/>
  <c r="L80" i="31"/>
  <c r="L81" i="31"/>
  <c r="L82" i="31"/>
  <c r="L83" i="31"/>
  <c r="L84" i="31"/>
  <c r="L85" i="31"/>
  <c r="L86" i="31"/>
  <c r="L87" i="31"/>
  <c r="L88" i="31"/>
  <c r="L89" i="31"/>
  <c r="L90" i="31"/>
  <c r="L91" i="31"/>
  <c r="L92" i="31"/>
  <c r="L93" i="31"/>
  <c r="L94" i="31"/>
  <c r="L95" i="31"/>
  <c r="L96" i="31"/>
  <c r="L97" i="31"/>
  <c r="L98" i="31"/>
  <c r="L99" i="31"/>
  <c r="L100" i="31"/>
  <c r="L101" i="31"/>
  <c r="L102" i="31"/>
  <c r="L103" i="31"/>
  <c r="L104" i="31"/>
  <c r="L105" i="31"/>
  <c r="L106" i="31"/>
  <c r="L107" i="31"/>
  <c r="L108" i="31"/>
  <c r="L109" i="31"/>
  <c r="L110" i="31"/>
  <c r="L111" i="31"/>
  <c r="L112" i="31"/>
  <c r="L113" i="31"/>
  <c r="L114" i="31"/>
  <c r="L115" i="31"/>
  <c r="L116" i="31"/>
  <c r="L117" i="31"/>
  <c r="L118" i="31"/>
  <c r="L119" i="31"/>
  <c r="L120" i="31"/>
  <c r="L121" i="31"/>
  <c r="L122" i="31"/>
  <c r="L123" i="31"/>
  <c r="L124" i="31"/>
  <c r="L125" i="31"/>
  <c r="L126" i="31"/>
  <c r="L127" i="31"/>
  <c r="L128" i="31"/>
  <c r="L129" i="31"/>
  <c r="L130" i="31"/>
  <c r="L131" i="31"/>
  <c r="L132" i="31"/>
  <c r="L133" i="31"/>
  <c r="L134" i="31"/>
  <c r="L135" i="31"/>
  <c r="L136" i="31"/>
  <c r="L137" i="31"/>
  <c r="L138" i="31"/>
  <c r="L139" i="31"/>
  <c r="L140" i="31"/>
  <c r="L141" i="31"/>
  <c r="L142" i="31"/>
  <c r="L143" i="31"/>
  <c r="L144" i="31"/>
  <c r="L145" i="31"/>
  <c r="L146" i="31"/>
  <c r="L147" i="31"/>
  <c r="L148" i="31"/>
  <c r="L149" i="31"/>
  <c r="L150" i="31"/>
  <c r="L151" i="31"/>
  <c r="L152" i="31"/>
  <c r="L153" i="31"/>
  <c r="L154" i="31"/>
  <c r="L155" i="31"/>
  <c r="L156" i="31"/>
  <c r="L157" i="31"/>
  <c r="L158" i="31"/>
  <c r="L159" i="31"/>
  <c r="L160" i="31"/>
  <c r="L161" i="31"/>
  <c r="L162" i="31"/>
  <c r="L163" i="31"/>
  <c r="L164" i="31"/>
  <c r="L165" i="31"/>
  <c r="L166" i="31"/>
  <c r="L167" i="31"/>
  <c r="L168" i="31"/>
  <c r="L169" i="31"/>
  <c r="L170" i="31"/>
  <c r="L171" i="31"/>
  <c r="L172" i="31"/>
  <c r="L173" i="31"/>
  <c r="L174" i="31"/>
  <c r="L175" i="31"/>
  <c r="L176" i="31"/>
  <c r="L177" i="31"/>
  <c r="L178" i="31"/>
  <c r="L179" i="31"/>
  <c r="L180" i="31"/>
  <c r="L181" i="31"/>
  <c r="L182" i="31"/>
  <c r="L183" i="31"/>
  <c r="L184" i="31"/>
  <c r="L185" i="31"/>
  <c r="L186" i="31"/>
  <c r="L187" i="31"/>
  <c r="L188" i="31"/>
  <c r="L189" i="31"/>
  <c r="L190" i="31"/>
  <c r="L191" i="31"/>
  <c r="L192" i="31"/>
  <c r="L193" i="31"/>
  <c r="L194" i="31"/>
  <c r="L195" i="31"/>
  <c r="L196" i="31"/>
  <c r="L197" i="31"/>
  <c r="L198" i="31"/>
  <c r="L199" i="31"/>
  <c r="L200" i="31"/>
  <c r="L9" i="31"/>
  <c r="F10" i="31"/>
  <c r="F11" i="31"/>
  <c r="F12" i="31"/>
  <c r="F13" i="31"/>
  <c r="F14" i="31"/>
  <c r="F15" i="31"/>
  <c r="F16" i="31"/>
  <c r="F17" i="31"/>
  <c r="F18" i="31"/>
  <c r="F19" i="31"/>
  <c r="F20" i="31"/>
  <c r="F21" i="31"/>
  <c r="F22" i="31"/>
  <c r="F23" i="31"/>
  <c r="F24" i="31"/>
  <c r="F25" i="31"/>
  <c r="F26" i="31"/>
  <c r="F27" i="31"/>
  <c r="F28" i="31"/>
  <c r="F29" i="31"/>
  <c r="F30" i="31"/>
  <c r="F31" i="31"/>
  <c r="F32" i="31"/>
  <c r="F33" i="31"/>
  <c r="F34" i="31"/>
  <c r="F35" i="31"/>
  <c r="F36" i="31"/>
  <c r="F37" i="31"/>
  <c r="F38" i="31"/>
  <c r="F39" i="31"/>
  <c r="F40" i="31"/>
  <c r="F41" i="31"/>
  <c r="F42" i="31"/>
  <c r="F43" i="31"/>
  <c r="F44" i="31"/>
  <c r="F45" i="31"/>
  <c r="F46" i="31"/>
  <c r="F47" i="31"/>
  <c r="F48" i="31"/>
  <c r="F49" i="31"/>
  <c r="F50" i="31"/>
  <c r="F51" i="31"/>
  <c r="F52" i="31"/>
  <c r="F53" i="31"/>
  <c r="F54" i="31"/>
  <c r="F55" i="31"/>
  <c r="F56" i="31"/>
  <c r="F57" i="31"/>
  <c r="F58" i="31"/>
  <c r="F59" i="31"/>
  <c r="F60" i="31"/>
  <c r="F61" i="31"/>
  <c r="F62" i="31"/>
  <c r="F63" i="31"/>
  <c r="F64" i="31"/>
  <c r="F65" i="31"/>
  <c r="F66" i="31"/>
  <c r="F67" i="31"/>
  <c r="F68" i="31"/>
  <c r="F69" i="31"/>
  <c r="F70" i="31"/>
  <c r="F71" i="31"/>
  <c r="F72" i="31"/>
  <c r="F73" i="31"/>
  <c r="F74" i="31"/>
  <c r="F75" i="31"/>
  <c r="F76" i="31"/>
  <c r="F77" i="31"/>
  <c r="F78" i="31"/>
  <c r="F79" i="31"/>
  <c r="F80" i="31"/>
  <c r="F81" i="31"/>
  <c r="F82" i="31"/>
  <c r="F83" i="31"/>
  <c r="F84" i="31"/>
  <c r="F85" i="31"/>
  <c r="F86" i="31"/>
  <c r="F87" i="31"/>
  <c r="F88" i="31"/>
  <c r="F89" i="31"/>
  <c r="F90" i="31"/>
  <c r="F91" i="31"/>
  <c r="F92" i="31"/>
  <c r="F93" i="31"/>
  <c r="F94" i="31"/>
  <c r="F95" i="31"/>
  <c r="F96" i="31"/>
  <c r="F97" i="31"/>
  <c r="F98" i="31"/>
  <c r="F99" i="31"/>
  <c r="F100" i="31"/>
  <c r="F101" i="31"/>
  <c r="F102" i="31"/>
  <c r="F103" i="31"/>
  <c r="F104" i="31"/>
  <c r="F105" i="31"/>
  <c r="F106" i="31"/>
  <c r="F107" i="31"/>
  <c r="F108" i="31"/>
  <c r="F109" i="31"/>
  <c r="F110" i="31"/>
  <c r="F111" i="31"/>
  <c r="F112" i="31"/>
  <c r="F113" i="31"/>
  <c r="F114" i="31"/>
  <c r="F115" i="31"/>
  <c r="F116" i="31"/>
  <c r="F117" i="31"/>
  <c r="F118" i="31"/>
  <c r="F119" i="31"/>
  <c r="F120" i="31"/>
  <c r="F121" i="31"/>
  <c r="F122" i="31"/>
  <c r="F123" i="31"/>
  <c r="F124" i="31"/>
  <c r="F125" i="31"/>
  <c r="F126" i="31"/>
  <c r="F127" i="31"/>
  <c r="F128" i="31"/>
  <c r="F129" i="31"/>
  <c r="F130" i="31"/>
  <c r="F131" i="31"/>
  <c r="F132" i="31"/>
  <c r="F133" i="31"/>
  <c r="F134" i="31"/>
  <c r="F135" i="31"/>
  <c r="F136" i="31"/>
  <c r="F137" i="31"/>
  <c r="F138" i="31"/>
  <c r="F139" i="31"/>
  <c r="F140" i="31"/>
  <c r="F141" i="31"/>
  <c r="F142" i="31"/>
  <c r="F143" i="31"/>
  <c r="F144" i="31"/>
  <c r="F145" i="31"/>
  <c r="F146" i="31"/>
  <c r="F147" i="31"/>
  <c r="F148" i="31"/>
  <c r="F149" i="31"/>
  <c r="F150" i="31"/>
  <c r="F151" i="31"/>
  <c r="F152" i="31"/>
  <c r="F153" i="31"/>
  <c r="F154" i="31"/>
  <c r="F155" i="31"/>
  <c r="F156" i="31"/>
  <c r="F157" i="31"/>
  <c r="F158" i="31"/>
  <c r="F159" i="31"/>
  <c r="F160" i="31"/>
  <c r="F161" i="31"/>
  <c r="F162" i="31"/>
  <c r="F163" i="31"/>
  <c r="F164" i="31"/>
  <c r="F165" i="31"/>
  <c r="F166" i="31"/>
  <c r="F167" i="31"/>
  <c r="F168" i="31"/>
  <c r="F169" i="31"/>
  <c r="F170" i="31"/>
  <c r="F171" i="31"/>
  <c r="F172" i="31"/>
  <c r="F173" i="31"/>
  <c r="F174" i="31"/>
  <c r="F175" i="31"/>
  <c r="F176" i="31"/>
  <c r="F177" i="31"/>
  <c r="F178" i="31"/>
  <c r="F179" i="31"/>
  <c r="F180" i="31"/>
  <c r="F181" i="31"/>
  <c r="F182" i="31"/>
  <c r="F183" i="31"/>
  <c r="F184" i="31"/>
  <c r="F185" i="31"/>
  <c r="F186" i="31"/>
  <c r="F187" i="31"/>
  <c r="F188" i="31"/>
  <c r="F189" i="31"/>
  <c r="F190" i="31"/>
  <c r="F191" i="31"/>
  <c r="F192" i="31"/>
  <c r="F193" i="31"/>
  <c r="F194" i="31"/>
  <c r="F195" i="31"/>
  <c r="F196" i="31"/>
  <c r="F197" i="31"/>
  <c r="F198" i="31"/>
  <c r="F199" i="31"/>
  <c r="F200" i="31"/>
  <c r="F9" i="31"/>
  <c r="E10" i="31"/>
  <c r="E11" i="31"/>
  <c r="E12" i="31"/>
  <c r="E13" i="31"/>
  <c r="E14" i="31"/>
  <c r="E15" i="31"/>
  <c r="E16" i="31"/>
  <c r="E17" i="31"/>
  <c r="E18" i="31"/>
  <c r="E19" i="31"/>
  <c r="E20" i="31"/>
  <c r="E21" i="31"/>
  <c r="E22" i="31"/>
  <c r="E23" i="31"/>
  <c r="E24" i="31"/>
  <c r="E25" i="31"/>
  <c r="E26" i="31"/>
  <c r="E27" i="31"/>
  <c r="E28" i="31"/>
  <c r="E29" i="31"/>
  <c r="E30" i="31"/>
  <c r="E31" i="31"/>
  <c r="E32" i="31"/>
  <c r="E33" i="31"/>
  <c r="E34" i="31"/>
  <c r="E35" i="31"/>
  <c r="E36" i="31"/>
  <c r="E37" i="31"/>
  <c r="E38" i="31"/>
  <c r="E39" i="31"/>
  <c r="E40" i="31"/>
  <c r="E41" i="31"/>
  <c r="E42" i="31"/>
  <c r="E43" i="31"/>
  <c r="E44" i="31"/>
  <c r="E45" i="31"/>
  <c r="E46" i="31"/>
  <c r="E47" i="31"/>
  <c r="E48" i="31"/>
  <c r="E49" i="31"/>
  <c r="E50" i="31"/>
  <c r="E51" i="31"/>
  <c r="E52" i="31"/>
  <c r="E53" i="31"/>
  <c r="E54" i="31"/>
  <c r="E55" i="31"/>
  <c r="E56" i="31"/>
  <c r="E57" i="31"/>
  <c r="E58" i="31"/>
  <c r="E59" i="31"/>
  <c r="E60" i="31"/>
  <c r="E61" i="31"/>
  <c r="E62" i="31"/>
  <c r="E63" i="31"/>
  <c r="E64" i="31"/>
  <c r="E65" i="31"/>
  <c r="E66" i="31"/>
  <c r="E67" i="31"/>
  <c r="E68" i="31"/>
  <c r="E69" i="31"/>
  <c r="E70" i="31"/>
  <c r="E71" i="31"/>
  <c r="E72" i="31"/>
  <c r="E73" i="31"/>
  <c r="E74" i="31"/>
  <c r="E75" i="31"/>
  <c r="E76" i="31"/>
  <c r="E77" i="31"/>
  <c r="E78" i="31"/>
  <c r="E79" i="31"/>
  <c r="E80" i="31"/>
  <c r="E81" i="31"/>
  <c r="E82" i="31"/>
  <c r="E83" i="31"/>
  <c r="E84" i="31"/>
  <c r="E85" i="31"/>
  <c r="E86" i="31"/>
  <c r="E87" i="31"/>
  <c r="E88" i="31"/>
  <c r="E89" i="31"/>
  <c r="E90" i="31"/>
  <c r="E91" i="31"/>
  <c r="E92" i="31"/>
  <c r="E93" i="31"/>
  <c r="E94" i="31"/>
  <c r="E95" i="31"/>
  <c r="E96" i="31"/>
  <c r="E97" i="31"/>
  <c r="E98" i="31"/>
  <c r="E99" i="31"/>
  <c r="E100" i="31"/>
  <c r="E101" i="31"/>
  <c r="E102" i="31"/>
  <c r="E103" i="31"/>
  <c r="E104" i="31"/>
  <c r="E105" i="31"/>
  <c r="E106" i="31"/>
  <c r="E107" i="31"/>
  <c r="E108" i="31"/>
  <c r="E109" i="31"/>
  <c r="E110" i="31"/>
  <c r="E111" i="31"/>
  <c r="E112" i="31"/>
  <c r="E113" i="31"/>
  <c r="E114" i="31"/>
  <c r="E115" i="31"/>
  <c r="E116" i="31"/>
  <c r="E117" i="31"/>
  <c r="E118" i="31"/>
  <c r="E119" i="31"/>
  <c r="E120" i="31"/>
  <c r="E121" i="31"/>
  <c r="E122" i="31"/>
  <c r="E123" i="31"/>
  <c r="E124" i="31"/>
  <c r="E125" i="31"/>
  <c r="E126" i="31"/>
  <c r="E127" i="31"/>
  <c r="E128" i="31"/>
  <c r="E129" i="31"/>
  <c r="E130" i="31"/>
  <c r="E131" i="31"/>
  <c r="E132" i="31"/>
  <c r="E133" i="31"/>
  <c r="E134" i="31"/>
  <c r="E135" i="31"/>
  <c r="E136" i="31"/>
  <c r="E137" i="31"/>
  <c r="E138" i="31"/>
  <c r="E139" i="31"/>
  <c r="E140" i="31"/>
  <c r="E141" i="31"/>
  <c r="E142" i="31"/>
  <c r="E143" i="31"/>
  <c r="E144" i="31"/>
  <c r="E145" i="31"/>
  <c r="E146" i="31"/>
  <c r="E147" i="31"/>
  <c r="E148" i="31"/>
  <c r="E149" i="31"/>
  <c r="E150" i="31"/>
  <c r="E151" i="31"/>
  <c r="E152" i="31"/>
  <c r="E153" i="31"/>
  <c r="E154" i="31"/>
  <c r="E155" i="31"/>
  <c r="E156" i="31"/>
  <c r="E157" i="31"/>
  <c r="E158" i="31"/>
  <c r="E159" i="31"/>
  <c r="E160" i="31"/>
  <c r="E161" i="31"/>
  <c r="E162" i="31"/>
  <c r="E163" i="31"/>
  <c r="E164" i="31"/>
  <c r="E165" i="31"/>
  <c r="E166" i="31"/>
  <c r="E167" i="31"/>
  <c r="E168" i="31"/>
  <c r="E169" i="31"/>
  <c r="E170" i="31"/>
  <c r="E171" i="31"/>
  <c r="E172" i="31"/>
  <c r="E173" i="31"/>
  <c r="E174" i="31"/>
  <c r="E175" i="31"/>
  <c r="E176" i="31"/>
  <c r="E177" i="31"/>
  <c r="E178" i="31"/>
  <c r="E179" i="31"/>
  <c r="E180" i="31"/>
  <c r="E181" i="31"/>
  <c r="E182" i="31"/>
  <c r="E183" i="31"/>
  <c r="E184" i="31"/>
  <c r="E185" i="31"/>
  <c r="E186" i="31"/>
  <c r="E187" i="31"/>
  <c r="E188" i="31"/>
  <c r="E189" i="31"/>
  <c r="E190" i="31"/>
  <c r="E191" i="31"/>
  <c r="E192" i="31"/>
  <c r="E193" i="31"/>
  <c r="E194" i="31"/>
  <c r="E195" i="31"/>
  <c r="E196" i="31"/>
  <c r="E197" i="31"/>
  <c r="E198" i="31"/>
  <c r="E199" i="31"/>
  <c r="E200" i="31"/>
  <c r="E9" i="31"/>
  <c r="D10" i="31"/>
  <c r="D11" i="31"/>
  <c r="D12" i="31"/>
  <c r="D13" i="31"/>
  <c r="D14" i="31"/>
  <c r="D15" i="31"/>
  <c r="D16" i="31"/>
  <c r="D17" i="31"/>
  <c r="D18" i="31"/>
  <c r="D19" i="31"/>
  <c r="D20" i="31"/>
  <c r="D21" i="31"/>
  <c r="D22" i="31"/>
  <c r="D23" i="31"/>
  <c r="D24" i="31"/>
  <c r="D25" i="31"/>
  <c r="D26" i="31"/>
  <c r="D27" i="31"/>
  <c r="D28" i="31"/>
  <c r="D29" i="31"/>
  <c r="D30" i="31"/>
  <c r="D31" i="31"/>
  <c r="D32" i="31"/>
  <c r="D33" i="31"/>
  <c r="D34" i="31"/>
  <c r="D35" i="31"/>
  <c r="D36" i="31"/>
  <c r="D37" i="31"/>
  <c r="D38" i="31"/>
  <c r="D39" i="31"/>
  <c r="D40" i="31"/>
  <c r="D41" i="31"/>
  <c r="D42" i="31"/>
  <c r="D43" i="31"/>
  <c r="D44" i="31"/>
  <c r="D45" i="31"/>
  <c r="D46" i="31"/>
  <c r="D47" i="31"/>
  <c r="D48" i="31"/>
  <c r="D49" i="31"/>
  <c r="D50" i="31"/>
  <c r="D51" i="31"/>
  <c r="D52" i="31"/>
  <c r="D53" i="31"/>
  <c r="D54" i="31"/>
  <c r="D55" i="31"/>
  <c r="D56" i="31"/>
  <c r="D57" i="31"/>
  <c r="D58" i="31"/>
  <c r="D59" i="31"/>
  <c r="D60" i="31"/>
  <c r="D61" i="31"/>
  <c r="D62" i="31"/>
  <c r="D63" i="31"/>
  <c r="D64" i="31"/>
  <c r="D65" i="31"/>
  <c r="D66" i="31"/>
  <c r="D67" i="31"/>
  <c r="D68" i="31"/>
  <c r="D69" i="31"/>
  <c r="D70" i="31"/>
  <c r="D71" i="31"/>
  <c r="D72" i="31"/>
  <c r="D73" i="31"/>
  <c r="D74" i="31"/>
  <c r="D75" i="31"/>
  <c r="D76" i="31"/>
  <c r="D77" i="31"/>
  <c r="D78" i="31"/>
  <c r="D79" i="31"/>
  <c r="D80" i="31"/>
  <c r="D81" i="31"/>
  <c r="D82" i="31"/>
  <c r="D83" i="31"/>
  <c r="D84" i="31"/>
  <c r="D85" i="31"/>
  <c r="D86" i="31"/>
  <c r="D87" i="31"/>
  <c r="D88" i="31"/>
  <c r="D89" i="31"/>
  <c r="D90" i="31"/>
  <c r="D91" i="31"/>
  <c r="D92" i="31"/>
  <c r="D93" i="31"/>
  <c r="D94" i="31"/>
  <c r="D95" i="31"/>
  <c r="D96" i="31"/>
  <c r="D97" i="31"/>
  <c r="D98" i="31"/>
  <c r="D99" i="31"/>
  <c r="D100" i="31"/>
  <c r="D101" i="31"/>
  <c r="D102" i="31"/>
  <c r="D103" i="31"/>
  <c r="D104" i="31"/>
  <c r="D105" i="31"/>
  <c r="D106" i="31"/>
  <c r="D107" i="31"/>
  <c r="D108" i="31"/>
  <c r="D109" i="31"/>
  <c r="D110" i="31"/>
  <c r="D111" i="31"/>
  <c r="D112" i="31"/>
  <c r="D113" i="31"/>
  <c r="D114" i="31"/>
  <c r="D115" i="31"/>
  <c r="D116" i="31"/>
  <c r="D117" i="31"/>
  <c r="D118" i="31"/>
  <c r="D119" i="31"/>
  <c r="D120" i="31"/>
  <c r="D121" i="31"/>
  <c r="D122" i="31"/>
  <c r="D123" i="31"/>
  <c r="D124" i="31"/>
  <c r="D125" i="31"/>
  <c r="D126" i="31"/>
  <c r="D127" i="31"/>
  <c r="D128" i="31"/>
  <c r="D129" i="31"/>
  <c r="D130" i="31"/>
  <c r="D131" i="31"/>
  <c r="D132" i="31"/>
  <c r="D133" i="31"/>
  <c r="D134" i="31"/>
  <c r="D135" i="31"/>
  <c r="D136" i="31"/>
  <c r="D137" i="31"/>
  <c r="D138" i="31"/>
  <c r="D139" i="31"/>
  <c r="D140" i="31"/>
  <c r="D141" i="31"/>
  <c r="D142" i="31"/>
  <c r="D143" i="31"/>
  <c r="D144" i="31"/>
  <c r="D145" i="31"/>
  <c r="D146" i="31"/>
  <c r="D147" i="31"/>
  <c r="D148" i="31"/>
  <c r="D149" i="31"/>
  <c r="D150" i="31"/>
  <c r="D151" i="31"/>
  <c r="D152" i="31"/>
  <c r="D153" i="31"/>
  <c r="D154" i="31"/>
  <c r="D155" i="31"/>
  <c r="D156" i="31"/>
  <c r="D157" i="31"/>
  <c r="D158" i="31"/>
  <c r="D159" i="31"/>
  <c r="D160" i="31"/>
  <c r="D161" i="31"/>
  <c r="D162" i="31"/>
  <c r="D163" i="31"/>
  <c r="D164" i="31"/>
  <c r="D165" i="31"/>
  <c r="D166" i="31"/>
  <c r="D167" i="31"/>
  <c r="D168" i="31"/>
  <c r="D169" i="31"/>
  <c r="D170" i="31"/>
  <c r="D171" i="31"/>
  <c r="D172" i="31"/>
  <c r="D173" i="31"/>
  <c r="D174" i="31"/>
  <c r="D175" i="31"/>
  <c r="D176" i="31"/>
  <c r="D177" i="31"/>
  <c r="D178" i="31"/>
  <c r="D179" i="31"/>
  <c r="D180" i="31"/>
  <c r="D181" i="31"/>
  <c r="D182" i="31"/>
  <c r="D183" i="31"/>
  <c r="D184" i="31"/>
  <c r="D185" i="31"/>
  <c r="D186" i="31"/>
  <c r="D187" i="31"/>
  <c r="D188" i="31"/>
  <c r="D189" i="31"/>
  <c r="D190" i="31"/>
  <c r="D191" i="31"/>
  <c r="D192" i="31"/>
  <c r="D193" i="31"/>
  <c r="D194" i="31"/>
  <c r="D195" i="31"/>
  <c r="D196" i="31"/>
  <c r="D197" i="31"/>
  <c r="D198" i="31"/>
  <c r="D199" i="31"/>
  <c r="D200" i="31"/>
  <c r="D9" i="31"/>
  <c r="C10" i="31"/>
  <c r="C11" i="31"/>
  <c r="C12" i="31"/>
  <c r="C13" i="31"/>
  <c r="C14" i="31"/>
  <c r="C15" i="31"/>
  <c r="C16" i="31"/>
  <c r="C17" i="31"/>
  <c r="C18" i="31"/>
  <c r="C19" i="31"/>
  <c r="C20" i="31"/>
  <c r="C21" i="31"/>
  <c r="C22" i="31"/>
  <c r="C23" i="31"/>
  <c r="C24" i="31"/>
  <c r="C25" i="31"/>
  <c r="C26" i="31"/>
  <c r="C27" i="31"/>
  <c r="C28" i="31"/>
  <c r="C29" i="31"/>
  <c r="C30" i="31"/>
  <c r="C31" i="31"/>
  <c r="C32" i="31"/>
  <c r="C33" i="31"/>
  <c r="C34" i="31"/>
  <c r="C35" i="31"/>
  <c r="C36" i="31"/>
  <c r="C37" i="31"/>
  <c r="C38" i="31"/>
  <c r="C39" i="31"/>
  <c r="C40" i="31"/>
  <c r="C41" i="31"/>
  <c r="C42" i="31"/>
  <c r="C43" i="31"/>
  <c r="C44" i="31"/>
  <c r="C45" i="31"/>
  <c r="C46" i="31"/>
  <c r="C47" i="31"/>
  <c r="C48" i="31"/>
  <c r="C49" i="31"/>
  <c r="C50" i="31"/>
  <c r="C51" i="31"/>
  <c r="C52" i="31"/>
  <c r="C53" i="31"/>
  <c r="C54" i="31"/>
  <c r="C55" i="31"/>
  <c r="C56" i="31"/>
  <c r="C57" i="31"/>
  <c r="C58" i="31"/>
  <c r="C59" i="31"/>
  <c r="C60" i="31"/>
  <c r="C61" i="31"/>
  <c r="C62" i="31"/>
  <c r="C63" i="31"/>
  <c r="C64" i="31"/>
  <c r="C65" i="31"/>
  <c r="C66" i="31"/>
  <c r="C67" i="31"/>
  <c r="C68" i="31"/>
  <c r="C69" i="31"/>
  <c r="C70" i="31"/>
  <c r="C71" i="31"/>
  <c r="C72" i="31"/>
  <c r="C73" i="31"/>
  <c r="C74" i="31"/>
  <c r="C75" i="31"/>
  <c r="C76" i="31"/>
  <c r="C77" i="31"/>
  <c r="C78" i="31"/>
  <c r="C79" i="31"/>
  <c r="C80" i="31"/>
  <c r="C81" i="31"/>
  <c r="C82" i="31"/>
  <c r="C83" i="31"/>
  <c r="C84" i="31"/>
  <c r="C85" i="31"/>
  <c r="C86" i="31"/>
  <c r="C87" i="31"/>
  <c r="C88" i="31"/>
  <c r="C89" i="31"/>
  <c r="C90" i="31"/>
  <c r="C91" i="31"/>
  <c r="C92" i="31"/>
  <c r="C93" i="31"/>
  <c r="C94" i="31"/>
  <c r="C95" i="31"/>
  <c r="C96" i="31"/>
  <c r="C97" i="31"/>
  <c r="C98" i="31"/>
  <c r="C99" i="31"/>
  <c r="C100" i="31"/>
  <c r="C101" i="31"/>
  <c r="C102" i="31"/>
  <c r="C103" i="31"/>
  <c r="C104" i="31"/>
  <c r="C105" i="31"/>
  <c r="C106" i="31"/>
  <c r="C107" i="31"/>
  <c r="C108" i="31"/>
  <c r="C109" i="31"/>
  <c r="C110" i="31"/>
  <c r="C111" i="31"/>
  <c r="C112" i="31"/>
  <c r="C113" i="31"/>
  <c r="C114" i="31"/>
  <c r="C115" i="31"/>
  <c r="C116" i="31"/>
  <c r="C117" i="31"/>
  <c r="C118" i="31"/>
  <c r="C119" i="31"/>
  <c r="C120" i="31"/>
  <c r="C121" i="31"/>
  <c r="C122" i="31"/>
  <c r="C123" i="31"/>
  <c r="C124" i="31"/>
  <c r="C125" i="31"/>
  <c r="C126" i="31"/>
  <c r="C127" i="31"/>
  <c r="C128" i="31"/>
  <c r="C129" i="31"/>
  <c r="C130" i="31"/>
  <c r="C131" i="31"/>
  <c r="C132" i="31"/>
  <c r="C133" i="31"/>
  <c r="C134" i="31"/>
  <c r="C135" i="31"/>
  <c r="C136" i="31"/>
  <c r="C137" i="31"/>
  <c r="C138" i="31"/>
  <c r="C139" i="31"/>
  <c r="C140" i="31"/>
  <c r="C141" i="31"/>
  <c r="C142" i="31"/>
  <c r="C143" i="31"/>
  <c r="C144" i="31"/>
  <c r="C145" i="31"/>
  <c r="C146" i="31"/>
  <c r="C147" i="31"/>
  <c r="C148" i="31"/>
  <c r="C149" i="31"/>
  <c r="C150" i="31"/>
  <c r="C151" i="31"/>
  <c r="C152" i="31"/>
  <c r="C153" i="31"/>
  <c r="C154" i="31"/>
  <c r="C155" i="31"/>
  <c r="C156" i="31"/>
  <c r="C157" i="31"/>
  <c r="C158" i="31"/>
  <c r="C159" i="31"/>
  <c r="C160" i="31"/>
  <c r="C161" i="31"/>
  <c r="C162" i="31"/>
  <c r="C163" i="31"/>
  <c r="C164" i="31"/>
  <c r="C165" i="31"/>
  <c r="C166" i="31"/>
  <c r="C167" i="31"/>
  <c r="C168" i="31"/>
  <c r="C169" i="31"/>
  <c r="C170" i="31"/>
  <c r="C171" i="31"/>
  <c r="C172" i="31"/>
  <c r="C173" i="31"/>
  <c r="C174" i="31"/>
  <c r="C175" i="31"/>
  <c r="C176" i="31"/>
  <c r="C177" i="31"/>
  <c r="C178" i="31"/>
  <c r="C179" i="31"/>
  <c r="C180" i="31"/>
  <c r="C181" i="31"/>
  <c r="C182" i="31"/>
  <c r="C183" i="31"/>
  <c r="C184" i="31"/>
  <c r="C185" i="31"/>
  <c r="C186" i="31"/>
  <c r="C187" i="31"/>
  <c r="C188" i="31"/>
  <c r="C189" i="31"/>
  <c r="C190" i="31"/>
  <c r="C191" i="31"/>
  <c r="C192" i="31"/>
  <c r="C193" i="31"/>
  <c r="C194" i="31"/>
  <c r="C195" i="31"/>
  <c r="C196" i="31"/>
  <c r="C197" i="31"/>
  <c r="C198" i="31"/>
  <c r="C199" i="31"/>
  <c r="C200" i="31"/>
  <c r="C9" i="31"/>
  <c r="B10" i="31"/>
  <c r="G10" i="31" s="1"/>
  <c r="B11" i="31"/>
  <c r="G11" i="31" s="1"/>
  <c r="B12" i="31"/>
  <c r="G12" i="31" s="1"/>
  <c r="B13" i="31"/>
  <c r="G13" i="31" s="1"/>
  <c r="B14" i="31"/>
  <c r="B15" i="31"/>
  <c r="G15" i="31" s="1"/>
  <c r="B16" i="31"/>
  <c r="G16" i="31" s="1"/>
  <c r="B17" i="31"/>
  <c r="G17" i="31" s="1"/>
  <c r="B18" i="31"/>
  <c r="G18" i="31" s="1"/>
  <c r="H18" i="31" s="1"/>
  <c r="I18" i="31" s="1"/>
  <c r="J18" i="31" s="1"/>
  <c r="B19" i="31"/>
  <c r="B20" i="31"/>
  <c r="G20" i="31" s="1"/>
  <c r="H20" i="31" s="1"/>
  <c r="I20" i="31" s="1"/>
  <c r="J20" i="31" s="1"/>
  <c r="B21" i="31"/>
  <c r="G21" i="31" s="1"/>
  <c r="H21" i="31" s="1"/>
  <c r="I21" i="31" s="1"/>
  <c r="J21" i="31" s="1"/>
  <c r="B22" i="31"/>
  <c r="G22" i="31" s="1"/>
  <c r="B23" i="31"/>
  <c r="G23" i="31" s="1"/>
  <c r="B24" i="31"/>
  <c r="G24" i="31" s="1"/>
  <c r="H24" i="31" s="1"/>
  <c r="I24" i="31" s="1"/>
  <c r="J24" i="31" s="1"/>
  <c r="B25" i="31"/>
  <c r="G25" i="31" s="1"/>
  <c r="B26" i="31"/>
  <c r="G26" i="31" s="1"/>
  <c r="H26" i="31" s="1"/>
  <c r="I26" i="31" s="1"/>
  <c r="J26" i="31" s="1"/>
  <c r="B27" i="31"/>
  <c r="G27" i="31" s="1"/>
  <c r="H27" i="31" s="1"/>
  <c r="I27" i="31" s="1"/>
  <c r="J27" i="31" s="1"/>
  <c r="B28" i="31"/>
  <c r="G28" i="31" s="1"/>
  <c r="H28" i="31" s="1"/>
  <c r="I28" i="31" s="1"/>
  <c r="J28" i="31" s="1"/>
  <c r="B29" i="31"/>
  <c r="G29" i="31" s="1"/>
  <c r="B30" i="31"/>
  <c r="G30" i="31" s="1"/>
  <c r="H30" i="31" s="1"/>
  <c r="I30" i="31" s="1"/>
  <c r="J30" i="31" s="1"/>
  <c r="B31" i="31"/>
  <c r="G31" i="31" s="1"/>
  <c r="B32" i="31"/>
  <c r="G32" i="31" s="1"/>
  <c r="H32" i="31" s="1"/>
  <c r="I32" i="31" s="1"/>
  <c r="J32" i="31" s="1"/>
  <c r="B33" i="31"/>
  <c r="G33" i="31" s="1"/>
  <c r="B34" i="31"/>
  <c r="G34" i="31" s="1"/>
  <c r="B35" i="31"/>
  <c r="G35" i="31" s="1"/>
  <c r="B36" i="31"/>
  <c r="G36" i="31" s="1"/>
  <c r="H36" i="31" s="1"/>
  <c r="I36" i="31" s="1"/>
  <c r="J36" i="31" s="1"/>
  <c r="B37" i="31"/>
  <c r="B38" i="31"/>
  <c r="B39" i="31"/>
  <c r="G39" i="31" s="1"/>
  <c r="H39" i="31" s="1"/>
  <c r="I39" i="31" s="1"/>
  <c r="J39" i="31" s="1"/>
  <c r="B40" i="31"/>
  <c r="G40" i="31" s="1"/>
  <c r="B41" i="31"/>
  <c r="G41" i="31" s="1"/>
  <c r="B42" i="31"/>
  <c r="B43" i="31"/>
  <c r="G43" i="31" s="1"/>
  <c r="B44" i="31"/>
  <c r="G44" i="31" s="1"/>
  <c r="H44" i="31" s="1"/>
  <c r="I44" i="31" s="1"/>
  <c r="J44" i="31" s="1"/>
  <c r="B45" i="31"/>
  <c r="G45" i="31" s="1"/>
  <c r="B46" i="31"/>
  <c r="G46" i="31" s="1"/>
  <c r="H46" i="31" s="1"/>
  <c r="I46" i="31" s="1"/>
  <c r="J46" i="31" s="1"/>
  <c r="B47" i="31"/>
  <c r="G47" i="31" s="1"/>
  <c r="B48" i="31"/>
  <c r="G48" i="31" s="1"/>
  <c r="B49" i="31"/>
  <c r="G49" i="31" s="1"/>
  <c r="B50" i="31"/>
  <c r="G50" i="31" s="1"/>
  <c r="H50" i="31" s="1"/>
  <c r="I50" i="31" s="1"/>
  <c r="J50" i="31" s="1"/>
  <c r="B51" i="31"/>
  <c r="B52" i="31"/>
  <c r="G52" i="31" s="1"/>
  <c r="B53" i="31"/>
  <c r="G53" i="31" s="1"/>
  <c r="B54" i="31"/>
  <c r="G54" i="31" s="1"/>
  <c r="H54" i="31" s="1"/>
  <c r="I54" i="31" s="1"/>
  <c r="J54" i="31" s="1"/>
  <c r="B55" i="31"/>
  <c r="G55" i="31" s="1"/>
  <c r="B56" i="31"/>
  <c r="G56" i="31" s="1"/>
  <c r="B57" i="31"/>
  <c r="G57" i="31" s="1"/>
  <c r="B58" i="31"/>
  <c r="G58" i="31" s="1"/>
  <c r="B59" i="31"/>
  <c r="G59" i="31" s="1"/>
  <c r="B60" i="31"/>
  <c r="G60" i="31" s="1"/>
  <c r="B61" i="31"/>
  <c r="G61" i="31" s="1"/>
  <c r="B62" i="31"/>
  <c r="G62" i="31" s="1"/>
  <c r="B63" i="31"/>
  <c r="G63" i="31" s="1"/>
  <c r="B64" i="31"/>
  <c r="G64" i="31" s="1"/>
  <c r="B65" i="31"/>
  <c r="B66" i="31"/>
  <c r="G66" i="31" s="1"/>
  <c r="H66" i="31" s="1"/>
  <c r="I66" i="31" s="1"/>
  <c r="J66" i="31" s="1"/>
  <c r="B67" i="31"/>
  <c r="G67" i="31" s="1"/>
  <c r="B68" i="31"/>
  <c r="G68" i="31" s="1"/>
  <c r="B69" i="31"/>
  <c r="G69" i="31" s="1"/>
  <c r="B70" i="31"/>
  <c r="G70" i="31" s="1"/>
  <c r="B71" i="31"/>
  <c r="G71" i="31" s="1"/>
  <c r="B72" i="31"/>
  <c r="G72" i="31" s="1"/>
  <c r="B73" i="31"/>
  <c r="G73" i="31" s="1"/>
  <c r="B74" i="31"/>
  <c r="G74" i="31" s="1"/>
  <c r="H74" i="31" s="1"/>
  <c r="I74" i="31" s="1"/>
  <c r="J74" i="31" s="1"/>
  <c r="B75" i="31"/>
  <c r="G75" i="31" s="1"/>
  <c r="B76" i="31"/>
  <c r="G76" i="31" s="1"/>
  <c r="B77" i="31"/>
  <c r="G77" i="31" s="1"/>
  <c r="B78" i="31"/>
  <c r="G78" i="31" s="1"/>
  <c r="B79" i="31"/>
  <c r="G79" i="31" s="1"/>
  <c r="B80" i="31"/>
  <c r="G80" i="31" s="1"/>
  <c r="B81" i="31"/>
  <c r="G81" i="31" s="1"/>
  <c r="B82" i="31"/>
  <c r="G82" i="31" s="1"/>
  <c r="B83" i="31"/>
  <c r="B84" i="31"/>
  <c r="G84" i="31" s="1"/>
  <c r="B85" i="31"/>
  <c r="G85" i="31" s="1"/>
  <c r="B86" i="31"/>
  <c r="G86" i="31" s="1"/>
  <c r="B87" i="31"/>
  <c r="G87" i="31" s="1"/>
  <c r="B88" i="31"/>
  <c r="G88" i="31" s="1"/>
  <c r="B89" i="31"/>
  <c r="G89" i="31" s="1"/>
  <c r="B90" i="31"/>
  <c r="G90" i="31" s="1"/>
  <c r="H90" i="31" s="1"/>
  <c r="I90" i="31" s="1"/>
  <c r="J90" i="31" s="1"/>
  <c r="B91" i="31"/>
  <c r="G91" i="31" s="1"/>
  <c r="B92" i="31"/>
  <c r="G92" i="31" s="1"/>
  <c r="B93" i="31"/>
  <c r="G93" i="31" s="1"/>
  <c r="B94" i="31"/>
  <c r="G94" i="31" s="1"/>
  <c r="B95" i="31"/>
  <c r="G95" i="31" s="1"/>
  <c r="B96" i="31"/>
  <c r="G96" i="31" s="1"/>
  <c r="B97" i="31"/>
  <c r="G97" i="31" s="1"/>
  <c r="B98" i="31"/>
  <c r="G98" i="31" s="1"/>
  <c r="B99" i="31"/>
  <c r="G99" i="31" s="1"/>
  <c r="B100" i="31"/>
  <c r="G100" i="31" s="1"/>
  <c r="B101" i="31"/>
  <c r="G101" i="31" s="1"/>
  <c r="B102" i="31"/>
  <c r="G102" i="31" s="1"/>
  <c r="B103" i="31"/>
  <c r="G103" i="31" s="1"/>
  <c r="B104" i="31"/>
  <c r="G104" i="31" s="1"/>
  <c r="B105" i="31"/>
  <c r="G105" i="31" s="1"/>
  <c r="B106" i="31"/>
  <c r="G106" i="31" s="1"/>
  <c r="H106" i="31" s="1"/>
  <c r="I106" i="31" s="1"/>
  <c r="B107" i="31"/>
  <c r="G107" i="31" s="1"/>
  <c r="B108" i="31"/>
  <c r="G108" i="31" s="1"/>
  <c r="B109" i="31"/>
  <c r="G109" i="31" s="1"/>
  <c r="H109" i="31" s="1"/>
  <c r="I109" i="31" s="1"/>
  <c r="J109" i="31" s="1"/>
  <c r="B110" i="31"/>
  <c r="G110" i="31" s="1"/>
  <c r="B111" i="31"/>
  <c r="G111" i="31" s="1"/>
  <c r="B112" i="31"/>
  <c r="G112" i="31" s="1"/>
  <c r="B113" i="31"/>
  <c r="B114" i="31"/>
  <c r="G114" i="31" s="1"/>
  <c r="B115" i="31"/>
  <c r="G115" i="31" s="1"/>
  <c r="B116" i="31"/>
  <c r="B117" i="31"/>
  <c r="B118" i="31"/>
  <c r="G118" i="31" s="1"/>
  <c r="B119" i="31"/>
  <c r="B120" i="31"/>
  <c r="G120" i="31" s="1"/>
  <c r="B121" i="31"/>
  <c r="G121" i="31" s="1"/>
  <c r="B122" i="31"/>
  <c r="G122" i="31" s="1"/>
  <c r="B123" i="31"/>
  <c r="G123" i="31" s="1"/>
  <c r="B124" i="31"/>
  <c r="G124" i="31" s="1"/>
  <c r="B125" i="31"/>
  <c r="G125" i="31" s="1"/>
  <c r="B126" i="31"/>
  <c r="G126" i="31" s="1"/>
  <c r="B127" i="31"/>
  <c r="G127" i="31" s="1"/>
  <c r="B128" i="31"/>
  <c r="G128" i="31" s="1"/>
  <c r="B129" i="31"/>
  <c r="G129" i="31" s="1"/>
  <c r="B130" i="31"/>
  <c r="B131" i="31"/>
  <c r="G131" i="31" s="1"/>
  <c r="B132" i="31"/>
  <c r="G132" i="31" s="1"/>
  <c r="B133" i="31"/>
  <c r="B134" i="31"/>
  <c r="B135" i="31"/>
  <c r="G135" i="31" s="1"/>
  <c r="B136" i="31"/>
  <c r="G136" i="31" s="1"/>
  <c r="B137" i="31"/>
  <c r="G137" i="31" s="1"/>
  <c r="B138" i="31"/>
  <c r="G138" i="31" s="1"/>
  <c r="H138" i="31" s="1"/>
  <c r="I138" i="31" s="1"/>
  <c r="J138" i="31" s="1"/>
  <c r="B139" i="31"/>
  <c r="G139" i="31" s="1"/>
  <c r="B140" i="31"/>
  <c r="G140" i="31" s="1"/>
  <c r="B141" i="31"/>
  <c r="G141" i="31" s="1"/>
  <c r="B142" i="31"/>
  <c r="G142" i="31" s="1"/>
  <c r="B143" i="31"/>
  <c r="G143" i="31" s="1"/>
  <c r="B144" i="31"/>
  <c r="G144" i="31" s="1"/>
  <c r="B145" i="31"/>
  <c r="G145" i="31" s="1"/>
  <c r="B146" i="31"/>
  <c r="G146" i="31" s="1"/>
  <c r="B147" i="31"/>
  <c r="B148" i="31"/>
  <c r="G148" i="31" s="1"/>
  <c r="B149" i="31"/>
  <c r="G149" i="31" s="1"/>
  <c r="B150" i="31"/>
  <c r="G150" i="31" s="1"/>
  <c r="B151" i="31"/>
  <c r="G151" i="31" s="1"/>
  <c r="B152" i="31"/>
  <c r="B153" i="31"/>
  <c r="G153" i="31" s="1"/>
  <c r="B154" i="31"/>
  <c r="G154" i="31" s="1"/>
  <c r="B155" i="31"/>
  <c r="G155" i="31" s="1"/>
  <c r="B156" i="31"/>
  <c r="G156" i="31" s="1"/>
  <c r="B157" i="31"/>
  <c r="G157" i="31" s="1"/>
  <c r="H157" i="31" s="1"/>
  <c r="I157" i="31" s="1"/>
  <c r="J157" i="31" s="1"/>
  <c r="B158" i="31"/>
  <c r="G158" i="31" s="1"/>
  <c r="B159" i="31"/>
  <c r="G159" i="31" s="1"/>
  <c r="B160" i="31"/>
  <c r="G160" i="31" s="1"/>
  <c r="B161" i="31"/>
  <c r="G161" i="31" s="1"/>
  <c r="B162" i="31"/>
  <c r="G162" i="31" s="1"/>
  <c r="B163" i="31"/>
  <c r="G163" i="31" s="1"/>
  <c r="B164" i="31"/>
  <c r="G164" i="31" s="1"/>
  <c r="B165" i="31"/>
  <c r="G165" i="31" s="1"/>
  <c r="B166" i="31"/>
  <c r="G166" i="31" s="1"/>
  <c r="B167" i="31"/>
  <c r="G167" i="31" s="1"/>
  <c r="B168" i="31"/>
  <c r="G168" i="31" s="1"/>
  <c r="B169" i="31"/>
  <c r="G169" i="31" s="1"/>
  <c r="B170" i="31"/>
  <c r="G170" i="31" s="1"/>
  <c r="B171" i="31"/>
  <c r="G171" i="31" s="1"/>
  <c r="B172" i="31"/>
  <c r="G172" i="31" s="1"/>
  <c r="B173" i="31"/>
  <c r="G173" i="31" s="1"/>
  <c r="B174" i="31"/>
  <c r="G174" i="31" s="1"/>
  <c r="B175" i="31"/>
  <c r="G175" i="31" s="1"/>
  <c r="B176" i="31"/>
  <c r="G176" i="31" s="1"/>
  <c r="B177" i="31"/>
  <c r="G177" i="31" s="1"/>
  <c r="H177" i="31" s="1"/>
  <c r="I177" i="31" s="1"/>
  <c r="J177" i="31" s="1"/>
  <c r="B178" i="31"/>
  <c r="G178" i="31" s="1"/>
  <c r="B179" i="31"/>
  <c r="G179" i="31" s="1"/>
  <c r="B180" i="31"/>
  <c r="G180" i="31" s="1"/>
  <c r="B181" i="31"/>
  <c r="G181" i="31" s="1"/>
  <c r="B182" i="31"/>
  <c r="G182" i="31" s="1"/>
  <c r="B183" i="31"/>
  <c r="G183" i="31" s="1"/>
  <c r="B184" i="31"/>
  <c r="G184" i="31" s="1"/>
  <c r="B185" i="31"/>
  <c r="G185" i="31" s="1"/>
  <c r="B186" i="31"/>
  <c r="B187" i="31"/>
  <c r="G187" i="31" s="1"/>
  <c r="B188" i="31"/>
  <c r="G188" i="31" s="1"/>
  <c r="B189" i="31"/>
  <c r="G189" i="31" s="1"/>
  <c r="B190" i="31"/>
  <c r="G190" i="31" s="1"/>
  <c r="B191" i="31"/>
  <c r="G191" i="31" s="1"/>
  <c r="B192" i="31"/>
  <c r="G192" i="31" s="1"/>
  <c r="B193" i="31"/>
  <c r="G193" i="31" s="1"/>
  <c r="B194" i="31"/>
  <c r="G194" i="31" s="1"/>
  <c r="H194" i="31" s="1"/>
  <c r="I194" i="31" s="1"/>
  <c r="J194" i="31" s="1"/>
  <c r="B195" i="31"/>
  <c r="G195" i="31" s="1"/>
  <c r="B196" i="31"/>
  <c r="G196" i="31" s="1"/>
  <c r="B197" i="31"/>
  <c r="G197" i="31" s="1"/>
  <c r="B198" i="31"/>
  <c r="G198" i="31" s="1"/>
  <c r="B199" i="31"/>
  <c r="G199" i="31" s="1"/>
  <c r="B200" i="31"/>
  <c r="G200" i="31" s="1"/>
  <c r="B9" i="31"/>
  <c r="B2" i="33"/>
  <c r="B2" i="31"/>
  <c r="C18" i="29"/>
  <c r="C17" i="29"/>
  <c r="C16" i="29"/>
  <c r="C15" i="29"/>
  <c r="E2" i="1"/>
  <c r="P6" i="30"/>
  <c r="C2" i="53" s="1"/>
  <c r="M18" i="27"/>
  <c r="H17" i="29" s="1"/>
  <c r="D16" i="29" s="1"/>
  <c r="B13" i="1"/>
  <c r="P10" i="30"/>
  <c r="P8" i="30"/>
  <c r="M18" i="30" s="1"/>
  <c r="M19" i="30" s="1"/>
  <c r="M20" i="30" s="1"/>
  <c r="M21" i="30" s="1"/>
  <c r="M22" i="30" s="1"/>
  <c r="M23" i="30" s="1"/>
  <c r="M24" i="30" s="1"/>
  <c r="M25" i="30" s="1"/>
  <c r="M26" i="30" s="1"/>
  <c r="M27" i="30" s="1"/>
  <c r="M28" i="30" s="1"/>
  <c r="M29" i="30" s="1"/>
  <c r="M30" i="30" s="1"/>
  <c r="M31" i="30" s="1"/>
  <c r="M32" i="30" s="1"/>
  <c r="M33" i="30" s="1"/>
  <c r="M34" i="30" s="1"/>
  <c r="M35" i="30" s="1"/>
  <c r="M36" i="30" s="1"/>
  <c r="M37" i="30" s="1"/>
  <c r="M38" i="30" s="1"/>
  <c r="M39" i="30" s="1"/>
  <c r="M40" i="30" s="1"/>
  <c r="M41" i="30" s="1"/>
  <c r="M42" i="30" s="1"/>
  <c r="M43" i="30" s="1"/>
  <c r="M44" i="30" s="1"/>
  <c r="M45" i="30" s="1"/>
  <c r="M46" i="30" s="1"/>
  <c r="M47" i="30" s="1"/>
  <c r="M48" i="30" s="1"/>
  <c r="M49" i="30" s="1"/>
  <c r="M50" i="30" s="1"/>
  <c r="M51" i="30" s="1"/>
  <c r="M52" i="30" s="1"/>
  <c r="M53" i="30" s="1"/>
  <c r="Z54" i="30"/>
  <c r="Z53" i="30"/>
  <c r="Z52" i="30"/>
  <c r="Z51" i="30"/>
  <c r="Z50" i="30"/>
  <c r="Z49" i="30"/>
  <c r="Z48" i="30"/>
  <c r="Z47" i="30"/>
  <c r="Z46" i="30"/>
  <c r="Z45" i="30"/>
  <c r="Z44" i="30"/>
  <c r="Z43" i="30"/>
  <c r="Z42" i="30"/>
  <c r="AC41" i="30"/>
  <c r="Z41" i="30"/>
  <c r="AC40" i="30"/>
  <c r="Z40" i="30"/>
  <c r="AC39" i="30"/>
  <c r="Z39" i="30"/>
  <c r="Z38" i="30"/>
  <c r="AC37" i="30"/>
  <c r="Z37" i="30"/>
  <c r="AC36" i="30"/>
  <c r="Z36" i="30"/>
  <c r="AC35" i="30"/>
  <c r="Z35" i="30"/>
  <c r="AC34" i="30"/>
  <c r="AC33" i="30"/>
  <c r="Z33" i="30"/>
  <c r="AC32" i="30"/>
  <c r="Z32" i="30"/>
  <c r="AC31" i="30"/>
  <c r="Z31" i="30"/>
  <c r="F34" i="30"/>
  <c r="D34" i="30"/>
  <c r="C34" i="30"/>
  <c r="AC30" i="30"/>
  <c r="Z28" i="30"/>
  <c r="Z27" i="30"/>
  <c r="C18" i="30"/>
  <c r="Z26" i="30"/>
  <c r="D29" i="30"/>
  <c r="Z25" i="30"/>
  <c r="Z24" i="30"/>
  <c r="Z23" i="30"/>
  <c r="Z22" i="30"/>
  <c r="Z21" i="30"/>
  <c r="Z20" i="30"/>
  <c r="Z19" i="30"/>
  <c r="Z18" i="30"/>
  <c r="H7" i="29"/>
  <c r="B2" i="29"/>
  <c r="D10" i="1"/>
  <c r="D11" i="1"/>
  <c r="B9" i="1"/>
  <c r="E20" i="30"/>
  <c r="D12" i="1"/>
  <c r="E11" i="1"/>
  <c r="E35" i="30"/>
  <c r="N17" i="27"/>
  <c r="E17" i="30"/>
  <c r="D36" i="30"/>
  <c r="E28" i="30"/>
  <c r="D13" i="1"/>
  <c r="E12" i="1"/>
  <c r="E21" i="30"/>
  <c r="E13" i="1"/>
  <c r="D14" i="1"/>
  <c r="D15" i="1"/>
  <c r="E14" i="1"/>
  <c r="D16" i="1"/>
  <c r="E15" i="1"/>
  <c r="D17" i="1"/>
  <c r="D18" i="1"/>
  <c r="E17" i="1"/>
  <c r="E18" i="1"/>
  <c r="D19" i="1"/>
  <c r="E19" i="1"/>
  <c r="D20" i="1"/>
  <c r="D21" i="1"/>
  <c r="E21" i="1"/>
  <c r="E20" i="1"/>
  <c r="J19" i="57" a="1"/>
  <c r="F25" i="57" a="1"/>
  <c r="J26" i="57" a="1"/>
  <c r="F20" i="57" a="1"/>
  <c r="J27" i="57" a="1"/>
  <c r="J20" i="57" a="1"/>
  <c r="F16" i="57" a="1"/>
  <c r="J18" i="57" a="1"/>
  <c r="J17" i="57" a="1"/>
  <c r="J23" i="57" a="1"/>
  <c r="F17" i="57" a="1"/>
  <c r="J12" i="57" a="1"/>
  <c r="J22" i="57" a="1"/>
  <c r="J25" i="57" a="1"/>
  <c r="F11" i="57" a="1"/>
  <c r="F24" i="57" a="1"/>
  <c r="F18" i="57" a="1"/>
  <c r="J16" i="57" a="1"/>
  <c r="F22" i="57" a="1"/>
  <c r="J13" i="57" a="1"/>
  <c r="F26" i="57" a="1"/>
  <c r="F19" i="57" a="1"/>
  <c r="F14" i="57" a="1"/>
  <c r="F10" i="57" a="1"/>
  <c r="J21" i="57" a="1"/>
  <c r="F27" i="57" a="1"/>
  <c r="F12" i="57" a="1"/>
  <c r="J15" i="57" a="1"/>
  <c r="J24" i="57" a="1"/>
  <c r="F23" i="57" a="1"/>
  <c r="J10" i="57" a="1"/>
  <c r="J14" i="57" a="1"/>
  <c r="F21" i="57" a="1"/>
  <c r="F13" i="57" a="1"/>
  <c r="J11" i="57" a="1"/>
  <c r="F15" i="57" a="1"/>
  <c r="C93" i="46" l="1"/>
  <c r="C93" i="50"/>
  <c r="C93" i="47"/>
  <c r="C92" i="46"/>
  <c r="C92" i="47"/>
  <c r="C92" i="50"/>
  <c r="C88" i="46"/>
  <c r="C88" i="47"/>
  <c r="C88" i="50"/>
  <c r="C87" i="46"/>
  <c r="C87" i="50"/>
  <c r="C87" i="47"/>
  <c r="C90" i="46"/>
  <c r="C90" i="50"/>
  <c r="C90" i="47"/>
  <c r="C86" i="46"/>
  <c r="C86" i="50"/>
  <c r="C86" i="47"/>
  <c r="C96" i="46"/>
  <c r="C96" i="50"/>
  <c r="C96" i="47"/>
  <c r="C89" i="46"/>
  <c r="C89" i="47"/>
  <c r="C89" i="50"/>
  <c r="C95" i="46"/>
  <c r="C95" i="50"/>
  <c r="C95" i="47"/>
  <c r="C94" i="46"/>
  <c r="C94" i="50"/>
  <c r="C94" i="47"/>
  <c r="L92" i="48"/>
  <c r="L93" i="48"/>
  <c r="S12" i="28" s="1"/>
  <c r="L86" i="48"/>
  <c r="S5" i="28" s="1"/>
  <c r="L94" i="48"/>
  <c r="L87" i="48"/>
  <c r="S6" i="28" s="1"/>
  <c r="L95" i="48"/>
  <c r="S14" i="28" s="1"/>
  <c r="L88" i="48"/>
  <c r="S7" i="28" s="1"/>
  <c r="L96" i="48"/>
  <c r="S15" i="28" s="1"/>
  <c r="L89" i="48"/>
  <c r="L97" i="48"/>
  <c r="S16" i="28" s="1"/>
  <c r="L90" i="48"/>
  <c r="S9" i="28" s="1"/>
  <c r="L91" i="48"/>
  <c r="S10" i="28" s="1"/>
  <c r="H490" i="31"/>
  <c r="I490" i="31" s="1"/>
  <c r="J490" i="31" s="1"/>
  <c r="G498" i="31"/>
  <c r="G481" i="31"/>
  <c r="G478" i="31"/>
  <c r="H497" i="31"/>
  <c r="I497" i="31" s="1"/>
  <c r="J497" i="31" s="1"/>
  <c r="G492" i="31"/>
  <c r="H487" i="31"/>
  <c r="I487" i="31" s="1"/>
  <c r="J487" i="31" s="1"/>
  <c r="H470" i="31"/>
  <c r="I470" i="31" s="1"/>
  <c r="J470" i="31" s="1"/>
  <c r="H488" i="31"/>
  <c r="I488" i="31" s="1"/>
  <c r="J488" i="31" s="1"/>
  <c r="C24" i="30"/>
  <c r="H495" i="31"/>
  <c r="I495" i="31" s="1"/>
  <c r="J495" i="31" s="1"/>
  <c r="H485" i="31"/>
  <c r="I485" i="31" s="1"/>
  <c r="J485" i="31" s="1"/>
  <c r="C34" i="27"/>
  <c r="G34" i="27" s="1"/>
  <c r="H486" i="31"/>
  <c r="I486" i="31" s="1"/>
  <c r="J486" i="31" s="1"/>
  <c r="H483" i="31"/>
  <c r="I483" i="31" s="1"/>
  <c r="J483" i="31" s="1"/>
  <c r="H480" i="31"/>
  <c r="I480" i="31" s="1"/>
  <c r="J480" i="31" s="1"/>
  <c r="H469" i="31"/>
  <c r="I469" i="31" s="1"/>
  <c r="J469" i="31" s="1"/>
  <c r="H482" i="31"/>
  <c r="I482" i="31" s="1"/>
  <c r="J482" i="31" s="1"/>
  <c r="H467" i="31"/>
  <c r="I467" i="31" s="1"/>
  <c r="J467" i="31" s="1"/>
  <c r="H459" i="31"/>
  <c r="I459" i="31" s="1"/>
  <c r="J459" i="31" s="1"/>
  <c r="H466" i="31"/>
  <c r="I466" i="31" s="1"/>
  <c r="J466" i="31" s="1"/>
  <c r="H457" i="31"/>
  <c r="I457" i="31" s="1"/>
  <c r="J457" i="31" s="1"/>
  <c r="H427" i="31"/>
  <c r="I427" i="31" s="1"/>
  <c r="J427" i="31" s="1"/>
  <c r="G463" i="31"/>
  <c r="H463" i="31" s="1"/>
  <c r="I463" i="31" s="1"/>
  <c r="J463" i="31" s="1"/>
  <c r="H461" i="31"/>
  <c r="I461" i="31" s="1"/>
  <c r="J461" i="31" s="1"/>
  <c r="H347" i="31"/>
  <c r="I347" i="31" s="1"/>
  <c r="J347" i="31" s="1"/>
  <c r="H446" i="31"/>
  <c r="I446" i="31" s="1"/>
  <c r="J446" i="31" s="1"/>
  <c r="H430" i="31"/>
  <c r="I430" i="31" s="1"/>
  <c r="J430" i="31" s="1"/>
  <c r="H422" i="31"/>
  <c r="I422" i="31" s="1"/>
  <c r="J422" i="31" s="1"/>
  <c r="H455" i="31"/>
  <c r="I455" i="31" s="1"/>
  <c r="J455" i="31" s="1"/>
  <c r="G453" i="31"/>
  <c r="H453" i="31" s="1"/>
  <c r="I453" i="31" s="1"/>
  <c r="J453" i="31" s="1"/>
  <c r="H415" i="31"/>
  <c r="I415" i="31" s="1"/>
  <c r="J415" i="31" s="1"/>
  <c r="H339" i="31"/>
  <c r="I339" i="31" s="1"/>
  <c r="J339" i="31" s="1"/>
  <c r="C2" i="35"/>
  <c r="C2" i="48"/>
  <c r="M11" i="28"/>
  <c r="G12" i="27" s="1"/>
  <c r="B2" i="30"/>
  <c r="C77" i="54"/>
  <c r="C94" i="51"/>
  <c r="C72" i="48"/>
  <c r="C90" i="48" s="1"/>
  <c r="C89" i="51"/>
  <c r="C76" i="54"/>
  <c r="C93" i="51"/>
  <c r="C75" i="55"/>
  <c r="C92" i="51"/>
  <c r="C71" i="47"/>
  <c r="C88" i="51"/>
  <c r="C78" i="52"/>
  <c r="C95" i="51"/>
  <c r="C69" i="44"/>
  <c r="C86" i="51"/>
  <c r="C70" i="55"/>
  <c r="C87" i="51"/>
  <c r="C73" i="54"/>
  <c r="C90" i="51"/>
  <c r="C79" i="47"/>
  <c r="C96" i="51"/>
  <c r="G468" i="31"/>
  <c r="H468" i="31" s="1"/>
  <c r="I468" i="31" s="1"/>
  <c r="J468" i="31" s="1"/>
  <c r="G460" i="31"/>
  <c r="H460" i="31" s="1"/>
  <c r="I460" i="31" s="1"/>
  <c r="J460" i="31" s="1"/>
  <c r="E37" i="30"/>
  <c r="E23" i="30"/>
  <c r="D18" i="30"/>
  <c r="C2" i="45"/>
  <c r="C2" i="49"/>
  <c r="C2" i="46"/>
  <c r="C26" i="30"/>
  <c r="C2" i="38"/>
  <c r="D24" i="30"/>
  <c r="H452" i="31"/>
  <c r="I452" i="31" s="1"/>
  <c r="J452" i="31" s="1"/>
  <c r="G449" i="31"/>
  <c r="H449" i="31" s="1"/>
  <c r="I449" i="31" s="1"/>
  <c r="J449" i="31" s="1"/>
  <c r="H207" i="31"/>
  <c r="I207" i="31" s="1"/>
  <c r="J207" i="31" s="1"/>
  <c r="H445" i="31"/>
  <c r="I445" i="31" s="1"/>
  <c r="J445" i="31" s="1"/>
  <c r="H429" i="31"/>
  <c r="I429" i="31" s="1"/>
  <c r="J429" i="31" s="1"/>
  <c r="H450" i="31"/>
  <c r="I450" i="31" s="1"/>
  <c r="J450" i="31" s="1"/>
  <c r="G456" i="31"/>
  <c r="H456" i="31" s="1"/>
  <c r="I456" i="31" s="1"/>
  <c r="J456" i="31" s="1"/>
  <c r="G443" i="31"/>
  <c r="H443" i="31" s="1"/>
  <c r="I443" i="31" s="1"/>
  <c r="J443" i="31" s="1"/>
  <c r="H462" i="31"/>
  <c r="I462" i="31" s="1"/>
  <c r="J462" i="31" s="1"/>
  <c r="H454" i="31"/>
  <c r="I454" i="31" s="1"/>
  <c r="J454" i="31" s="1"/>
  <c r="H417" i="31"/>
  <c r="I417" i="31" s="1"/>
  <c r="J417" i="31" s="1"/>
  <c r="H414" i="31"/>
  <c r="I414" i="31" s="1"/>
  <c r="J414" i="31" s="1"/>
  <c r="H434" i="31"/>
  <c r="I434" i="31" s="1"/>
  <c r="J434" i="31" s="1"/>
  <c r="H423" i="31"/>
  <c r="I423" i="31" s="1"/>
  <c r="J423" i="31" s="1"/>
  <c r="G464" i="31"/>
  <c r="H464" i="31" s="1"/>
  <c r="I464" i="31" s="1"/>
  <c r="J464" i="31" s="1"/>
  <c r="H420" i="31"/>
  <c r="I420" i="31" s="1"/>
  <c r="J420" i="31" s="1"/>
  <c r="H447" i="31"/>
  <c r="I447" i="31" s="1"/>
  <c r="J447" i="31" s="1"/>
  <c r="H348" i="31"/>
  <c r="I348" i="31" s="1"/>
  <c r="J348" i="31" s="1"/>
  <c r="H289" i="31"/>
  <c r="I289" i="31" s="1"/>
  <c r="J289" i="31" s="1"/>
  <c r="G451" i="31"/>
  <c r="H451" i="31" s="1"/>
  <c r="I451" i="31" s="1"/>
  <c r="J451" i="31" s="1"/>
  <c r="H424" i="31"/>
  <c r="I424" i="31" s="1"/>
  <c r="J424" i="31" s="1"/>
  <c r="H388" i="31"/>
  <c r="I388" i="31" s="1"/>
  <c r="J388" i="31" s="1"/>
  <c r="H359" i="31"/>
  <c r="I359" i="31" s="1"/>
  <c r="J359" i="31" s="1"/>
  <c r="H350" i="31"/>
  <c r="I350" i="31" s="1"/>
  <c r="J350" i="31" s="1"/>
  <c r="H227" i="31"/>
  <c r="I227" i="31" s="1"/>
  <c r="J227" i="31" s="1"/>
  <c r="H211" i="31"/>
  <c r="I211" i="31" s="1"/>
  <c r="J211" i="31" s="1"/>
  <c r="H203" i="31"/>
  <c r="I203" i="31" s="1"/>
  <c r="J203" i="31" s="1"/>
  <c r="H294" i="31"/>
  <c r="I294" i="31" s="1"/>
  <c r="J294" i="31" s="1"/>
  <c r="M10" i="28"/>
  <c r="G11" i="27" s="1"/>
  <c r="L80" i="56"/>
  <c r="M6" i="28"/>
  <c r="G7" i="27" s="1"/>
  <c r="M14" i="28"/>
  <c r="G15" i="27" s="1"/>
  <c r="E18" i="30"/>
  <c r="F98" i="48"/>
  <c r="H431" i="31"/>
  <c r="I431" i="31" s="1"/>
  <c r="J431" i="31" s="1"/>
  <c r="J80" i="48"/>
  <c r="M15" i="28"/>
  <c r="G16" i="27" s="1"/>
  <c r="N80" i="48"/>
  <c r="O80" i="48"/>
  <c r="S8" i="28"/>
  <c r="S11" i="28"/>
  <c r="T80" i="48"/>
  <c r="P10" i="1"/>
  <c r="L80" i="48"/>
  <c r="F22" i="1"/>
  <c r="S13" i="28"/>
  <c r="H393" i="31"/>
  <c r="I393" i="31" s="1"/>
  <c r="J393" i="31" s="1"/>
  <c r="H331" i="31"/>
  <c r="I331" i="31" s="1"/>
  <c r="J331" i="31" s="1"/>
  <c r="H442" i="31"/>
  <c r="I442" i="31" s="1"/>
  <c r="J442" i="31" s="1"/>
  <c r="H439" i="31"/>
  <c r="I439" i="31" s="1"/>
  <c r="J439" i="31" s="1"/>
  <c r="H436" i="31"/>
  <c r="I436" i="31" s="1"/>
  <c r="J436" i="31" s="1"/>
  <c r="H425" i="31"/>
  <c r="I425" i="31" s="1"/>
  <c r="J425" i="31" s="1"/>
  <c r="H222" i="31"/>
  <c r="I222" i="31" s="1"/>
  <c r="J222" i="31" s="1"/>
  <c r="H438" i="31"/>
  <c r="I438" i="31" s="1"/>
  <c r="J438" i="31" s="1"/>
  <c r="H435" i="31"/>
  <c r="I435" i="31" s="1"/>
  <c r="J435" i="31" s="1"/>
  <c r="H428" i="31"/>
  <c r="I428" i="31" s="1"/>
  <c r="J428" i="31" s="1"/>
  <c r="H416" i="31"/>
  <c r="I416" i="31" s="1"/>
  <c r="J416" i="31" s="1"/>
  <c r="H381" i="31"/>
  <c r="I381" i="31" s="1"/>
  <c r="J381" i="31" s="1"/>
  <c r="H373" i="31"/>
  <c r="I373" i="31" s="1"/>
  <c r="J373" i="31" s="1"/>
  <c r="H351" i="31"/>
  <c r="I351" i="31" s="1"/>
  <c r="J351" i="31" s="1"/>
  <c r="H426" i="31"/>
  <c r="I426" i="31" s="1"/>
  <c r="J426" i="31" s="1"/>
  <c r="H401" i="31"/>
  <c r="I401" i="31" s="1"/>
  <c r="J401" i="31" s="1"/>
  <c r="H432" i="31"/>
  <c r="I432" i="31" s="1"/>
  <c r="J432" i="31" s="1"/>
  <c r="H336" i="31"/>
  <c r="I336" i="31" s="1"/>
  <c r="J336" i="31" s="1"/>
  <c r="M16" i="28"/>
  <c r="G17" i="27" s="1"/>
  <c r="E11" i="30"/>
  <c r="D13" i="30"/>
  <c r="E13" i="30" s="1"/>
  <c r="N13" i="27"/>
  <c r="N15" i="27"/>
  <c r="H11" i="30"/>
  <c r="H223" i="31"/>
  <c r="I223" i="31" s="1"/>
  <c r="J223" i="31" s="1"/>
  <c r="H437" i="31"/>
  <c r="I437" i="31" s="1"/>
  <c r="J437" i="31" s="1"/>
  <c r="H441" i="31"/>
  <c r="I441" i="31" s="1"/>
  <c r="J441" i="31" s="1"/>
  <c r="H433" i="31"/>
  <c r="I433" i="31" s="1"/>
  <c r="J433" i="31" s="1"/>
  <c r="H411" i="31"/>
  <c r="I411" i="31" s="1"/>
  <c r="J411" i="31" s="1"/>
  <c r="G408" i="31"/>
  <c r="H408" i="31" s="1"/>
  <c r="I408" i="31" s="1"/>
  <c r="J408" i="31" s="1"/>
  <c r="H397" i="31"/>
  <c r="I397" i="31" s="1"/>
  <c r="J397" i="31" s="1"/>
  <c r="G440" i="31"/>
  <c r="H440" i="31" s="1"/>
  <c r="I440" i="31" s="1"/>
  <c r="J440" i="31" s="1"/>
  <c r="G419" i="31"/>
  <c r="H419" i="31" s="1"/>
  <c r="I419" i="31" s="1"/>
  <c r="J419" i="31" s="1"/>
  <c r="H413" i="31"/>
  <c r="I413" i="31" s="1"/>
  <c r="J413" i="31" s="1"/>
  <c r="H402" i="31"/>
  <c r="I402" i="31" s="1"/>
  <c r="J402" i="31" s="1"/>
  <c r="H385" i="31"/>
  <c r="I385" i="31" s="1"/>
  <c r="J385" i="31" s="1"/>
  <c r="H352" i="31"/>
  <c r="I352" i="31" s="1"/>
  <c r="J352" i="31" s="1"/>
  <c r="H346" i="31"/>
  <c r="I346" i="31" s="1"/>
  <c r="J346" i="31" s="1"/>
  <c r="H338" i="31"/>
  <c r="I338" i="31" s="1"/>
  <c r="J338" i="31" s="1"/>
  <c r="H314" i="31"/>
  <c r="I314" i="31" s="1"/>
  <c r="J314" i="31" s="1"/>
  <c r="H306" i="31"/>
  <c r="I306" i="31" s="1"/>
  <c r="J306" i="31" s="1"/>
  <c r="H298" i="31"/>
  <c r="I298" i="31" s="1"/>
  <c r="J298" i="31" s="1"/>
  <c r="H174" i="31"/>
  <c r="I174" i="31" s="1"/>
  <c r="J174" i="31" s="1"/>
  <c r="H142" i="31"/>
  <c r="I142" i="31" s="1"/>
  <c r="J142" i="31" s="1"/>
  <c r="H126" i="31"/>
  <c r="I126" i="31" s="1"/>
  <c r="J126" i="31" s="1"/>
  <c r="H231" i="31"/>
  <c r="I231" i="31" s="1"/>
  <c r="J231" i="31" s="1"/>
  <c r="H358" i="31"/>
  <c r="I358" i="31" s="1"/>
  <c r="J358" i="31" s="1"/>
  <c r="H320" i="31"/>
  <c r="I320" i="31" s="1"/>
  <c r="J320" i="31" s="1"/>
  <c r="H304" i="31"/>
  <c r="I304" i="31" s="1"/>
  <c r="J304" i="31" s="1"/>
  <c r="H180" i="31"/>
  <c r="I180" i="31" s="1"/>
  <c r="J180" i="31" s="1"/>
  <c r="H164" i="31"/>
  <c r="I164" i="31" s="1"/>
  <c r="J164" i="31" s="1"/>
  <c r="H394" i="31"/>
  <c r="I394" i="31" s="1"/>
  <c r="J394" i="31" s="1"/>
  <c r="H366" i="31"/>
  <c r="I366" i="31" s="1"/>
  <c r="J366" i="31" s="1"/>
  <c r="G409" i="31"/>
  <c r="H409" i="31" s="1"/>
  <c r="I409" i="31" s="1"/>
  <c r="J409" i="31" s="1"/>
  <c r="C3" i="1"/>
  <c r="H380" i="31"/>
  <c r="I380" i="31" s="1"/>
  <c r="J380" i="31" s="1"/>
  <c r="G377" i="31"/>
  <c r="H377" i="31" s="1"/>
  <c r="I377" i="31" s="1"/>
  <c r="J377" i="31" s="1"/>
  <c r="H362" i="31"/>
  <c r="I362" i="31" s="1"/>
  <c r="J362" i="31" s="1"/>
  <c r="H396" i="31"/>
  <c r="I396" i="31" s="1"/>
  <c r="J396" i="31" s="1"/>
  <c r="G376" i="31"/>
  <c r="H376" i="31" s="1"/>
  <c r="I376" i="31" s="1"/>
  <c r="J376" i="31" s="1"/>
  <c r="H354" i="31"/>
  <c r="I354" i="31" s="1"/>
  <c r="J354" i="31" s="1"/>
  <c r="H337" i="31"/>
  <c r="I337" i="31" s="1"/>
  <c r="J337" i="31" s="1"/>
  <c r="H293" i="31"/>
  <c r="I293" i="31" s="1"/>
  <c r="J293" i="31" s="1"/>
  <c r="H410" i="31"/>
  <c r="I410" i="31" s="1"/>
  <c r="J410" i="31" s="1"/>
  <c r="H404" i="31"/>
  <c r="I404" i="31" s="1"/>
  <c r="J404" i="31" s="1"/>
  <c r="H387" i="31"/>
  <c r="I387" i="31" s="1"/>
  <c r="J387" i="31" s="1"/>
  <c r="G384" i="31"/>
  <c r="H384" i="31" s="1"/>
  <c r="I384" i="31" s="1"/>
  <c r="J384" i="31" s="1"/>
  <c r="H378" i="31"/>
  <c r="I378" i="31" s="1"/>
  <c r="J378" i="31" s="1"/>
  <c r="H296" i="31"/>
  <c r="I296" i="31" s="1"/>
  <c r="J296" i="31" s="1"/>
  <c r="H412" i="31"/>
  <c r="I412" i="31" s="1"/>
  <c r="J412" i="31" s="1"/>
  <c r="H395" i="31"/>
  <c r="I395" i="31" s="1"/>
  <c r="J395" i="31" s="1"/>
  <c r="G392" i="31"/>
  <c r="H392" i="31" s="1"/>
  <c r="I392" i="31" s="1"/>
  <c r="J392" i="31" s="1"/>
  <c r="H386" i="31"/>
  <c r="I386" i="31" s="1"/>
  <c r="J386" i="31" s="1"/>
  <c r="H22" i="31"/>
  <c r="I22" i="31" s="1"/>
  <c r="J22" i="31" s="1"/>
  <c r="H110" i="31"/>
  <c r="I110" i="31" s="1"/>
  <c r="J110" i="31" s="1"/>
  <c r="H102" i="31"/>
  <c r="I102" i="31" s="1"/>
  <c r="J102" i="31" s="1"/>
  <c r="H94" i="31"/>
  <c r="I94" i="31" s="1"/>
  <c r="J94" i="31" s="1"/>
  <c r="H86" i="31"/>
  <c r="I86" i="31" s="1"/>
  <c r="J86" i="31" s="1"/>
  <c r="H78" i="31"/>
  <c r="I78" i="31" s="1"/>
  <c r="J78" i="31" s="1"/>
  <c r="H70" i="31"/>
  <c r="I70" i="31" s="1"/>
  <c r="J70" i="31" s="1"/>
  <c r="H62" i="31"/>
  <c r="I62" i="31" s="1"/>
  <c r="J62" i="31" s="1"/>
  <c r="H403" i="31"/>
  <c r="I403" i="31" s="1"/>
  <c r="J403" i="31" s="1"/>
  <c r="G400" i="31"/>
  <c r="H400" i="31" s="1"/>
  <c r="I400" i="31" s="1"/>
  <c r="J400" i="31" s="1"/>
  <c r="G379" i="31"/>
  <c r="H379" i="31" s="1"/>
  <c r="I379" i="31" s="1"/>
  <c r="J379" i="31" s="1"/>
  <c r="H370" i="31"/>
  <c r="I370" i="31" s="1"/>
  <c r="J370" i="31" s="1"/>
  <c r="H327" i="31"/>
  <c r="I327" i="31" s="1"/>
  <c r="J327" i="31" s="1"/>
  <c r="H297" i="31"/>
  <c r="I297" i="31" s="1"/>
  <c r="J297" i="31" s="1"/>
  <c r="H334" i="31"/>
  <c r="I334" i="31" s="1"/>
  <c r="J334" i="31" s="1"/>
  <c r="C33" i="27"/>
  <c r="H328" i="31"/>
  <c r="I328" i="31" s="1"/>
  <c r="J328" i="31" s="1"/>
  <c r="H326" i="31"/>
  <c r="I326" i="31" s="1"/>
  <c r="J326" i="31" s="1"/>
  <c r="H324" i="31"/>
  <c r="I324" i="31" s="1"/>
  <c r="J324" i="31" s="1"/>
  <c r="H244" i="31"/>
  <c r="I244" i="31" s="1"/>
  <c r="J244" i="31" s="1"/>
  <c r="H407" i="31"/>
  <c r="I407" i="31" s="1"/>
  <c r="J407" i="31" s="1"/>
  <c r="H399" i="31"/>
  <c r="I399" i="31" s="1"/>
  <c r="J399" i="31" s="1"/>
  <c r="H391" i="31"/>
  <c r="I391" i="31" s="1"/>
  <c r="J391" i="31" s="1"/>
  <c r="H383" i="31"/>
  <c r="I383" i="31" s="1"/>
  <c r="J383" i="31" s="1"/>
  <c r="H375" i="31"/>
  <c r="I375" i="31" s="1"/>
  <c r="J375" i="31" s="1"/>
  <c r="H342" i="31"/>
  <c r="I342" i="31" s="1"/>
  <c r="J342" i="31" s="1"/>
  <c r="H406" i="31"/>
  <c r="I406" i="31" s="1"/>
  <c r="J406" i="31" s="1"/>
  <c r="H398" i="31"/>
  <c r="I398" i="31" s="1"/>
  <c r="J398" i="31" s="1"/>
  <c r="H390" i="31"/>
  <c r="I390" i="31" s="1"/>
  <c r="J390" i="31" s="1"/>
  <c r="H382" i="31"/>
  <c r="I382" i="31" s="1"/>
  <c r="J382" i="31" s="1"/>
  <c r="H374" i="31"/>
  <c r="I374" i="31" s="1"/>
  <c r="J374" i="31" s="1"/>
  <c r="H372" i="31"/>
  <c r="I372" i="31" s="1"/>
  <c r="J372" i="31" s="1"/>
  <c r="H356" i="31"/>
  <c r="I356" i="31" s="1"/>
  <c r="J356" i="31" s="1"/>
  <c r="H330" i="31"/>
  <c r="I330" i="31" s="1"/>
  <c r="J330" i="31" s="1"/>
  <c r="G368" i="31"/>
  <c r="H368" i="31" s="1"/>
  <c r="I368" i="31" s="1"/>
  <c r="J368" i="31" s="1"/>
  <c r="G364" i="31"/>
  <c r="H364" i="31" s="1"/>
  <c r="I364" i="31" s="1"/>
  <c r="J364" i="31" s="1"/>
  <c r="G371" i="31"/>
  <c r="H371" i="31" s="1"/>
  <c r="I371" i="31" s="1"/>
  <c r="J371" i="31" s="1"/>
  <c r="H369" i="31"/>
  <c r="I369" i="31" s="1"/>
  <c r="J369" i="31" s="1"/>
  <c r="H360" i="31"/>
  <c r="I360" i="31" s="1"/>
  <c r="J360" i="31" s="1"/>
  <c r="G355" i="31"/>
  <c r="H355" i="31" s="1"/>
  <c r="I355" i="31" s="1"/>
  <c r="J355" i="31" s="1"/>
  <c r="H353" i="31"/>
  <c r="I353" i="31" s="1"/>
  <c r="J353" i="31" s="1"/>
  <c r="G343" i="31"/>
  <c r="H343" i="31" s="1"/>
  <c r="I343" i="31" s="1"/>
  <c r="J343" i="31" s="1"/>
  <c r="H305" i="31"/>
  <c r="I305" i="31" s="1"/>
  <c r="J305" i="31" s="1"/>
  <c r="H335" i="31"/>
  <c r="I335" i="31" s="1"/>
  <c r="J335" i="31" s="1"/>
  <c r="H312" i="31"/>
  <c r="I312" i="31" s="1"/>
  <c r="J312" i="31" s="1"/>
  <c r="H363" i="31"/>
  <c r="I363" i="31" s="1"/>
  <c r="J363" i="31" s="1"/>
  <c r="H344" i="31"/>
  <c r="I344" i="31" s="1"/>
  <c r="J344" i="31" s="1"/>
  <c r="H367" i="31"/>
  <c r="I367" i="31" s="1"/>
  <c r="J367" i="31" s="1"/>
  <c r="H329" i="31"/>
  <c r="I329" i="31" s="1"/>
  <c r="J329" i="31" s="1"/>
  <c r="I5" i="28"/>
  <c r="G361" i="31"/>
  <c r="H361" i="31" s="1"/>
  <c r="I361" i="31" s="1"/>
  <c r="J361" i="31" s="1"/>
  <c r="G345" i="31"/>
  <c r="H345" i="31" s="1"/>
  <c r="I345" i="31" s="1"/>
  <c r="J345" i="31" s="1"/>
  <c r="H311" i="31"/>
  <c r="I311" i="31" s="1"/>
  <c r="J311" i="31" s="1"/>
  <c r="H308" i="31"/>
  <c r="I308" i="31" s="1"/>
  <c r="J308" i="31" s="1"/>
  <c r="G340" i="31"/>
  <c r="H340" i="31" s="1"/>
  <c r="I340" i="31" s="1"/>
  <c r="J340" i="31" s="1"/>
  <c r="G332" i="31"/>
  <c r="H332" i="31" s="1"/>
  <c r="I332" i="31" s="1"/>
  <c r="J332" i="31" s="1"/>
  <c r="H322" i="31"/>
  <c r="I322" i="31" s="1"/>
  <c r="J322" i="31" s="1"/>
  <c r="H295" i="31"/>
  <c r="I295" i="31" s="1"/>
  <c r="J295" i="31" s="1"/>
  <c r="H365" i="31"/>
  <c r="I365" i="31" s="1"/>
  <c r="J365" i="31" s="1"/>
  <c r="H349" i="31"/>
  <c r="I349" i="31" s="1"/>
  <c r="J349" i="31" s="1"/>
  <c r="H341" i="31"/>
  <c r="I341" i="31" s="1"/>
  <c r="J341" i="31" s="1"/>
  <c r="H333" i="31"/>
  <c r="I333" i="31" s="1"/>
  <c r="J333" i="31" s="1"/>
  <c r="H321" i="31"/>
  <c r="I321" i="31" s="1"/>
  <c r="J321" i="31" s="1"/>
  <c r="H315" i="31"/>
  <c r="I315" i="31" s="1"/>
  <c r="J315" i="31" s="1"/>
  <c r="H300" i="31"/>
  <c r="I300" i="31" s="1"/>
  <c r="J300" i="31" s="1"/>
  <c r="H282" i="31"/>
  <c r="I282" i="31" s="1"/>
  <c r="J282" i="31" s="1"/>
  <c r="H274" i="31"/>
  <c r="I274" i="31" s="1"/>
  <c r="J274" i="31" s="1"/>
  <c r="H266" i="31"/>
  <c r="I266" i="31" s="1"/>
  <c r="J266" i="31" s="1"/>
  <c r="H323" i="31"/>
  <c r="I323" i="31" s="1"/>
  <c r="J323" i="31" s="1"/>
  <c r="G299" i="31"/>
  <c r="H299" i="31" s="1"/>
  <c r="I299" i="31" s="1"/>
  <c r="J299" i="31" s="1"/>
  <c r="H325" i="31"/>
  <c r="I325" i="31" s="1"/>
  <c r="J325" i="31" s="1"/>
  <c r="H319" i="31"/>
  <c r="I319" i="31" s="1"/>
  <c r="J319" i="31" s="1"/>
  <c r="H316" i="31"/>
  <c r="I316" i="31" s="1"/>
  <c r="J316" i="31" s="1"/>
  <c r="H301" i="31"/>
  <c r="I301" i="31" s="1"/>
  <c r="J301" i="31" s="1"/>
  <c r="H291" i="31"/>
  <c r="I291" i="31" s="1"/>
  <c r="J291" i="31" s="1"/>
  <c r="H313" i="31"/>
  <c r="I313" i="31" s="1"/>
  <c r="J313" i="31" s="1"/>
  <c r="H307" i="31"/>
  <c r="I307" i="31" s="1"/>
  <c r="J307" i="31" s="1"/>
  <c r="H292" i="31"/>
  <c r="I292" i="31" s="1"/>
  <c r="J292" i="31" s="1"/>
  <c r="H163" i="31"/>
  <c r="I163" i="31" s="1"/>
  <c r="J163" i="31" s="1"/>
  <c r="H279" i="31"/>
  <c r="I279" i="31" s="1"/>
  <c r="J279" i="31" s="1"/>
  <c r="H271" i="31"/>
  <c r="I271" i="31" s="1"/>
  <c r="J271" i="31" s="1"/>
  <c r="H263" i="31"/>
  <c r="I263" i="31" s="1"/>
  <c r="J263" i="31" s="1"/>
  <c r="H239" i="31"/>
  <c r="I239" i="31" s="1"/>
  <c r="J239" i="31" s="1"/>
  <c r="G37" i="31"/>
  <c r="H37" i="31" s="1"/>
  <c r="I37" i="31" s="1"/>
  <c r="J37" i="31" s="1"/>
  <c r="H191" i="31"/>
  <c r="I191" i="31" s="1"/>
  <c r="J191" i="31" s="1"/>
  <c r="H103" i="31"/>
  <c r="I103" i="31" s="1"/>
  <c r="J103" i="31" s="1"/>
  <c r="H87" i="31"/>
  <c r="I87" i="31" s="1"/>
  <c r="J87" i="31" s="1"/>
  <c r="H79" i="31"/>
  <c r="I79" i="31" s="1"/>
  <c r="J79" i="31" s="1"/>
  <c r="H71" i="31"/>
  <c r="I71" i="31" s="1"/>
  <c r="J71" i="31" s="1"/>
  <c r="H63" i="31"/>
  <c r="I63" i="31" s="1"/>
  <c r="J63" i="31" s="1"/>
  <c r="H127" i="31"/>
  <c r="I127" i="31" s="1"/>
  <c r="J127" i="31" s="1"/>
  <c r="H199" i="31"/>
  <c r="I199" i="31" s="1"/>
  <c r="J199" i="31" s="1"/>
  <c r="H47" i="31"/>
  <c r="I47" i="31" s="1"/>
  <c r="J47" i="31" s="1"/>
  <c r="C32" i="27"/>
  <c r="J80" i="40"/>
  <c r="H145" i="31"/>
  <c r="I145" i="31" s="1"/>
  <c r="J145" i="31" s="1"/>
  <c r="H129" i="31"/>
  <c r="I129" i="31" s="1"/>
  <c r="J129" i="31" s="1"/>
  <c r="H89" i="31"/>
  <c r="I89" i="31" s="1"/>
  <c r="J89" i="31" s="1"/>
  <c r="H269" i="31"/>
  <c r="I269" i="31" s="1"/>
  <c r="J269" i="31" s="1"/>
  <c r="H280" i="31"/>
  <c r="I280" i="31" s="1"/>
  <c r="J280" i="31" s="1"/>
  <c r="H272" i="31"/>
  <c r="I272" i="31" s="1"/>
  <c r="J272" i="31" s="1"/>
  <c r="H154" i="31"/>
  <c r="I154" i="31" s="1"/>
  <c r="J154" i="31" s="1"/>
  <c r="H193" i="31"/>
  <c r="I193" i="31" s="1"/>
  <c r="J193" i="31" s="1"/>
  <c r="H229" i="31"/>
  <c r="I229" i="31" s="1"/>
  <c r="J229" i="31" s="1"/>
  <c r="H41" i="31"/>
  <c r="I41" i="31" s="1"/>
  <c r="J41" i="31" s="1"/>
  <c r="D28" i="57"/>
  <c r="O22" i="1"/>
  <c r="C79" i="43"/>
  <c r="C77" i="43"/>
  <c r="C2" i="51"/>
  <c r="C2" i="42"/>
  <c r="C2" i="56"/>
  <c r="C36" i="30"/>
  <c r="E36" i="30" s="1"/>
  <c r="N16" i="27"/>
  <c r="B16" i="27"/>
  <c r="C2" i="44"/>
  <c r="C2" i="54"/>
  <c r="C2" i="40"/>
  <c r="C2" i="43"/>
  <c r="C2" i="55"/>
  <c r="C2" i="39"/>
  <c r="C2" i="50"/>
  <c r="C2" i="52"/>
  <c r="C2" i="47"/>
  <c r="C2" i="41"/>
  <c r="J80" i="56"/>
  <c r="J80" i="54"/>
  <c r="J80" i="52"/>
  <c r="O80" i="50"/>
  <c r="J80" i="51"/>
  <c r="H22" i="1"/>
  <c r="M12" i="28"/>
  <c r="G13" i="27" s="1"/>
  <c r="C23" i="27"/>
  <c r="N22" i="1"/>
  <c r="P15" i="1"/>
  <c r="P11" i="43"/>
  <c r="P21" i="1"/>
  <c r="I8" i="28"/>
  <c r="I16" i="28"/>
  <c r="L80" i="35"/>
  <c r="J22" i="1"/>
  <c r="G22" i="1"/>
  <c r="I6" i="28"/>
  <c r="I7" i="28"/>
  <c r="I14" i="28"/>
  <c r="I15" i="28"/>
  <c r="P19" i="1"/>
  <c r="P20" i="1"/>
  <c r="P12" i="1"/>
  <c r="F7" i="27"/>
  <c r="C30" i="27"/>
  <c r="G30" i="27" s="1"/>
  <c r="F15" i="27"/>
  <c r="I9" i="28"/>
  <c r="H165" i="31"/>
  <c r="I165" i="31" s="1"/>
  <c r="J165" i="31" s="1"/>
  <c r="G317" i="31"/>
  <c r="H317" i="31" s="1"/>
  <c r="I317" i="31" s="1"/>
  <c r="J317" i="31" s="1"/>
  <c r="G309" i="31"/>
  <c r="H309" i="31" s="1"/>
  <c r="I309" i="31" s="1"/>
  <c r="J309" i="31" s="1"/>
  <c r="H268" i="31"/>
  <c r="I268" i="31" s="1"/>
  <c r="J268" i="31" s="1"/>
  <c r="H213" i="31"/>
  <c r="I213" i="31" s="1"/>
  <c r="J213" i="31" s="1"/>
  <c r="H91" i="31"/>
  <c r="I91" i="31" s="1"/>
  <c r="J91" i="31" s="1"/>
  <c r="H242" i="31"/>
  <c r="I242" i="31" s="1"/>
  <c r="J242" i="31" s="1"/>
  <c r="H178" i="31"/>
  <c r="I178" i="31" s="1"/>
  <c r="J178" i="31" s="1"/>
  <c r="H303" i="31"/>
  <c r="I303" i="31" s="1"/>
  <c r="J303" i="31" s="1"/>
  <c r="H318" i="31"/>
  <c r="I318" i="31" s="1"/>
  <c r="J318" i="31" s="1"/>
  <c r="H310" i="31"/>
  <c r="I310" i="31" s="1"/>
  <c r="J310" i="31" s="1"/>
  <c r="H302" i="31"/>
  <c r="I302" i="31" s="1"/>
  <c r="J302" i="31" s="1"/>
  <c r="H290" i="31"/>
  <c r="I290" i="31" s="1"/>
  <c r="J290" i="31" s="1"/>
  <c r="H284" i="31"/>
  <c r="I284" i="31" s="1"/>
  <c r="J284" i="31" s="1"/>
  <c r="H256" i="31"/>
  <c r="I256" i="31" s="1"/>
  <c r="J256" i="31" s="1"/>
  <c r="H215" i="31"/>
  <c r="I215" i="31" s="1"/>
  <c r="J215" i="31" s="1"/>
  <c r="H287" i="31"/>
  <c r="I287" i="31" s="1"/>
  <c r="J287" i="31" s="1"/>
  <c r="H276" i="31"/>
  <c r="I276" i="31" s="1"/>
  <c r="J276" i="31" s="1"/>
  <c r="N14" i="27"/>
  <c r="H8" i="30"/>
  <c r="H7" i="30"/>
  <c r="N8" i="27"/>
  <c r="N12" i="27"/>
  <c r="H140" i="31"/>
  <c r="I140" i="31" s="1"/>
  <c r="J140" i="31" s="1"/>
  <c r="H108" i="31"/>
  <c r="I108" i="31" s="1"/>
  <c r="J108" i="31" s="1"/>
  <c r="H288" i="31"/>
  <c r="I288" i="31" s="1"/>
  <c r="J288" i="31" s="1"/>
  <c r="H275" i="31"/>
  <c r="I275" i="31" s="1"/>
  <c r="J275" i="31" s="1"/>
  <c r="H260" i="31"/>
  <c r="I260" i="31" s="1"/>
  <c r="J260" i="31" s="1"/>
  <c r="H258" i="31"/>
  <c r="I258" i="31" s="1"/>
  <c r="J258" i="31" s="1"/>
  <c r="H234" i="31"/>
  <c r="I234" i="31" s="1"/>
  <c r="J234" i="31" s="1"/>
  <c r="H181" i="31"/>
  <c r="I181" i="31" s="1"/>
  <c r="J181" i="31" s="1"/>
  <c r="H176" i="31"/>
  <c r="I176" i="31" s="1"/>
  <c r="J176" i="31" s="1"/>
  <c r="H101" i="31"/>
  <c r="I101" i="31" s="1"/>
  <c r="J101" i="31" s="1"/>
  <c r="H182" i="31"/>
  <c r="I182" i="31" s="1"/>
  <c r="J182" i="31" s="1"/>
  <c r="H188" i="31"/>
  <c r="I188" i="31" s="1"/>
  <c r="J188" i="31" s="1"/>
  <c r="H100" i="31"/>
  <c r="I100" i="31" s="1"/>
  <c r="J100" i="31" s="1"/>
  <c r="H77" i="31"/>
  <c r="I77" i="31" s="1"/>
  <c r="J77" i="31" s="1"/>
  <c r="H264" i="31"/>
  <c r="I264" i="31" s="1"/>
  <c r="J264" i="31" s="1"/>
  <c r="H285" i="31"/>
  <c r="I285" i="31" s="1"/>
  <c r="J285" i="31" s="1"/>
  <c r="G259" i="31"/>
  <c r="H259" i="31" s="1"/>
  <c r="I259" i="31" s="1"/>
  <c r="J259" i="31" s="1"/>
  <c r="H225" i="31"/>
  <c r="I225" i="31" s="1"/>
  <c r="J225" i="31" s="1"/>
  <c r="H206" i="31"/>
  <c r="I206" i="31" s="1"/>
  <c r="J206" i="31" s="1"/>
  <c r="H124" i="31"/>
  <c r="I124" i="31" s="1"/>
  <c r="J124" i="31" s="1"/>
  <c r="H166" i="31"/>
  <c r="I166" i="31" s="1"/>
  <c r="J166" i="31" s="1"/>
  <c r="H84" i="31"/>
  <c r="I84" i="31" s="1"/>
  <c r="J84" i="31" s="1"/>
  <c r="H76" i="31"/>
  <c r="I76" i="31" s="1"/>
  <c r="J76" i="31" s="1"/>
  <c r="H68" i="31"/>
  <c r="I68" i="31" s="1"/>
  <c r="J68" i="31" s="1"/>
  <c r="H261" i="31"/>
  <c r="I261" i="31" s="1"/>
  <c r="J261" i="31" s="1"/>
  <c r="G250" i="31"/>
  <c r="H250" i="31" s="1"/>
  <c r="I250" i="31" s="1"/>
  <c r="J250" i="31" s="1"/>
  <c r="H267" i="31"/>
  <c r="I267" i="31" s="1"/>
  <c r="J267" i="31" s="1"/>
  <c r="H277" i="31"/>
  <c r="I277" i="31" s="1"/>
  <c r="J277" i="31" s="1"/>
  <c r="H252" i="31"/>
  <c r="I252" i="31" s="1"/>
  <c r="J252" i="31" s="1"/>
  <c r="H161" i="31"/>
  <c r="I161" i="31" s="1"/>
  <c r="J161" i="31" s="1"/>
  <c r="H156" i="31"/>
  <c r="I156" i="31" s="1"/>
  <c r="J156" i="31" s="1"/>
  <c r="H96" i="31"/>
  <c r="I96" i="31" s="1"/>
  <c r="J96" i="31" s="1"/>
  <c r="H52" i="31"/>
  <c r="I52" i="31" s="1"/>
  <c r="J52" i="31" s="1"/>
  <c r="H283" i="31"/>
  <c r="I283" i="31" s="1"/>
  <c r="J283" i="31" s="1"/>
  <c r="M13" i="28"/>
  <c r="G14" i="27" s="1"/>
  <c r="C31" i="27"/>
  <c r="G31" i="27" s="1"/>
  <c r="C78" i="54"/>
  <c r="C77" i="35"/>
  <c r="C73" i="53"/>
  <c r="C71" i="41"/>
  <c r="B15" i="27"/>
  <c r="B17" i="27"/>
  <c r="C77" i="46"/>
  <c r="C71" i="53"/>
  <c r="J80" i="47"/>
  <c r="J80" i="42"/>
  <c r="E17" i="28"/>
  <c r="P18" i="1"/>
  <c r="C17" i="28"/>
  <c r="I13" i="28"/>
  <c r="M5" i="28"/>
  <c r="G6" i="27" s="1"/>
  <c r="M9" i="28"/>
  <c r="G10" i="27" s="1"/>
  <c r="M8" i="28"/>
  <c r="G9" i="27" s="1"/>
  <c r="C13" i="27"/>
  <c r="C18" i="27" s="1"/>
  <c r="J80" i="53"/>
  <c r="J80" i="44"/>
  <c r="J80" i="43"/>
  <c r="P17" i="1"/>
  <c r="L22" i="1"/>
  <c r="I12" i="28"/>
  <c r="G17" i="28"/>
  <c r="F13" i="27"/>
  <c r="C76" i="46"/>
  <c r="C69" i="54"/>
  <c r="C76" i="42"/>
  <c r="B9" i="27"/>
  <c r="C70" i="47"/>
  <c r="C77" i="52"/>
  <c r="C76" i="35"/>
  <c r="B8" i="28"/>
  <c r="C70" i="52"/>
  <c r="C77" i="44"/>
  <c r="C76" i="40"/>
  <c r="C71" i="40"/>
  <c r="C70" i="43"/>
  <c r="C71" i="44"/>
  <c r="B7" i="28"/>
  <c r="C76" i="56"/>
  <c r="C76" i="52"/>
  <c r="B16" i="28"/>
  <c r="C77" i="40"/>
  <c r="B13" i="28"/>
  <c r="C76" i="53"/>
  <c r="C71" i="51"/>
  <c r="B14" i="27"/>
  <c r="C71" i="52"/>
  <c r="C70" i="40"/>
  <c r="C69" i="47"/>
  <c r="E10" i="30"/>
  <c r="L18" i="27"/>
  <c r="N10" i="27"/>
  <c r="N7" i="27"/>
  <c r="N9" i="27"/>
  <c r="N11" i="27"/>
  <c r="K18" i="27"/>
  <c r="H162" i="31"/>
  <c r="I162" i="31" s="1"/>
  <c r="J162" i="31" s="1"/>
  <c r="H88" i="31"/>
  <c r="I88" i="31" s="1"/>
  <c r="J88" i="31" s="1"/>
  <c r="H236" i="31"/>
  <c r="I236" i="31" s="1"/>
  <c r="J236" i="31" s="1"/>
  <c r="H240" i="31"/>
  <c r="I240" i="31" s="1"/>
  <c r="J240" i="31" s="1"/>
  <c r="H160" i="31"/>
  <c r="I160" i="31" s="1"/>
  <c r="J160" i="31" s="1"/>
  <c r="H286" i="31"/>
  <c r="I286" i="31" s="1"/>
  <c r="J286" i="31" s="1"/>
  <c r="H278" i="31"/>
  <c r="I278" i="31" s="1"/>
  <c r="J278" i="31" s="1"/>
  <c r="H270" i="31"/>
  <c r="I270" i="31" s="1"/>
  <c r="J270" i="31" s="1"/>
  <c r="H262" i="31"/>
  <c r="I262" i="31" s="1"/>
  <c r="J262" i="31" s="1"/>
  <c r="H253" i="31"/>
  <c r="I253" i="31" s="1"/>
  <c r="J253" i="31" s="1"/>
  <c r="H249" i="31"/>
  <c r="I249" i="31" s="1"/>
  <c r="J249" i="31" s="1"/>
  <c r="H246" i="31"/>
  <c r="I246" i="31" s="1"/>
  <c r="J246" i="31" s="1"/>
  <c r="H184" i="31"/>
  <c r="I184" i="31" s="1"/>
  <c r="J184" i="31" s="1"/>
  <c r="H80" i="31"/>
  <c r="I80" i="31" s="1"/>
  <c r="J80" i="31" s="1"/>
  <c r="H72" i="31"/>
  <c r="I72" i="31" s="1"/>
  <c r="J72" i="31" s="1"/>
  <c r="H149" i="31"/>
  <c r="I149" i="31" s="1"/>
  <c r="J149" i="31" s="1"/>
  <c r="H248" i="31"/>
  <c r="I248" i="31" s="1"/>
  <c r="J248" i="31" s="1"/>
  <c r="G235" i="31"/>
  <c r="H235" i="31" s="1"/>
  <c r="I235" i="31" s="1"/>
  <c r="J235" i="31" s="1"/>
  <c r="G281" i="31"/>
  <c r="H281" i="31" s="1"/>
  <c r="I281" i="31" s="1"/>
  <c r="J281" i="31" s="1"/>
  <c r="G273" i="31"/>
  <c r="H273" i="31" s="1"/>
  <c r="I273" i="31" s="1"/>
  <c r="G265" i="31"/>
  <c r="H265" i="31" s="1"/>
  <c r="G257" i="31"/>
  <c r="H257" i="31" s="1"/>
  <c r="I257" i="31" s="1"/>
  <c r="J257" i="31" s="1"/>
  <c r="H237" i="31"/>
  <c r="I237" i="31" s="1"/>
  <c r="J237" i="31" s="1"/>
  <c r="H233" i="31"/>
  <c r="I233" i="31" s="1"/>
  <c r="J233" i="31" s="1"/>
  <c r="H214" i="31"/>
  <c r="I214" i="31" s="1"/>
  <c r="J214" i="31" s="1"/>
  <c r="H128" i="31"/>
  <c r="I128" i="31" s="1"/>
  <c r="J128" i="31" s="1"/>
  <c r="H120" i="31"/>
  <c r="I120" i="31" s="1"/>
  <c r="J120" i="31" s="1"/>
  <c r="H56" i="31"/>
  <c r="I56" i="31" s="1"/>
  <c r="J56" i="31" s="1"/>
  <c r="H179" i="31"/>
  <c r="I179" i="31" s="1"/>
  <c r="J179" i="31" s="1"/>
  <c r="H155" i="31"/>
  <c r="I155" i="31" s="1"/>
  <c r="J155" i="31" s="1"/>
  <c r="H99" i="31"/>
  <c r="I99" i="31" s="1"/>
  <c r="J99" i="31" s="1"/>
  <c r="H67" i="31"/>
  <c r="I67" i="31" s="1"/>
  <c r="J67" i="31" s="1"/>
  <c r="H254" i="31"/>
  <c r="I254" i="31" s="1"/>
  <c r="J254" i="31" s="1"/>
  <c r="H200" i="31"/>
  <c r="I200" i="31" s="1"/>
  <c r="J200" i="31" s="1"/>
  <c r="H150" i="31"/>
  <c r="I150" i="31" s="1"/>
  <c r="J150" i="31" s="1"/>
  <c r="H104" i="31"/>
  <c r="I104" i="31" s="1"/>
  <c r="J104" i="31" s="1"/>
  <c r="H251" i="31"/>
  <c r="I251" i="31" s="1"/>
  <c r="J251" i="31" s="1"/>
  <c r="G243" i="31"/>
  <c r="H243" i="31" s="1"/>
  <c r="I243" i="31" s="1"/>
  <c r="J243" i="31" s="1"/>
  <c r="H168" i="31"/>
  <c r="I168" i="31" s="1"/>
  <c r="J168" i="31" s="1"/>
  <c r="H40" i="31"/>
  <c r="I40" i="31" s="1"/>
  <c r="J40" i="31" s="1"/>
  <c r="H255" i="31"/>
  <c r="I255" i="31" s="1"/>
  <c r="J255" i="31" s="1"/>
  <c r="H245" i="31"/>
  <c r="I245" i="31" s="1"/>
  <c r="J245" i="31" s="1"/>
  <c r="H241" i="31"/>
  <c r="I241" i="31" s="1"/>
  <c r="J241" i="31" s="1"/>
  <c r="H238" i="31"/>
  <c r="I238" i="31" s="1"/>
  <c r="J238" i="31" s="1"/>
  <c r="N6" i="27"/>
  <c r="J80" i="38"/>
  <c r="J80" i="55"/>
  <c r="C26" i="27"/>
  <c r="E26" i="27" s="1"/>
  <c r="J80" i="50"/>
  <c r="J80" i="49"/>
  <c r="R17" i="28"/>
  <c r="N17" i="28"/>
  <c r="E29" i="27"/>
  <c r="Q17" i="28"/>
  <c r="O17" i="28"/>
  <c r="M7" i="28"/>
  <c r="G8" i="27" s="1"/>
  <c r="L17" i="28"/>
  <c r="J80" i="46"/>
  <c r="J80" i="45"/>
  <c r="J80" i="41"/>
  <c r="P16" i="1"/>
  <c r="J17" i="28"/>
  <c r="I11" i="28"/>
  <c r="J80" i="35"/>
  <c r="H10" i="29"/>
  <c r="H8" i="29"/>
  <c r="B15" i="28"/>
  <c r="C78" i="56"/>
  <c r="C79" i="40"/>
  <c r="B14" i="28"/>
  <c r="C77" i="53"/>
  <c r="C76" i="38"/>
  <c r="C76" i="41"/>
  <c r="C76" i="55"/>
  <c r="C75" i="38"/>
  <c r="C72" i="47"/>
  <c r="C71" i="43"/>
  <c r="C71" i="45"/>
  <c r="C71" i="55"/>
  <c r="B8" i="27"/>
  <c r="C70" i="49"/>
  <c r="C69" i="40"/>
  <c r="C69" i="56"/>
  <c r="C75" i="41"/>
  <c r="C78" i="40"/>
  <c r="C78" i="47"/>
  <c r="C79" i="41"/>
  <c r="B32" i="27"/>
  <c r="C77" i="55"/>
  <c r="C76" i="44"/>
  <c r="C76" i="49"/>
  <c r="C75" i="44"/>
  <c r="C73" i="38"/>
  <c r="C72" i="56"/>
  <c r="C71" i="46"/>
  <c r="C71" i="54"/>
  <c r="B25" i="27"/>
  <c r="C70" i="48"/>
  <c r="C88" i="48" s="1"/>
  <c r="C70" i="51"/>
  <c r="C69" i="38"/>
  <c r="C69" i="51"/>
  <c r="C12" i="1"/>
  <c r="C78" i="41"/>
  <c r="C8" i="1"/>
  <c r="C9" i="1" s="1"/>
  <c r="C78" i="49"/>
  <c r="C79" i="51"/>
  <c r="C75" i="45"/>
  <c r="C73" i="45"/>
  <c r="C71" i="42"/>
  <c r="C71" i="56"/>
  <c r="C70" i="44"/>
  <c r="C70" i="46"/>
  <c r="C69" i="46"/>
  <c r="C78" i="44"/>
  <c r="C78" i="51"/>
  <c r="C79" i="50"/>
  <c r="C77" i="38"/>
  <c r="C77" i="51"/>
  <c r="C76" i="43"/>
  <c r="C76" i="48"/>
  <c r="C94" i="48" s="1"/>
  <c r="B12" i="28"/>
  <c r="C75" i="47"/>
  <c r="C73" i="52"/>
  <c r="C71" i="35"/>
  <c r="C71" i="49"/>
  <c r="C70" i="45"/>
  <c r="C70" i="50"/>
  <c r="B6" i="28"/>
  <c r="C69" i="49"/>
  <c r="C78" i="45"/>
  <c r="C78" i="46"/>
  <c r="C69" i="50"/>
  <c r="B13" i="27"/>
  <c r="C75" i="49"/>
  <c r="C78" i="43"/>
  <c r="C78" i="53"/>
  <c r="C76" i="50"/>
  <c r="C76" i="51"/>
  <c r="B30" i="27"/>
  <c r="C75" i="51"/>
  <c r="C73" i="51"/>
  <c r="C71" i="38"/>
  <c r="C71" i="50"/>
  <c r="C70" i="35"/>
  <c r="C70" i="42"/>
  <c r="C70" i="53"/>
  <c r="C69" i="52"/>
  <c r="B33" i="27"/>
  <c r="C78" i="42"/>
  <c r="C78" i="55"/>
  <c r="C75" i="43"/>
  <c r="C75" i="50"/>
  <c r="C70" i="38"/>
  <c r="C70" i="54"/>
  <c r="C69" i="41"/>
  <c r="C69" i="48"/>
  <c r="C87" i="48" s="1"/>
  <c r="H205" i="31"/>
  <c r="I205" i="31" s="1"/>
  <c r="J205" i="31" s="1"/>
  <c r="H61" i="31"/>
  <c r="I61" i="31" s="1"/>
  <c r="J61" i="31" s="1"/>
  <c r="H146" i="31"/>
  <c r="I146" i="31" s="1"/>
  <c r="J146" i="31" s="1"/>
  <c r="H82" i="31"/>
  <c r="I82" i="31" s="1"/>
  <c r="J82" i="31" s="1"/>
  <c r="H221" i="31"/>
  <c r="I221" i="31" s="1"/>
  <c r="J221" i="31" s="1"/>
  <c r="H219" i="31"/>
  <c r="I219" i="31" s="1"/>
  <c r="J219" i="31" s="1"/>
  <c r="H209" i="31"/>
  <c r="I209" i="31" s="1"/>
  <c r="J209" i="31" s="1"/>
  <c r="H136" i="31"/>
  <c r="I136" i="31" s="1"/>
  <c r="J136" i="31" s="1"/>
  <c r="H185" i="31"/>
  <c r="I185" i="31" s="1"/>
  <c r="J185" i="31" s="1"/>
  <c r="H169" i="31"/>
  <c r="I169" i="31" s="1"/>
  <c r="J169" i="31" s="1"/>
  <c r="H121" i="31"/>
  <c r="I121" i="31" s="1"/>
  <c r="J121" i="31" s="1"/>
  <c r="H49" i="31"/>
  <c r="I49" i="31" s="1"/>
  <c r="J49" i="31" s="1"/>
  <c r="H17" i="31"/>
  <c r="I17" i="31" s="1"/>
  <c r="J17" i="31" s="1"/>
  <c r="H230" i="31"/>
  <c r="I230" i="31" s="1"/>
  <c r="J230" i="31" s="1"/>
  <c r="H141" i="31"/>
  <c r="I141" i="31" s="1"/>
  <c r="J141" i="31" s="1"/>
  <c r="H59" i="31"/>
  <c r="I59" i="31" s="1"/>
  <c r="J59" i="31" s="1"/>
  <c r="H53" i="31"/>
  <c r="I53" i="31" s="1"/>
  <c r="J53" i="31" s="1"/>
  <c r="H217" i="31"/>
  <c r="I217" i="31" s="1"/>
  <c r="J217" i="31" s="1"/>
  <c r="H187" i="31"/>
  <c r="I187" i="31" s="1"/>
  <c r="J187" i="31" s="1"/>
  <c r="H131" i="31"/>
  <c r="I131" i="31" s="1"/>
  <c r="J131" i="31" s="1"/>
  <c r="H144" i="31"/>
  <c r="I144" i="31" s="1"/>
  <c r="J144" i="31" s="1"/>
  <c r="H167" i="31"/>
  <c r="I167" i="31" s="1"/>
  <c r="J167" i="31" s="1"/>
  <c r="H196" i="31"/>
  <c r="I196" i="31" s="1"/>
  <c r="J196" i="31" s="1"/>
  <c r="H158" i="31"/>
  <c r="I158" i="31" s="1"/>
  <c r="J158" i="31" s="1"/>
  <c r="H98" i="31"/>
  <c r="I98" i="31" s="1"/>
  <c r="J98" i="31" s="1"/>
  <c r="H247" i="31"/>
  <c r="I247" i="31" s="1"/>
  <c r="J247" i="31" s="1"/>
  <c r="H81" i="31"/>
  <c r="I81" i="31" s="1"/>
  <c r="J81" i="31" s="1"/>
  <c r="H198" i="31"/>
  <c r="I198" i="31" s="1"/>
  <c r="J198" i="31" s="1"/>
  <c r="H197" i="31"/>
  <c r="I197" i="31" s="1"/>
  <c r="J197" i="31" s="1"/>
  <c r="H195" i="31"/>
  <c r="I195" i="31" s="1"/>
  <c r="J195" i="31" s="1"/>
  <c r="H143" i="31"/>
  <c r="I143" i="31" s="1"/>
  <c r="J143" i="31" s="1"/>
  <c r="H139" i="31"/>
  <c r="I139" i="31" s="1"/>
  <c r="J139" i="31" s="1"/>
  <c r="H58" i="31"/>
  <c r="I58" i="31" s="1"/>
  <c r="J58" i="31" s="1"/>
  <c r="H17" i="28"/>
  <c r="C25" i="27"/>
  <c r="G25" i="27" s="1"/>
  <c r="K22" i="1"/>
  <c r="C24" i="27"/>
  <c r="E24" i="27" s="1"/>
  <c r="E18" i="27"/>
  <c r="F17" i="28"/>
  <c r="C28" i="27"/>
  <c r="E28" i="27" s="1"/>
  <c r="C27" i="27"/>
  <c r="G27" i="27" s="1"/>
  <c r="P17" i="28"/>
  <c r="K17" i="28"/>
  <c r="I10" i="28"/>
  <c r="F11" i="27"/>
  <c r="D11" i="27"/>
  <c r="D18" i="27" s="1"/>
  <c r="D17" i="28"/>
  <c r="J18" i="27"/>
  <c r="D35" i="27"/>
  <c r="H14" i="29" s="1"/>
  <c r="C29" i="30"/>
  <c r="E29" i="30" s="1"/>
  <c r="H15" i="29"/>
  <c r="C14" i="29" s="1"/>
  <c r="B34" i="27"/>
  <c r="C79" i="45"/>
  <c r="C79" i="49"/>
  <c r="C77" i="49"/>
  <c r="C77" i="50"/>
  <c r="C77" i="56"/>
  <c r="C75" i="40"/>
  <c r="C75" i="56"/>
  <c r="C73" i="40"/>
  <c r="C73" i="50"/>
  <c r="C73" i="56"/>
  <c r="B10" i="27"/>
  <c r="C72" i="46"/>
  <c r="C72" i="45"/>
  <c r="C69" i="42"/>
  <c r="C72" i="42"/>
  <c r="C72" i="54"/>
  <c r="C79" i="42"/>
  <c r="C79" i="38"/>
  <c r="C79" i="52"/>
  <c r="B10" i="28"/>
  <c r="C73" i="35"/>
  <c r="C73" i="55"/>
  <c r="C72" i="38"/>
  <c r="C72" i="40"/>
  <c r="C72" i="51"/>
  <c r="C79" i="46"/>
  <c r="C79" i="53"/>
  <c r="B28" i="27"/>
  <c r="C73" i="49"/>
  <c r="C73" i="44"/>
  <c r="C72" i="44"/>
  <c r="C72" i="41"/>
  <c r="C72" i="52"/>
  <c r="C79" i="48"/>
  <c r="C97" i="48" s="1"/>
  <c r="C79" i="54"/>
  <c r="C79" i="55"/>
  <c r="C75" i="42"/>
  <c r="C75" i="35"/>
  <c r="C75" i="52"/>
  <c r="B11" i="27"/>
  <c r="C73" i="43"/>
  <c r="C72" i="49"/>
  <c r="C72" i="50"/>
  <c r="C72" i="53"/>
  <c r="C69" i="45"/>
  <c r="C69" i="53"/>
  <c r="B24" i="27"/>
  <c r="C78" i="35"/>
  <c r="C78" i="50"/>
  <c r="C79" i="35"/>
  <c r="C79" i="56"/>
  <c r="C77" i="41"/>
  <c r="C77" i="42"/>
  <c r="C77" i="48"/>
  <c r="C95" i="48" s="1"/>
  <c r="B31" i="27"/>
  <c r="C76" i="47"/>
  <c r="C76" i="45"/>
  <c r="C75" i="46"/>
  <c r="C75" i="53"/>
  <c r="C73" i="47"/>
  <c r="C73" i="46"/>
  <c r="C73" i="48"/>
  <c r="C91" i="48" s="1"/>
  <c r="B27" i="27"/>
  <c r="C72" i="35"/>
  <c r="C72" i="55"/>
  <c r="B26" i="27"/>
  <c r="C71" i="48"/>
  <c r="C89" i="48" s="1"/>
  <c r="C70" i="41"/>
  <c r="C70" i="56"/>
  <c r="B7" i="27"/>
  <c r="C69" i="43"/>
  <c r="C69" i="55"/>
  <c r="C78" i="38"/>
  <c r="C78" i="48"/>
  <c r="C96" i="48" s="1"/>
  <c r="C79" i="44"/>
  <c r="C77" i="45"/>
  <c r="C77" i="47"/>
  <c r="C75" i="48"/>
  <c r="C93" i="48" s="1"/>
  <c r="C75" i="54"/>
  <c r="C73" i="41"/>
  <c r="C73" i="42"/>
  <c r="B9" i="28"/>
  <c r="C72" i="43"/>
  <c r="C69" i="35"/>
  <c r="H95" i="31"/>
  <c r="I95" i="31" s="1"/>
  <c r="J95" i="31" s="1"/>
  <c r="H31" i="31"/>
  <c r="I31" i="31" s="1"/>
  <c r="J31" i="31" s="1"/>
  <c r="H148" i="31"/>
  <c r="I148" i="31" s="1"/>
  <c r="J148" i="31" s="1"/>
  <c r="H93" i="31"/>
  <c r="I93" i="31" s="1"/>
  <c r="J93" i="31" s="1"/>
  <c r="H125" i="31"/>
  <c r="I125" i="31" s="1"/>
  <c r="J125" i="31" s="1"/>
  <c r="H45" i="31"/>
  <c r="I45" i="31" s="1"/>
  <c r="J45" i="31" s="1"/>
  <c r="H208" i="31"/>
  <c r="I208" i="31" s="1"/>
  <c r="J208" i="31" s="1"/>
  <c r="H202" i="31"/>
  <c r="I202" i="31" s="1"/>
  <c r="J202" i="31" s="1"/>
  <c r="H16" i="31"/>
  <c r="I16" i="31" s="1"/>
  <c r="J16" i="31" s="1"/>
  <c r="H183" i="31"/>
  <c r="I183" i="31" s="1"/>
  <c r="J183" i="31" s="1"/>
  <c r="H153" i="31"/>
  <c r="I153" i="31" s="1"/>
  <c r="J153" i="31" s="1"/>
  <c r="H171" i="31"/>
  <c r="I171" i="31" s="1"/>
  <c r="J171" i="31" s="1"/>
  <c r="H111" i="31"/>
  <c r="I111" i="31" s="1"/>
  <c r="J111" i="31" s="1"/>
  <c r="H105" i="31"/>
  <c r="I105" i="31" s="1"/>
  <c r="J105" i="31" s="1"/>
  <c r="H33" i="31"/>
  <c r="I33" i="31" s="1"/>
  <c r="J33" i="31" s="1"/>
  <c r="H55" i="31"/>
  <c r="I55" i="31" s="1"/>
  <c r="J55" i="31" s="1"/>
  <c r="H232" i="31"/>
  <c r="I232" i="31" s="1"/>
  <c r="J232" i="31" s="1"/>
  <c r="H228" i="31"/>
  <c r="I228" i="31" s="1"/>
  <c r="J228" i="31" s="1"/>
  <c r="H220" i="31"/>
  <c r="I220" i="31" s="1"/>
  <c r="J220" i="31" s="1"/>
  <c r="H212" i="31"/>
  <c r="I212" i="31" s="1"/>
  <c r="J212" i="31" s="1"/>
  <c r="H201" i="31"/>
  <c r="I201" i="31" s="1"/>
  <c r="J201" i="31" s="1"/>
  <c r="H192" i="31"/>
  <c r="I192" i="31" s="1"/>
  <c r="J192" i="31" s="1"/>
  <c r="H73" i="31"/>
  <c r="I73" i="31" s="1"/>
  <c r="J73" i="31" s="1"/>
  <c r="H115" i="31"/>
  <c r="I115" i="31" s="1"/>
  <c r="J115" i="31" s="1"/>
  <c r="H29" i="31"/>
  <c r="I29" i="31" s="1"/>
  <c r="J29" i="31" s="1"/>
  <c r="H175" i="31"/>
  <c r="I175" i="31" s="1"/>
  <c r="J175" i="31" s="1"/>
  <c r="H137" i="31"/>
  <c r="I137" i="31" s="1"/>
  <c r="J137" i="31" s="1"/>
  <c r="G38" i="31"/>
  <c r="H38" i="31" s="1"/>
  <c r="H224" i="31"/>
  <c r="I224" i="31" s="1"/>
  <c r="J224" i="31" s="1"/>
  <c r="H226" i="31"/>
  <c r="I226" i="31" s="1"/>
  <c r="J226" i="31" s="1"/>
  <c r="H218" i="31"/>
  <c r="I218" i="31" s="1"/>
  <c r="J218" i="31" s="1"/>
  <c r="H210" i="31"/>
  <c r="I210" i="31" s="1"/>
  <c r="J210" i="31" s="1"/>
  <c r="H23" i="31"/>
  <c r="I23" i="31" s="1"/>
  <c r="J23" i="31" s="1"/>
  <c r="H112" i="31"/>
  <c r="I112" i="31" s="1"/>
  <c r="J112" i="31" s="1"/>
  <c r="G119" i="31"/>
  <c r="H119" i="31" s="1"/>
  <c r="I119" i="31" s="1"/>
  <c r="J119" i="31" s="1"/>
  <c r="H35" i="31"/>
  <c r="I35" i="31" s="1"/>
  <c r="J35" i="31" s="1"/>
  <c r="H97" i="31"/>
  <c r="I97" i="31" s="1"/>
  <c r="J97" i="31" s="1"/>
  <c r="H25" i="31"/>
  <c r="I25" i="31" s="1"/>
  <c r="J25" i="31" s="1"/>
  <c r="H48" i="31"/>
  <c r="I48" i="31" s="1"/>
  <c r="J48" i="31" s="1"/>
  <c r="H151" i="31"/>
  <c r="I151" i="31" s="1"/>
  <c r="J151" i="31" s="1"/>
  <c r="H132" i="31"/>
  <c r="I132" i="31" s="1"/>
  <c r="J132" i="31" s="1"/>
  <c r="H159" i="31"/>
  <c r="I159" i="31" s="1"/>
  <c r="J159" i="31" s="1"/>
  <c r="H85" i="31"/>
  <c r="I85" i="31" s="1"/>
  <c r="J85" i="31" s="1"/>
  <c r="H69" i="31"/>
  <c r="I69" i="31" s="1"/>
  <c r="J69" i="31" s="1"/>
  <c r="H216" i="31"/>
  <c r="I216" i="31" s="1"/>
  <c r="J216" i="31" s="1"/>
  <c r="H64" i="31"/>
  <c r="I64" i="31" s="1"/>
  <c r="J64" i="31" s="1"/>
  <c r="H170" i="31"/>
  <c r="I170" i="31" s="1"/>
  <c r="J170" i="31" s="1"/>
  <c r="L25" i="33"/>
  <c r="H57" i="31"/>
  <c r="I57" i="31" s="1"/>
  <c r="J57" i="31" s="1"/>
  <c r="H10" i="31"/>
  <c r="I10" i="31" s="1"/>
  <c r="J10" i="31" s="1"/>
  <c r="H34" i="31"/>
  <c r="I34" i="31" s="1"/>
  <c r="J34" i="31" s="1"/>
  <c r="H122" i="31"/>
  <c r="I122" i="31" s="1"/>
  <c r="J122" i="31" s="1"/>
  <c r="H92" i="31"/>
  <c r="I92" i="31" s="1"/>
  <c r="J92" i="31" s="1"/>
  <c r="G133" i="31"/>
  <c r="H133" i="31" s="1"/>
  <c r="I133" i="31" s="1"/>
  <c r="J133" i="31" s="1"/>
  <c r="G116" i="31"/>
  <c r="H116" i="31" s="1"/>
  <c r="G83" i="31"/>
  <c r="H83" i="31" s="1"/>
  <c r="G65" i="31"/>
  <c r="H65" i="31" s="1"/>
  <c r="G51" i="31"/>
  <c r="H51" i="31" s="1"/>
  <c r="G42" i="31"/>
  <c r="H42" i="31" s="1"/>
  <c r="I42" i="31" s="1"/>
  <c r="J42" i="31" s="1"/>
  <c r="G19" i="31"/>
  <c r="H19" i="31" s="1"/>
  <c r="I19" i="31" s="1"/>
  <c r="J19" i="31" s="1"/>
  <c r="G14" i="31"/>
  <c r="H14" i="31" s="1"/>
  <c r="I14" i="31" s="1"/>
  <c r="J14" i="31" s="1"/>
  <c r="G19" i="33"/>
  <c r="H75" i="31"/>
  <c r="I75" i="31" s="1"/>
  <c r="J75" i="31" s="1"/>
  <c r="H43" i="31"/>
  <c r="I43" i="31" s="1"/>
  <c r="J43" i="31" s="1"/>
  <c r="H123" i="31"/>
  <c r="I123" i="31" s="1"/>
  <c r="J123" i="31" s="1"/>
  <c r="H15" i="31"/>
  <c r="I15" i="31" s="1"/>
  <c r="J15" i="31" s="1"/>
  <c r="H107" i="31"/>
  <c r="I107" i="31" s="1"/>
  <c r="J107" i="31" s="1"/>
  <c r="H60" i="31"/>
  <c r="I60" i="31" s="1"/>
  <c r="J60" i="31" s="1"/>
  <c r="G25" i="33"/>
  <c r="H173" i="31"/>
  <c r="I173" i="31" s="1"/>
  <c r="J173" i="31" s="1"/>
  <c r="G12" i="33"/>
  <c r="L12" i="33"/>
  <c r="K22" i="33"/>
  <c r="G26" i="33"/>
  <c r="L26" i="33"/>
  <c r="K19" i="33"/>
  <c r="L10" i="33"/>
  <c r="K26" i="33"/>
  <c r="E27" i="58"/>
  <c r="L23" i="33"/>
  <c r="H190" i="31"/>
  <c r="I190" i="31" s="1"/>
  <c r="J190" i="31" s="1"/>
  <c r="G10" i="33"/>
  <c r="G186" i="31"/>
  <c r="H186" i="31" s="1"/>
  <c r="I186" i="31" s="1"/>
  <c r="J186" i="31" s="1"/>
  <c r="G152" i="31"/>
  <c r="H152" i="31" s="1"/>
  <c r="I152" i="31" s="1"/>
  <c r="J152" i="31" s="1"/>
  <c r="H172" i="31"/>
  <c r="I172" i="31" s="1"/>
  <c r="J172" i="31" s="1"/>
  <c r="D9" i="33"/>
  <c r="L15" i="33"/>
  <c r="L19" i="33"/>
  <c r="H189" i="31"/>
  <c r="I189" i="31" s="1"/>
  <c r="J189" i="31" s="1"/>
  <c r="G24" i="33"/>
  <c r="J106" i="31"/>
  <c r="L14" i="33"/>
  <c r="K24" i="33"/>
  <c r="D24" i="33"/>
  <c r="K25" i="33"/>
  <c r="E21" i="58"/>
  <c r="D21" i="33"/>
  <c r="E24" i="58"/>
  <c r="G23" i="33"/>
  <c r="E18" i="58"/>
  <c r="D23" i="33"/>
  <c r="D25" i="33"/>
  <c r="D18" i="33"/>
  <c r="D14" i="33"/>
  <c r="G18" i="33"/>
  <c r="E11" i="58"/>
  <c r="E16" i="58"/>
  <c r="E15" i="58"/>
  <c r="K16" i="33"/>
  <c r="K11" i="33"/>
  <c r="L24" i="33"/>
  <c r="L27" i="33"/>
  <c r="L11" i="33"/>
  <c r="K15" i="33"/>
  <c r="K27" i="33"/>
  <c r="L9" i="33"/>
  <c r="L21" i="33"/>
  <c r="G22" i="33"/>
  <c r="G11" i="33"/>
  <c r="D19" i="33"/>
  <c r="D17" i="33"/>
  <c r="G20" i="33"/>
  <c r="E26" i="58"/>
  <c r="E17" i="58"/>
  <c r="E28" i="58"/>
  <c r="K10" i="33"/>
  <c r="K9" i="33"/>
  <c r="L16" i="33"/>
  <c r="E10" i="58"/>
  <c r="D20" i="33"/>
  <c r="D15" i="33"/>
  <c r="G14" i="33"/>
  <c r="D10" i="33"/>
  <c r="E25" i="58"/>
  <c r="E22" i="58"/>
  <c r="K23" i="33"/>
  <c r="K20" i="33"/>
  <c r="G9" i="31"/>
  <c r="H9" i="31" s="1"/>
  <c r="I9" i="31" s="1"/>
  <c r="J9" i="31" s="1"/>
  <c r="L20" i="33"/>
  <c r="G21" i="33"/>
  <c r="G17" i="33"/>
  <c r="G13" i="33"/>
  <c r="G27" i="33"/>
  <c r="E12" i="58"/>
  <c r="E20" i="58"/>
  <c r="K14" i="33"/>
  <c r="K13" i="33"/>
  <c r="G15" i="33"/>
  <c r="D16" i="33"/>
  <c r="G9" i="33"/>
  <c r="D26" i="33"/>
  <c r="D12" i="33"/>
  <c r="D22" i="33"/>
  <c r="E13" i="58"/>
  <c r="E23" i="58"/>
  <c r="K18" i="33"/>
  <c r="K21" i="33"/>
  <c r="L13" i="33"/>
  <c r="G16" i="33"/>
  <c r="D11" i="33"/>
  <c r="D13" i="33"/>
  <c r="D27" i="33"/>
  <c r="E19" i="58"/>
  <c r="E14" i="58"/>
  <c r="K17" i="33"/>
  <c r="K12" i="33"/>
  <c r="L22" i="33"/>
  <c r="L17" i="33"/>
  <c r="L18" i="33"/>
  <c r="H11" i="31"/>
  <c r="I11" i="31" s="1"/>
  <c r="J11" i="31" s="1"/>
  <c r="G147" i="31"/>
  <c r="H147" i="31" s="1"/>
  <c r="G134" i="31"/>
  <c r="H134" i="31" s="1"/>
  <c r="G130" i="31"/>
  <c r="H130" i="31" s="1"/>
  <c r="I130" i="31" s="1"/>
  <c r="J130" i="31" s="1"/>
  <c r="G117" i="31"/>
  <c r="H117" i="31" s="1"/>
  <c r="G113" i="31"/>
  <c r="H113" i="31" s="1"/>
  <c r="H135" i="31"/>
  <c r="I135" i="31" s="1"/>
  <c r="J135" i="31" s="1"/>
  <c r="H12" i="31"/>
  <c r="I12" i="31" s="1"/>
  <c r="J12" i="31" s="1"/>
  <c r="H114" i="31"/>
  <c r="I114" i="31" s="1"/>
  <c r="J114" i="31" s="1"/>
  <c r="H118" i="31"/>
  <c r="I118" i="31" s="1"/>
  <c r="J118" i="31" s="1"/>
  <c r="H13" i="31"/>
  <c r="I13" i="31" s="1"/>
  <c r="J13" i="31" s="1"/>
  <c r="J11" i="57"/>
  <c r="F17" i="57"/>
  <c r="F24" i="57"/>
  <c r="F13" i="57"/>
  <c r="F21" i="57"/>
  <c r="F12" i="57"/>
  <c r="F10" i="57"/>
  <c r="J16" i="57"/>
  <c r="J24" i="57"/>
  <c r="F11" i="57"/>
  <c r="F23" i="57"/>
  <c r="F14" i="57"/>
  <c r="J14" i="57"/>
  <c r="J27" i="57"/>
  <c r="J22" i="57"/>
  <c r="F15" i="57"/>
  <c r="F20" i="57"/>
  <c r="J19" i="57"/>
  <c r="F16" i="57"/>
  <c r="J20" i="57"/>
  <c r="J13" i="57"/>
  <c r="J15" i="57"/>
  <c r="F25" i="57"/>
  <c r="F22" i="57"/>
  <c r="F18" i="57"/>
  <c r="J23" i="57"/>
  <c r="J18" i="57"/>
  <c r="J25" i="57"/>
  <c r="J21" i="57"/>
  <c r="J17" i="57"/>
  <c r="J12" i="57"/>
  <c r="J10" i="57"/>
  <c r="F19" i="57"/>
  <c r="J26" i="57"/>
  <c r="F26" i="57"/>
  <c r="F27" i="57"/>
  <c r="H12" i="33" l="1"/>
  <c r="E24" i="30"/>
  <c r="E34" i="27"/>
  <c r="E33" i="27"/>
  <c r="E32" i="27"/>
  <c r="F17" i="33"/>
  <c r="F21" i="33"/>
  <c r="F12" i="33"/>
  <c r="F25" i="33"/>
  <c r="H16" i="29"/>
  <c r="D15" i="29" s="1"/>
  <c r="N13" i="57"/>
  <c r="D26" i="30"/>
  <c r="E26" i="30" s="1"/>
  <c r="D38" i="30"/>
  <c r="F13" i="58"/>
  <c r="E12" i="33"/>
  <c r="C38" i="30"/>
  <c r="C30" i="30"/>
  <c r="G33" i="27"/>
  <c r="E23" i="27"/>
  <c r="F24" i="33"/>
  <c r="G32" i="27"/>
  <c r="H6" i="29"/>
  <c r="C6" i="29" s="1"/>
  <c r="I22" i="1"/>
  <c r="M22" i="1"/>
  <c r="P14" i="1"/>
  <c r="E31" i="27"/>
  <c r="E30" i="27"/>
  <c r="P11" i="1"/>
  <c r="P13" i="1"/>
  <c r="N18" i="27"/>
  <c r="H18" i="33"/>
  <c r="F10" i="33"/>
  <c r="E18" i="33"/>
  <c r="H21" i="33"/>
  <c r="F19" i="58"/>
  <c r="M17" i="28"/>
  <c r="G18" i="27"/>
  <c r="G26" i="27"/>
  <c r="G24" i="27"/>
  <c r="F18" i="27"/>
  <c r="E5" i="1"/>
  <c r="I265" i="31"/>
  <c r="F26" i="58"/>
  <c r="E25" i="33"/>
  <c r="H25" i="33"/>
  <c r="J273" i="31"/>
  <c r="I26" i="33"/>
  <c r="B21" i="56" s="1"/>
  <c r="F21" i="58"/>
  <c r="F16" i="58"/>
  <c r="H16" i="33"/>
  <c r="F15" i="33"/>
  <c r="H20" i="33"/>
  <c r="E15" i="33"/>
  <c r="H15" i="33"/>
  <c r="G29" i="27"/>
  <c r="I17" i="28"/>
  <c r="E6" i="1"/>
  <c r="C13" i="1"/>
  <c r="E16" i="1" s="1"/>
  <c r="P9" i="30"/>
  <c r="E10" i="1"/>
  <c r="E20" i="33"/>
  <c r="F17" i="58"/>
  <c r="E16" i="33"/>
  <c r="F18" i="58"/>
  <c r="E25" i="27"/>
  <c r="G28" i="27"/>
  <c r="E27" i="27"/>
  <c r="C35" i="27"/>
  <c r="L98" i="48"/>
  <c r="S17" i="28"/>
  <c r="I65" i="31"/>
  <c r="F14" i="58"/>
  <c r="H13" i="33"/>
  <c r="E13" i="33"/>
  <c r="I51" i="31"/>
  <c r="E11" i="33"/>
  <c r="F12" i="58"/>
  <c r="H11" i="33"/>
  <c r="I38" i="31"/>
  <c r="I23" i="33" s="1"/>
  <c r="E10" i="33"/>
  <c r="F11" i="58"/>
  <c r="H10" i="33"/>
  <c r="I83" i="31"/>
  <c r="E14" i="33"/>
  <c r="H14" i="33"/>
  <c r="F15" i="58"/>
  <c r="I116" i="31"/>
  <c r="J116" i="31" s="1"/>
  <c r="E17" i="33"/>
  <c r="H19" i="33"/>
  <c r="E26" i="33"/>
  <c r="F22" i="58"/>
  <c r="F27" i="58"/>
  <c r="H17" i="33"/>
  <c r="F20" i="58"/>
  <c r="E21" i="33"/>
  <c r="E19" i="33"/>
  <c r="H26" i="33"/>
  <c r="F16" i="33"/>
  <c r="F19" i="33"/>
  <c r="F14" i="33"/>
  <c r="F26" i="33"/>
  <c r="I113" i="31"/>
  <c r="H22" i="33"/>
  <c r="F23" i="58"/>
  <c r="E22" i="33"/>
  <c r="I134" i="31"/>
  <c r="H24" i="33"/>
  <c r="E24" i="33"/>
  <c r="F25" i="58"/>
  <c r="H23" i="33"/>
  <c r="I117" i="31"/>
  <c r="E23" i="33"/>
  <c r="F24" i="58"/>
  <c r="I147" i="31"/>
  <c r="F28" i="58"/>
  <c r="H27" i="33"/>
  <c r="E27" i="33"/>
  <c r="F27" i="33"/>
  <c r="H9" i="33"/>
  <c r="E9" i="33"/>
  <c r="J28" i="57"/>
  <c r="G28" i="33"/>
  <c r="F9" i="33"/>
  <c r="F13" i="33"/>
  <c r="E29" i="58"/>
  <c r="K28" i="33"/>
  <c r="F11" i="33"/>
  <c r="F18" i="33"/>
  <c r="D28" i="33"/>
  <c r="L35" i="30" s="1"/>
  <c r="F35" i="30" s="1"/>
  <c r="F22" i="33"/>
  <c r="F23" i="33"/>
  <c r="F10" i="58"/>
  <c r="F20" i="33"/>
  <c r="L28" i="33"/>
  <c r="R23" i="57"/>
  <c r="N23" i="57"/>
  <c r="R21" i="57"/>
  <c r="N21" i="57"/>
  <c r="R13" i="57"/>
  <c r="R24" i="57"/>
  <c r="N24" i="57"/>
  <c r="N18" i="57"/>
  <c r="R18" i="57"/>
  <c r="N10" i="57"/>
  <c r="R10" i="57"/>
  <c r="N17" i="57"/>
  <c r="R17" i="57"/>
  <c r="R22" i="57"/>
  <c r="N22" i="57"/>
  <c r="R16" i="57"/>
  <c r="N16" i="57"/>
  <c r="F28" i="57"/>
  <c r="N12" i="57"/>
  <c r="R12" i="57"/>
  <c r="N26" i="57"/>
  <c r="R26" i="57"/>
  <c r="N25" i="57"/>
  <c r="R25" i="57"/>
  <c r="N27" i="57"/>
  <c r="R27" i="57"/>
  <c r="N20" i="57"/>
  <c r="R20" i="57"/>
  <c r="R15" i="57"/>
  <c r="N15" i="57"/>
  <c r="R11" i="57"/>
  <c r="N11" i="57"/>
  <c r="R19" i="57"/>
  <c r="N19" i="57"/>
  <c r="R14" i="57"/>
  <c r="N14" i="57"/>
  <c r="C85" i="46" l="1"/>
  <c r="C85" i="50"/>
  <c r="C85" i="47"/>
  <c r="C91" i="47"/>
  <c r="C91" i="50"/>
  <c r="B234" i="63"/>
  <c r="B218" i="63"/>
  <c r="B210" i="63"/>
  <c r="B194" i="63"/>
  <c r="B186" i="63"/>
  <c r="B170" i="63"/>
  <c r="B162" i="63"/>
  <c r="B146" i="63"/>
  <c r="B138" i="63"/>
  <c r="B122" i="63"/>
  <c r="B114" i="63"/>
  <c r="B98" i="63"/>
  <c r="B90" i="63"/>
  <c r="B74" i="63"/>
  <c r="B66" i="63"/>
  <c r="B50" i="63"/>
  <c r="B42" i="63"/>
  <c r="B26" i="63"/>
  <c r="B18" i="63"/>
  <c r="B2" i="63"/>
  <c r="B221" i="63"/>
  <c r="B101" i="63"/>
  <c r="B5" i="63"/>
  <c r="B196" i="63"/>
  <c r="B100" i="63"/>
  <c r="B4" i="63"/>
  <c r="B195" i="63"/>
  <c r="B147" i="63"/>
  <c r="B115" i="63"/>
  <c r="B43" i="63"/>
  <c r="B233" i="63"/>
  <c r="B209" i="63"/>
  <c r="B185" i="63"/>
  <c r="B161" i="63"/>
  <c r="B137" i="63"/>
  <c r="B113" i="63"/>
  <c r="B89" i="63"/>
  <c r="B65" i="63"/>
  <c r="B41" i="63"/>
  <c r="B17" i="63"/>
  <c r="B16" i="63"/>
  <c r="B149" i="63"/>
  <c r="B211" i="63"/>
  <c r="B139" i="63"/>
  <c r="B91" i="63"/>
  <c r="B51" i="63"/>
  <c r="B3" i="63"/>
  <c r="B232" i="63"/>
  <c r="B208" i="63"/>
  <c r="B184" i="63"/>
  <c r="B160" i="63"/>
  <c r="B136" i="63"/>
  <c r="B112" i="63"/>
  <c r="B88" i="63"/>
  <c r="B64" i="63"/>
  <c r="B40" i="63"/>
  <c r="B197" i="63"/>
  <c r="B173" i="63"/>
  <c r="B77" i="63"/>
  <c r="B29" i="63"/>
  <c r="B148" i="63"/>
  <c r="B28" i="63"/>
  <c r="B171" i="63"/>
  <c r="B123" i="63"/>
  <c r="B75" i="63"/>
  <c r="B27" i="63"/>
  <c r="B231" i="63"/>
  <c r="B223" i="63"/>
  <c r="B207" i="63"/>
  <c r="B199" i="63"/>
  <c r="B183" i="63"/>
  <c r="B175" i="63"/>
  <c r="B159" i="63"/>
  <c r="B151" i="63"/>
  <c r="B135" i="63"/>
  <c r="B127" i="63"/>
  <c r="B111" i="63"/>
  <c r="B103" i="63"/>
  <c r="B87" i="63"/>
  <c r="B79" i="63"/>
  <c r="B63" i="63"/>
  <c r="B55" i="63"/>
  <c r="B39" i="63"/>
  <c r="B31" i="63"/>
  <c r="B15" i="63"/>
  <c r="B7" i="63"/>
  <c r="B125" i="63"/>
  <c r="B53" i="63"/>
  <c r="B52" i="63"/>
  <c r="B235" i="63"/>
  <c r="B187" i="63"/>
  <c r="B163" i="63"/>
  <c r="B99" i="63"/>
  <c r="B67" i="63"/>
  <c r="B230" i="63"/>
  <c r="B222" i="63"/>
  <c r="B206" i="63"/>
  <c r="B198" i="63"/>
  <c r="B182" i="63"/>
  <c r="B174" i="63"/>
  <c r="B158" i="63"/>
  <c r="B150" i="63"/>
  <c r="B134" i="63"/>
  <c r="B126" i="63"/>
  <c r="B110" i="63"/>
  <c r="B102" i="63"/>
  <c r="B86" i="63"/>
  <c r="B78" i="63"/>
  <c r="B62" i="63"/>
  <c r="B54" i="63"/>
  <c r="B38" i="63"/>
  <c r="B30" i="63"/>
  <c r="B14" i="63"/>
  <c r="B6" i="63"/>
  <c r="B220" i="63"/>
  <c r="B172" i="63"/>
  <c r="B124" i="63"/>
  <c r="B76" i="63"/>
  <c r="B219" i="63"/>
  <c r="B19" i="63"/>
  <c r="N18" i="30"/>
  <c r="N19" i="30" s="1"/>
  <c r="I12" i="33"/>
  <c r="B21" i="42" s="1"/>
  <c r="I19" i="33"/>
  <c r="B21" i="49" s="1"/>
  <c r="C91" i="51"/>
  <c r="C91" i="46"/>
  <c r="I18" i="33"/>
  <c r="B21" i="48" s="1"/>
  <c r="C68" i="41"/>
  <c r="C85" i="51"/>
  <c r="P22" i="1"/>
  <c r="H18" i="29" s="1"/>
  <c r="D17" i="29" s="1"/>
  <c r="C5" i="59"/>
  <c r="B6" i="61"/>
  <c r="D27" i="30"/>
  <c r="I21" i="33"/>
  <c r="B21" i="50" s="1"/>
  <c r="D30" i="30"/>
  <c r="I20" i="33"/>
  <c r="B21" i="51" s="1"/>
  <c r="P7" i="30"/>
  <c r="C5" i="30"/>
  <c r="G35" i="30"/>
  <c r="H35" i="30" s="1"/>
  <c r="B5" i="28"/>
  <c r="C27" i="30"/>
  <c r="B6" i="27"/>
  <c r="C68" i="51"/>
  <c r="C68" i="53"/>
  <c r="C68" i="54"/>
  <c r="B23" i="27"/>
  <c r="C68" i="48"/>
  <c r="C86" i="48" s="1"/>
  <c r="C68" i="56"/>
  <c r="I15" i="33"/>
  <c r="B21" i="45" s="1"/>
  <c r="L20" i="30"/>
  <c r="F20" i="30" s="1"/>
  <c r="C68" i="55"/>
  <c r="C68" i="40"/>
  <c r="I16" i="33"/>
  <c r="B21" i="46" s="1"/>
  <c r="H28" i="33"/>
  <c r="C68" i="42"/>
  <c r="C68" i="43"/>
  <c r="C68" i="45"/>
  <c r="C68" i="38"/>
  <c r="C68" i="46"/>
  <c r="C68" i="52"/>
  <c r="C68" i="50"/>
  <c r="C68" i="49"/>
  <c r="C68" i="44"/>
  <c r="J265" i="31"/>
  <c r="I25" i="33"/>
  <c r="B21" i="55" s="1"/>
  <c r="C68" i="35"/>
  <c r="C68" i="47"/>
  <c r="L14" i="30"/>
  <c r="K14" i="30" s="1"/>
  <c r="J14" i="30" s="1"/>
  <c r="D5" i="30"/>
  <c r="L27" i="30"/>
  <c r="K27" i="30" s="1"/>
  <c r="J27" i="30" s="1"/>
  <c r="C32" i="30"/>
  <c r="D32" i="30"/>
  <c r="L19" i="30"/>
  <c r="K19" i="30" s="1"/>
  <c r="J19" i="30" s="1"/>
  <c r="F5" i="30"/>
  <c r="P11" i="30"/>
  <c r="L34" i="30"/>
  <c r="K34" i="30" s="1"/>
  <c r="J34" i="30" s="1"/>
  <c r="F32" i="30"/>
  <c r="C74" i="51"/>
  <c r="C74" i="52"/>
  <c r="C74" i="50"/>
  <c r="C74" i="42"/>
  <c r="C74" i="43"/>
  <c r="C74" i="35"/>
  <c r="C74" i="38"/>
  <c r="B29" i="27"/>
  <c r="C74" i="55"/>
  <c r="C74" i="45"/>
  <c r="C74" i="56"/>
  <c r="C74" i="44"/>
  <c r="C74" i="46"/>
  <c r="C74" i="54"/>
  <c r="C74" i="53"/>
  <c r="C74" i="47"/>
  <c r="C74" i="41"/>
  <c r="C74" i="49"/>
  <c r="C74" i="48"/>
  <c r="C92" i="48" s="1"/>
  <c r="C74" i="40"/>
  <c r="B11" i="28"/>
  <c r="B12" i="27"/>
  <c r="C5" i="54"/>
  <c r="C5" i="44"/>
  <c r="C5" i="55"/>
  <c r="C5" i="50"/>
  <c r="C5" i="38"/>
  <c r="C5" i="46"/>
  <c r="C5" i="48"/>
  <c r="C5" i="57"/>
  <c r="C5" i="49"/>
  <c r="C5" i="45"/>
  <c r="C5" i="35"/>
  <c r="C6" i="58"/>
  <c r="C5" i="41"/>
  <c r="C5" i="43"/>
  <c r="B6" i="33"/>
  <c r="C5" i="40"/>
  <c r="C5" i="56"/>
  <c r="C5" i="51"/>
  <c r="C5" i="53"/>
  <c r="C5" i="52"/>
  <c r="C5" i="47"/>
  <c r="B6" i="31"/>
  <c r="C5" i="39"/>
  <c r="C5" i="42"/>
  <c r="E35" i="27"/>
  <c r="J83" i="31"/>
  <c r="I14" i="33"/>
  <c r="B21" i="44" s="1"/>
  <c r="J51" i="31"/>
  <c r="I11" i="33"/>
  <c r="B21" i="41" s="1"/>
  <c r="I17" i="33"/>
  <c r="B21" i="47" s="1"/>
  <c r="J38" i="31"/>
  <c r="I10" i="33"/>
  <c r="B21" i="40" s="1"/>
  <c r="J65" i="31"/>
  <c r="I13" i="33"/>
  <c r="B21" i="43" s="1"/>
  <c r="F28" i="33"/>
  <c r="L37" i="30"/>
  <c r="F37" i="30" s="1"/>
  <c r="G37" i="30" s="1"/>
  <c r="E28" i="33"/>
  <c r="J147" i="31"/>
  <c r="I27" i="33"/>
  <c r="B21" i="38" s="1"/>
  <c r="J134" i="31"/>
  <c r="I24" i="33"/>
  <c r="B21" i="54" s="1"/>
  <c r="F29" i="58"/>
  <c r="J117" i="31"/>
  <c r="B21" i="53"/>
  <c r="I9" i="33"/>
  <c r="B21" i="35" s="1"/>
  <c r="J113" i="31"/>
  <c r="I22" i="33"/>
  <c r="B21" i="52" s="1"/>
  <c r="R28" i="57"/>
  <c r="N28" i="57"/>
  <c r="B226" i="63" l="1"/>
  <c r="B202" i="63"/>
  <c r="B178" i="63"/>
  <c r="B154" i="63"/>
  <c r="B130" i="63"/>
  <c r="B106" i="63"/>
  <c r="B82" i="63"/>
  <c r="B58" i="63"/>
  <c r="B34" i="63"/>
  <c r="B10" i="63"/>
  <c r="B8" i="63"/>
  <c r="B181" i="63"/>
  <c r="B133" i="63"/>
  <c r="B69" i="63"/>
  <c r="B37" i="63"/>
  <c r="B228" i="63"/>
  <c r="B164" i="63"/>
  <c r="B116" i="63"/>
  <c r="B60" i="63"/>
  <c r="B36" i="63"/>
  <c r="B227" i="63"/>
  <c r="B83" i="63"/>
  <c r="B11" i="63"/>
  <c r="B241" i="63"/>
  <c r="B225" i="63"/>
  <c r="B217" i="63"/>
  <c r="B201" i="63"/>
  <c r="B193" i="63"/>
  <c r="B177" i="63"/>
  <c r="B169" i="63"/>
  <c r="B153" i="63"/>
  <c r="B145" i="63"/>
  <c r="B129" i="63"/>
  <c r="B121" i="63"/>
  <c r="B105" i="63"/>
  <c r="B97" i="63"/>
  <c r="B81" i="63"/>
  <c r="B73" i="63"/>
  <c r="B57" i="63"/>
  <c r="B49" i="63"/>
  <c r="B33" i="63"/>
  <c r="B25" i="63"/>
  <c r="B9" i="63"/>
  <c r="B213" i="63"/>
  <c r="B189" i="63"/>
  <c r="B109" i="63"/>
  <c r="B61" i="63"/>
  <c r="B13" i="63"/>
  <c r="B204" i="63"/>
  <c r="B180" i="63"/>
  <c r="B140" i="63"/>
  <c r="B92" i="63"/>
  <c r="B44" i="63"/>
  <c r="B179" i="63"/>
  <c r="B240" i="63"/>
  <c r="B224" i="63"/>
  <c r="B216" i="63"/>
  <c r="B200" i="63"/>
  <c r="B192" i="63"/>
  <c r="B176" i="63"/>
  <c r="B168" i="63"/>
  <c r="B152" i="63"/>
  <c r="B144" i="63"/>
  <c r="B128" i="63"/>
  <c r="B120" i="63"/>
  <c r="B104" i="63"/>
  <c r="B96" i="63"/>
  <c r="B80" i="63"/>
  <c r="B72" i="63"/>
  <c r="B56" i="63"/>
  <c r="B48" i="63"/>
  <c r="B32" i="63"/>
  <c r="B24" i="63"/>
  <c r="B205" i="63"/>
  <c r="B141" i="63"/>
  <c r="B117" i="63"/>
  <c r="B212" i="63"/>
  <c r="B84" i="63"/>
  <c r="B203" i="63"/>
  <c r="B239" i="63"/>
  <c r="B215" i="63"/>
  <c r="B191" i="63"/>
  <c r="B167" i="63"/>
  <c r="B143" i="63"/>
  <c r="B119" i="63"/>
  <c r="B95" i="63"/>
  <c r="B71" i="63"/>
  <c r="B47" i="63"/>
  <c r="B23" i="63"/>
  <c r="B229" i="63"/>
  <c r="B165" i="63"/>
  <c r="B85" i="63"/>
  <c r="B21" i="63"/>
  <c r="B236" i="63"/>
  <c r="B188" i="63"/>
  <c r="B156" i="63"/>
  <c r="B132" i="63"/>
  <c r="B108" i="63"/>
  <c r="B68" i="63"/>
  <c r="B12" i="63"/>
  <c r="B131" i="63"/>
  <c r="B35" i="63"/>
  <c r="B238" i="63"/>
  <c r="B214" i="63"/>
  <c r="B190" i="63"/>
  <c r="B166" i="63"/>
  <c r="B142" i="63"/>
  <c r="B118" i="63"/>
  <c r="B94" i="63"/>
  <c r="B70" i="63"/>
  <c r="B46" i="63"/>
  <c r="B22" i="63"/>
  <c r="B237" i="63"/>
  <c r="B157" i="63"/>
  <c r="B93" i="63"/>
  <c r="B45" i="63"/>
  <c r="B20" i="63"/>
  <c r="B155" i="63"/>
  <c r="B107" i="63"/>
  <c r="B59" i="63"/>
  <c r="J18" i="33"/>
  <c r="L19" i="58"/>
  <c r="E27" i="30"/>
  <c r="L27" i="58"/>
  <c r="J26" i="33"/>
  <c r="G20" i="30"/>
  <c r="H20" i="30" s="1"/>
  <c r="L21" i="58"/>
  <c r="J20" i="33"/>
  <c r="H19" i="29"/>
  <c r="C20" i="29" s="1"/>
  <c r="L16" i="58"/>
  <c r="J15" i="33"/>
  <c r="J25" i="33"/>
  <c r="L26" i="58"/>
  <c r="O18" i="30"/>
  <c r="AA18" i="30" s="1"/>
  <c r="L17" i="58"/>
  <c r="J16" i="33"/>
  <c r="L13" i="58"/>
  <c r="J12" i="33"/>
  <c r="L22" i="58"/>
  <c r="J21" i="33"/>
  <c r="J13" i="33"/>
  <c r="L14" i="58"/>
  <c r="L11" i="58"/>
  <c r="J10" i="33"/>
  <c r="J19" i="33"/>
  <c r="L20" i="58"/>
  <c r="L12" i="58"/>
  <c r="J11" i="33"/>
  <c r="L18" i="58"/>
  <c r="J17" i="33"/>
  <c r="J14" i="33"/>
  <c r="L15" i="58"/>
  <c r="L24" i="58"/>
  <c r="J23" i="33"/>
  <c r="L28" i="58"/>
  <c r="J27" i="33"/>
  <c r="L23" i="58"/>
  <c r="J22" i="33"/>
  <c r="L25" i="58"/>
  <c r="J24" i="33"/>
  <c r="I28" i="33"/>
  <c r="J9" i="33"/>
  <c r="L10" i="58"/>
  <c r="F36" i="30"/>
  <c r="D18" i="29" l="1"/>
  <c r="O19" i="30"/>
  <c r="AA19" i="30" s="1"/>
  <c r="N20" i="30"/>
  <c r="J28" i="33"/>
  <c r="L29" i="58"/>
  <c r="G36" i="30"/>
  <c r="H36" i="30" s="1"/>
  <c r="H37" i="30"/>
  <c r="N21" i="30" l="1"/>
  <c r="O20" i="30"/>
  <c r="AA20" i="30" s="1"/>
  <c r="O21" i="30" l="1"/>
  <c r="AA21" i="30" s="1"/>
  <c r="N22" i="30"/>
  <c r="O22" i="30" l="1"/>
  <c r="AA22" i="30" s="1"/>
  <c r="N23" i="30"/>
  <c r="O23" i="30" l="1"/>
  <c r="AA23" i="30" s="1"/>
  <c r="N24" i="30"/>
  <c r="O24" i="30" l="1"/>
  <c r="AA24" i="30" s="1"/>
  <c r="N25" i="30"/>
  <c r="N26" i="30" l="1"/>
  <c r="O25" i="30"/>
  <c r="AA25" i="30" s="1"/>
  <c r="O26" i="30" l="1"/>
  <c r="AA26" i="30" s="1"/>
  <c r="N27" i="30"/>
  <c r="O27" i="30" l="1"/>
  <c r="AA27" i="30" s="1"/>
  <c r="N28" i="30"/>
  <c r="O28" i="30" l="1"/>
  <c r="AA28" i="30" s="1"/>
  <c r="N29" i="30"/>
  <c r="N30" i="30" l="1"/>
  <c r="O29" i="30"/>
  <c r="AA29" i="30" l="1"/>
  <c r="AB18" i="30"/>
  <c r="N31" i="30"/>
  <c r="O30" i="30"/>
  <c r="AA30" i="30" s="1"/>
  <c r="N32" i="30" l="1"/>
  <c r="O31" i="30"/>
  <c r="AA31" i="30" s="1"/>
  <c r="AB29" i="30"/>
  <c r="AB22" i="30"/>
  <c r="AB25" i="30"/>
  <c r="AB21" i="30"/>
  <c r="AB28" i="30"/>
  <c r="AB24" i="30"/>
  <c r="AB20" i="30"/>
  <c r="AB23" i="30"/>
  <c r="AB26" i="30"/>
  <c r="AB27" i="30"/>
  <c r="AB19" i="30"/>
  <c r="N33" i="30" l="1"/>
  <c r="O32" i="30"/>
  <c r="AA32" i="30" s="1"/>
  <c r="N34" i="30" l="1"/>
  <c r="O33" i="30"/>
  <c r="AA33" i="30" s="1"/>
  <c r="N35" i="30" l="1"/>
  <c r="O34" i="30"/>
  <c r="AA34" i="30" s="1"/>
  <c r="N36" i="30" l="1"/>
  <c r="O35" i="30"/>
  <c r="AA35" i="30" s="1"/>
  <c r="N37" i="30" l="1"/>
  <c r="O36" i="30"/>
  <c r="AA36" i="30" s="1"/>
  <c r="O37" i="30" l="1"/>
  <c r="AA37" i="30" s="1"/>
  <c r="N38" i="30"/>
  <c r="O38" i="30" l="1"/>
  <c r="AA38" i="30" s="1"/>
  <c r="N39" i="30"/>
  <c r="O39" i="30" l="1"/>
  <c r="AA39" i="30" s="1"/>
  <c r="N40" i="30"/>
  <c r="O40" i="30" l="1"/>
  <c r="AA40" i="30" s="1"/>
  <c r="N41" i="30"/>
  <c r="N42" i="30" l="1"/>
  <c r="O41" i="30"/>
  <c r="AA41" i="30" l="1"/>
  <c r="AB30" i="30"/>
  <c r="N43" i="30"/>
  <c r="O42" i="30"/>
  <c r="D55" i="49" l="1"/>
  <c r="D7" i="41"/>
  <c r="D7" i="48"/>
  <c r="D7" i="55"/>
  <c r="D55" i="41"/>
  <c r="D55" i="42"/>
  <c r="D7" i="45"/>
  <c r="D7" i="39"/>
  <c r="D55" i="46"/>
  <c r="D55" i="45"/>
  <c r="AA42" i="30"/>
  <c r="D55" i="40"/>
  <c r="D55" i="56"/>
  <c r="D55" i="38"/>
  <c r="D7" i="51"/>
  <c r="D55" i="55"/>
  <c r="D55" i="43"/>
  <c r="D7" i="52"/>
  <c r="D7" i="44"/>
  <c r="D7" i="35"/>
  <c r="D7" i="43"/>
  <c r="D55" i="51"/>
  <c r="D7" i="49"/>
  <c r="D55" i="35"/>
  <c r="D55" i="50"/>
  <c r="D55" i="48"/>
  <c r="D55" i="44"/>
  <c r="D7" i="53"/>
  <c r="D55" i="47"/>
  <c r="D55" i="39"/>
  <c r="D7" i="54"/>
  <c r="D7" i="40"/>
  <c r="D55" i="52"/>
  <c r="D7" i="46"/>
  <c r="D7" i="56"/>
  <c r="D7" i="42"/>
  <c r="D55" i="53"/>
  <c r="D7" i="38"/>
  <c r="D55" i="54"/>
  <c r="D7" i="47"/>
  <c r="D7" i="50"/>
  <c r="O43" i="30"/>
  <c r="N44" i="30"/>
  <c r="AB39" i="30"/>
  <c r="AB38" i="30"/>
  <c r="AB33" i="30"/>
  <c r="AB41" i="30"/>
  <c r="AB31" i="30"/>
  <c r="AB37" i="30"/>
  <c r="AB40" i="30"/>
  <c r="AB36" i="30"/>
  <c r="AB35" i="30"/>
  <c r="AB34" i="30"/>
  <c r="AB32" i="30"/>
  <c r="D19" i="47" l="1" a="1"/>
  <c r="D19" i="47" s="1"/>
  <c r="D18" i="42" a="1"/>
  <c r="D18" i="42" s="1"/>
  <c r="D18" i="47" a="1"/>
  <c r="D18" i="47" s="1"/>
  <c r="D19" i="48" a="1"/>
  <c r="D19" i="48" s="1"/>
  <c r="D18" i="48" a="1"/>
  <c r="D18" i="48" s="1"/>
  <c r="D8" i="47" a="1"/>
  <c r="D8" i="47" s="1"/>
  <c r="D9" i="47" a="1"/>
  <c r="D9" i="47" s="1"/>
  <c r="D18" i="40" a="1"/>
  <c r="D18" i="40" s="1"/>
  <c r="D8" i="40" a="1"/>
  <c r="D8" i="40" s="1"/>
  <c r="D9" i="40" a="1"/>
  <c r="D9" i="40" s="1"/>
  <c r="D19" i="40" a="1"/>
  <c r="D19" i="40" s="1"/>
  <c r="D9" i="54" a="1"/>
  <c r="D9" i="54" s="1"/>
  <c r="D19" i="54" a="1"/>
  <c r="D19" i="54" s="1"/>
  <c r="D8" i="54" a="1"/>
  <c r="D8" i="54" s="1"/>
  <c r="D18" i="54" a="1"/>
  <c r="D18" i="54" s="1"/>
  <c r="D8" i="49" a="1"/>
  <c r="D8" i="49" s="1"/>
  <c r="D19" i="49" a="1"/>
  <c r="D19" i="49" s="1"/>
  <c r="D18" i="49" a="1"/>
  <c r="D18" i="49" s="1"/>
  <c r="D9" i="49" a="1"/>
  <c r="D9" i="49" s="1"/>
  <c r="D19" i="51" a="1"/>
  <c r="D19" i="51" s="1"/>
  <c r="D8" i="51" a="1"/>
  <c r="D8" i="51" s="1"/>
  <c r="D9" i="51" a="1"/>
  <c r="D9" i="51" s="1"/>
  <c r="D19" i="45" a="1"/>
  <c r="D19" i="45" s="1"/>
  <c r="D18" i="45" a="1"/>
  <c r="D18" i="45" s="1"/>
  <c r="D8" i="45" a="1"/>
  <c r="D8" i="45" s="1"/>
  <c r="D9" i="45" a="1"/>
  <c r="D9" i="45" s="1"/>
  <c r="D8" i="38" a="1"/>
  <c r="D8" i="38" s="1"/>
  <c r="D19" i="38" a="1"/>
  <c r="D19" i="38" s="1"/>
  <c r="D18" i="38" a="1"/>
  <c r="D18" i="38" s="1"/>
  <c r="D9" i="38" a="1"/>
  <c r="D9" i="38" s="1"/>
  <c r="D18" i="43" a="1"/>
  <c r="D18" i="43" s="1"/>
  <c r="D9" i="43" a="1"/>
  <c r="D9" i="43" s="1"/>
  <c r="D8" i="43" a="1"/>
  <c r="D8" i="43" s="1"/>
  <c r="D19" i="43" a="1"/>
  <c r="D19" i="43" s="1"/>
  <c r="D19" i="42" a="1"/>
  <c r="D19" i="42" s="1"/>
  <c r="D8" i="42" a="1"/>
  <c r="D8" i="42" s="1"/>
  <c r="D24" i="42" s="1"/>
  <c r="D9" i="42" a="1"/>
  <c r="D9" i="42" s="1"/>
  <c r="D8" i="53" a="1"/>
  <c r="D8" i="53" s="1"/>
  <c r="D9" i="53" a="1"/>
  <c r="D9" i="53" s="1"/>
  <c r="D18" i="53" a="1"/>
  <c r="D18" i="53" s="1"/>
  <c r="D19" i="53" a="1"/>
  <c r="D19" i="53" s="1"/>
  <c r="D19" i="35" a="1"/>
  <c r="D19" i="35" s="1"/>
  <c r="D9" i="35" a="1"/>
  <c r="D9" i="35" s="1"/>
  <c r="D8" i="35" a="1"/>
  <c r="D8" i="35" s="1"/>
  <c r="D18" i="35" a="1"/>
  <c r="D18" i="35" s="1"/>
  <c r="D18" i="55" a="1"/>
  <c r="D18" i="55" s="1"/>
  <c r="D9" i="55" a="1"/>
  <c r="D9" i="55" s="1"/>
  <c r="D8" i="55" a="1"/>
  <c r="D8" i="55" s="1"/>
  <c r="D19" i="55" a="1"/>
  <c r="D19" i="55" s="1"/>
  <c r="N45" i="30"/>
  <c r="O44" i="30"/>
  <c r="D18" i="56" a="1"/>
  <c r="D18" i="56" s="1"/>
  <c r="D19" i="56" a="1"/>
  <c r="D19" i="56" s="1"/>
  <c r="D8" i="56" a="1"/>
  <c r="D8" i="56" s="1"/>
  <c r="D9" i="56" a="1"/>
  <c r="D9" i="56" s="1"/>
  <c r="D9" i="44" a="1"/>
  <c r="D9" i="44" s="1"/>
  <c r="D18" i="44" a="1"/>
  <c r="D18" i="44" s="1"/>
  <c r="D19" i="44" a="1"/>
  <c r="D19" i="44" s="1"/>
  <c r="D8" i="44" a="1"/>
  <c r="D8" i="44" s="1"/>
  <c r="D9" i="48" a="1"/>
  <c r="D9" i="48" s="1"/>
  <c r="D8" i="48" a="1"/>
  <c r="D8" i="48" s="1"/>
  <c r="E55" i="44"/>
  <c r="E7" i="56"/>
  <c r="E55" i="40"/>
  <c r="E7" i="50"/>
  <c r="E55" i="52"/>
  <c r="AA43" i="30"/>
  <c r="E55" i="46"/>
  <c r="E7" i="48"/>
  <c r="E55" i="49"/>
  <c r="E55" i="39"/>
  <c r="E7" i="35"/>
  <c r="E7" i="53"/>
  <c r="E7" i="42"/>
  <c r="E7" i="52"/>
  <c r="E7" i="49"/>
  <c r="E7" i="41"/>
  <c r="E55" i="50"/>
  <c r="E55" i="35"/>
  <c r="E7" i="54"/>
  <c r="E7" i="44"/>
  <c r="E55" i="43"/>
  <c r="E7" i="45"/>
  <c r="E55" i="54"/>
  <c r="E55" i="45"/>
  <c r="E55" i="51"/>
  <c r="E7" i="38"/>
  <c r="E7" i="40"/>
  <c r="E7" i="51"/>
  <c r="E55" i="55"/>
  <c r="E7" i="39"/>
  <c r="E55" i="56"/>
  <c r="E7" i="43"/>
  <c r="E55" i="42"/>
  <c r="E7" i="47"/>
  <c r="E55" i="53"/>
  <c r="E55" i="41"/>
  <c r="E55" i="48"/>
  <c r="E7" i="55"/>
  <c r="E7" i="46"/>
  <c r="E55" i="47"/>
  <c r="E55" i="38"/>
  <c r="D8" i="46" a="1"/>
  <c r="D8" i="46" s="1"/>
  <c r="D19" i="46" a="1"/>
  <c r="D19" i="46" s="1"/>
  <c r="D18" i="46" a="1"/>
  <c r="D18" i="46" s="1"/>
  <c r="D9" i="46" a="1"/>
  <c r="D9" i="46" s="1"/>
  <c r="D18" i="52" a="1"/>
  <c r="D18" i="52" s="1"/>
  <c r="D8" i="52" a="1"/>
  <c r="D8" i="52" s="1"/>
  <c r="D19" i="52" a="1"/>
  <c r="D19" i="52" s="1"/>
  <c r="D9" i="52" a="1"/>
  <c r="D9" i="52" s="1"/>
  <c r="D9" i="41" a="1"/>
  <c r="D9" i="41" s="1"/>
  <c r="D18" i="41" a="1"/>
  <c r="D18" i="41" s="1"/>
  <c r="D8" i="41" a="1"/>
  <c r="D8" i="41" s="1"/>
  <c r="D19" i="41" a="1"/>
  <c r="D19" i="41" s="1"/>
  <c r="D8" i="50" a="1"/>
  <c r="D8" i="50" s="1"/>
  <c r="D18" i="50" a="1"/>
  <c r="D18" i="50" s="1"/>
  <c r="D9" i="50" a="1"/>
  <c r="D9" i="50" s="1"/>
  <c r="D19" i="50" a="1"/>
  <c r="D19" i="50" s="1"/>
  <c r="D170" i="63" a="1"/>
  <c r="C182" i="63" a="1"/>
  <c r="E14" i="63" a="1"/>
  <c r="D38" i="63" a="1"/>
  <c r="E2" i="63" a="1"/>
  <c r="E218" i="63" a="1"/>
  <c r="E194" i="63" a="1"/>
  <c r="D146" i="63" a="1"/>
  <c r="E146" i="63" a="1"/>
  <c r="E86" i="63" a="1"/>
  <c r="C86" i="63" a="1"/>
  <c r="C98" i="63" a="1"/>
  <c r="E50" i="63" a="1"/>
  <c r="E74" i="63" a="1"/>
  <c r="C134" i="63" a="1"/>
  <c r="E206" i="63" a="1"/>
  <c r="E122" i="63" a="1"/>
  <c r="D86" i="63" a="1"/>
  <c r="D122" i="63" a="1"/>
  <c r="C2" i="63" a="1"/>
  <c r="E38" i="63" a="1"/>
  <c r="C74" i="63" a="1"/>
  <c r="C50" i="63" a="1"/>
  <c r="E158" i="63" a="1"/>
  <c r="C194" i="63" a="1"/>
  <c r="E26" i="63" a="1"/>
  <c r="D182" i="63" a="1"/>
  <c r="D206" i="63" a="1"/>
  <c r="C26" i="63" a="1"/>
  <c r="C146" i="63" a="1"/>
  <c r="D62" i="63" a="1"/>
  <c r="C110" i="63" a="1"/>
  <c r="D158" i="63" a="1"/>
  <c r="E110" i="63" a="1"/>
  <c r="E134" i="63" a="1"/>
  <c r="D50" i="63" a="1"/>
  <c r="C14" i="63" a="1"/>
  <c r="D98" i="63" a="1"/>
  <c r="D110" i="63" a="1"/>
  <c r="C158" i="63" a="1"/>
  <c r="C206" i="63" a="1"/>
  <c r="D2" i="63" a="1"/>
  <c r="C38" i="63" a="1"/>
  <c r="E182" i="63" a="1"/>
  <c r="D74" i="63" a="1"/>
  <c r="C62" i="63" a="1"/>
  <c r="D218" i="63" a="1"/>
  <c r="E98" i="63" a="1"/>
  <c r="D14" i="63" a="1"/>
  <c r="E62" i="63" a="1"/>
  <c r="C122" i="63" a="1"/>
  <c r="D26" i="63" a="1"/>
  <c r="E170" i="63" a="1"/>
  <c r="D194" i="63" a="1"/>
  <c r="C218" i="63" a="1"/>
  <c r="C170" i="63" a="1"/>
  <c r="D28" i="48" l="1"/>
  <c r="D29" i="48"/>
  <c r="D146" i="63"/>
  <c r="C158" i="63"/>
  <c r="D206" i="63"/>
  <c r="C2" i="63"/>
  <c r="C38" i="63"/>
  <c r="E218" i="63"/>
  <c r="E134" i="63"/>
  <c r="E110" i="63"/>
  <c r="E206" i="63"/>
  <c r="C146" i="63"/>
  <c r="D158" i="63"/>
  <c r="C62" i="63"/>
  <c r="E38" i="63"/>
  <c r="C218" i="63"/>
  <c r="E14" i="63"/>
  <c r="D98" i="63"/>
  <c r="E158" i="63"/>
  <c r="E26" i="63"/>
  <c r="E62" i="63"/>
  <c r="E2" i="63"/>
  <c r="E50" i="63"/>
  <c r="D122" i="63"/>
  <c r="D38" i="63"/>
  <c r="D62" i="63"/>
  <c r="E194" i="63"/>
  <c r="E170" i="63"/>
  <c r="C50" i="63"/>
  <c r="C74" i="63"/>
  <c r="E122" i="63"/>
  <c r="C14" i="63"/>
  <c r="E98" i="63"/>
  <c r="D86" i="63"/>
  <c r="C194" i="63"/>
  <c r="D170" i="63"/>
  <c r="D74" i="63"/>
  <c r="C122" i="63"/>
  <c r="D14" i="63"/>
  <c r="D26" i="63"/>
  <c r="C86" i="63"/>
  <c r="D50" i="63"/>
  <c r="E74" i="63"/>
  <c r="D182" i="63"/>
  <c r="C26" i="63"/>
  <c r="E86" i="63"/>
  <c r="E146" i="63"/>
  <c r="C206" i="63"/>
  <c r="D194" i="63"/>
  <c r="C170" i="63"/>
  <c r="C182" i="63"/>
  <c r="C98" i="63"/>
  <c r="C110" i="63"/>
  <c r="D2" i="63"/>
  <c r="D218" i="63"/>
  <c r="C134" i="63"/>
  <c r="E182" i="63"/>
  <c r="D110" i="63"/>
  <c r="D57" i="45"/>
  <c r="D24" i="46"/>
  <c r="E19" i="47" a="1"/>
  <c r="E19" i="47" s="1"/>
  <c r="D57" i="41"/>
  <c r="D24" i="47"/>
  <c r="D12" i="48"/>
  <c r="D31" i="47"/>
  <c r="D29" i="47"/>
  <c r="D38" i="48"/>
  <c r="D31" i="48"/>
  <c r="D24" i="48"/>
  <c r="D20" i="51"/>
  <c r="D18" i="51" s="1" a="1"/>
  <c r="D18" i="51" s="1"/>
  <c r="D30" i="51"/>
  <c r="D44" i="55"/>
  <c r="D48" i="55"/>
  <c r="D46" i="55"/>
  <c r="D47" i="55"/>
  <c r="D46" i="43"/>
  <c r="D44" i="43"/>
  <c r="D48" i="43"/>
  <c r="D47" i="43"/>
  <c r="D47" i="45"/>
  <c r="D44" i="45"/>
  <c r="D48" i="45"/>
  <c r="D46" i="45"/>
  <c r="D44" i="40"/>
  <c r="D47" i="40"/>
  <c r="D46" i="40"/>
  <c r="D48" i="40"/>
  <c r="D48" i="46"/>
  <c r="D47" i="46"/>
  <c r="D46" i="46"/>
  <c r="D44" i="46"/>
  <c r="D44" i="49"/>
  <c r="D46" i="49"/>
  <c r="D47" i="49"/>
  <c r="D48" i="49"/>
  <c r="D44" i="41"/>
  <c r="D46" i="41"/>
  <c r="D47" i="41"/>
  <c r="D48" i="41"/>
  <c r="D44" i="56"/>
  <c r="D47" i="56"/>
  <c r="D46" i="56"/>
  <c r="D48" i="56"/>
  <c r="D46" i="53"/>
  <c r="D47" i="53"/>
  <c r="D44" i="53"/>
  <c r="D44" i="48"/>
  <c r="D47" i="48"/>
  <c r="D48" i="48"/>
  <c r="D46" i="48"/>
  <c r="D48" i="54"/>
  <c r="D46" i="54"/>
  <c r="D47" i="54"/>
  <c r="D44" i="54"/>
  <c r="D47" i="52"/>
  <c r="D46" i="52"/>
  <c r="D44" i="52"/>
  <c r="D48" i="52"/>
  <c r="D44" i="35"/>
  <c r="D48" i="35"/>
  <c r="D46" i="35"/>
  <c r="D47" i="35"/>
  <c r="D44" i="42"/>
  <c r="D47" i="42"/>
  <c r="D48" i="42"/>
  <c r="D46" i="42"/>
  <c r="D48" i="51"/>
  <c r="D44" i="51"/>
  <c r="D46" i="51"/>
  <c r="D47" i="51"/>
  <c r="D48" i="47"/>
  <c r="D44" i="47"/>
  <c r="D46" i="47"/>
  <c r="D47" i="47"/>
  <c r="D46" i="50"/>
  <c r="D44" i="50"/>
  <c r="D48" i="50"/>
  <c r="D47" i="50"/>
  <c r="D48" i="44"/>
  <c r="D46" i="44"/>
  <c r="D47" i="44"/>
  <c r="D44" i="44"/>
  <c r="D48" i="38"/>
  <c r="D44" i="38"/>
  <c r="D46" i="38"/>
  <c r="D47" i="38"/>
  <c r="E19" i="48" a="1"/>
  <c r="E19" i="48" s="1"/>
  <c r="E18" i="48" a="1"/>
  <c r="E18" i="48" s="1"/>
  <c r="D30" i="48"/>
  <c r="D31" i="53"/>
  <c r="D30" i="53"/>
  <c r="D30" i="41"/>
  <c r="D31" i="41"/>
  <c r="D30" i="55"/>
  <c r="D31" i="55"/>
  <c r="D30" i="43"/>
  <c r="D31" i="43"/>
  <c r="D32" i="45"/>
  <c r="D31" i="45"/>
  <c r="D30" i="45"/>
  <c r="D30" i="46"/>
  <c r="D31" i="46"/>
  <c r="D31" i="40"/>
  <c r="D30" i="40"/>
  <c r="D30" i="56"/>
  <c r="D31" i="56"/>
  <c r="D30" i="52"/>
  <c r="D31" i="52"/>
  <c r="D31" i="35"/>
  <c r="D30" i="35"/>
  <c r="D30" i="42"/>
  <c r="D31" i="42"/>
  <c r="D31" i="54"/>
  <c r="D30" i="54"/>
  <c r="D30" i="50"/>
  <c r="D31" i="50"/>
  <c r="D31" i="44"/>
  <c r="D30" i="44"/>
  <c r="D31" i="49"/>
  <c r="D30" i="49"/>
  <c r="D30" i="38"/>
  <c r="D31" i="38"/>
  <c r="D30" i="47"/>
  <c r="D31" i="51"/>
  <c r="D20" i="40"/>
  <c r="D13" i="40"/>
  <c r="D20" i="35"/>
  <c r="D13" i="35"/>
  <c r="D40" i="51"/>
  <c r="D40" i="41"/>
  <c r="D20" i="41"/>
  <c r="D40" i="55"/>
  <c r="D20" i="55"/>
  <c r="D40" i="43"/>
  <c r="D20" i="43"/>
  <c r="D40" i="45"/>
  <c r="D20" i="45"/>
  <c r="D40" i="46"/>
  <c r="D20" i="46"/>
  <c r="D40" i="56"/>
  <c r="D20" i="56"/>
  <c r="D40" i="53"/>
  <c r="D20" i="53"/>
  <c r="D40" i="49"/>
  <c r="D20" i="49"/>
  <c r="D40" i="48"/>
  <c r="D20" i="48"/>
  <c r="D40" i="52"/>
  <c r="D20" i="52"/>
  <c r="D40" i="42"/>
  <c r="D20" i="42"/>
  <c r="D40" i="54"/>
  <c r="D20" i="54"/>
  <c r="D40" i="50"/>
  <c r="D20" i="50"/>
  <c r="D40" i="44"/>
  <c r="D20" i="44"/>
  <c r="D40" i="38"/>
  <c r="D20" i="38"/>
  <c r="D40" i="47"/>
  <c r="D20" i="47"/>
  <c r="D40" i="40"/>
  <c r="D40" i="35"/>
  <c r="D13" i="41"/>
  <c r="D13" i="48"/>
  <c r="D13" i="55"/>
  <c r="D13" i="43"/>
  <c r="D13" i="45"/>
  <c r="D13" i="46"/>
  <c r="D45" i="56"/>
  <c r="D13" i="56"/>
  <c r="D45" i="53"/>
  <c r="D13" i="53"/>
  <c r="D13" i="49"/>
  <c r="D13" i="42"/>
  <c r="D13" i="54"/>
  <c r="D13" i="52"/>
  <c r="D45" i="50"/>
  <c r="D13" i="50"/>
  <c r="D13" i="44"/>
  <c r="D13" i="51"/>
  <c r="D13" i="47"/>
  <c r="D45" i="38"/>
  <c r="D24" i="54"/>
  <c r="D25" i="54"/>
  <c r="D34" i="54"/>
  <c r="D33" i="54"/>
  <c r="D41" i="54"/>
  <c r="D22" i="54"/>
  <c r="D32" i="54"/>
  <c r="D38" i="54"/>
  <c r="D12" i="54"/>
  <c r="D39" i="54"/>
  <c r="D45" i="54"/>
  <c r="D23" i="54"/>
  <c r="D29" i="54"/>
  <c r="D35" i="54"/>
  <c r="D28" i="54"/>
  <c r="D57" i="54"/>
  <c r="D35" i="42"/>
  <c r="D41" i="42"/>
  <c r="D28" i="42"/>
  <c r="D33" i="42"/>
  <c r="D29" i="42"/>
  <c r="D34" i="42"/>
  <c r="D12" i="42"/>
  <c r="D56" i="42" s="1"/>
  <c r="D57" i="42"/>
  <c r="D22" i="42"/>
  <c r="D38" i="42"/>
  <c r="D23" i="42"/>
  <c r="D45" i="42"/>
  <c r="D25" i="42"/>
  <c r="D32" i="42"/>
  <c r="D39" i="42"/>
  <c r="D25" i="46"/>
  <c r="D35" i="46"/>
  <c r="D12" i="46"/>
  <c r="D39" i="46"/>
  <c r="D41" i="46"/>
  <c r="D32" i="46"/>
  <c r="D23" i="46"/>
  <c r="D22" i="46"/>
  <c r="D38" i="46"/>
  <c r="D45" i="46"/>
  <c r="D28" i="46"/>
  <c r="D33" i="46"/>
  <c r="D57" i="46"/>
  <c r="D29" i="46"/>
  <c r="D34" i="46"/>
  <c r="E9" i="47" a="1"/>
  <c r="E9" i="47" s="1"/>
  <c r="E8" i="47" a="1"/>
  <c r="E8" i="47" s="1"/>
  <c r="E18" i="47" a="1"/>
  <c r="E18" i="47" s="1"/>
  <c r="E18" i="38" a="1"/>
  <c r="E18" i="38" s="1"/>
  <c r="E8" i="38" a="1"/>
  <c r="E8" i="38" s="1"/>
  <c r="E19" i="38" a="1"/>
  <c r="E19" i="38" s="1"/>
  <c r="E9" i="38" a="1"/>
  <c r="E9" i="38" s="1"/>
  <c r="E8" i="56" a="1"/>
  <c r="E8" i="56" s="1"/>
  <c r="E9" i="56" a="1"/>
  <c r="E9" i="56" s="1"/>
  <c r="E18" i="56" a="1"/>
  <c r="E18" i="56" s="1"/>
  <c r="E19" i="56" a="1"/>
  <c r="E19" i="56" s="1"/>
  <c r="E19" i="42" a="1"/>
  <c r="E19" i="42" s="1"/>
  <c r="E8" i="42" a="1"/>
  <c r="E8" i="42" s="1"/>
  <c r="E24" i="42" s="1"/>
  <c r="E9" i="42" a="1"/>
  <c r="E9" i="42" s="1"/>
  <c r="E18" i="42" a="1"/>
  <c r="E18" i="42" s="1"/>
  <c r="D29" i="35"/>
  <c r="D39" i="35"/>
  <c r="D22" i="35"/>
  <c r="D32" i="35"/>
  <c r="D23" i="35"/>
  <c r="D25" i="35"/>
  <c r="D12" i="35"/>
  <c r="D33" i="35"/>
  <c r="D24" i="35"/>
  <c r="D28" i="35"/>
  <c r="D38" i="35"/>
  <c r="D57" i="35"/>
  <c r="D41" i="35"/>
  <c r="D34" i="35"/>
  <c r="D45" i="35"/>
  <c r="D35" i="35"/>
  <c r="D38" i="55"/>
  <c r="D34" i="55"/>
  <c r="D41" i="55"/>
  <c r="D39" i="55"/>
  <c r="D22" i="55"/>
  <c r="D28" i="55"/>
  <c r="D35" i="55"/>
  <c r="D23" i="55"/>
  <c r="D32" i="55"/>
  <c r="D29" i="55"/>
  <c r="D25" i="55"/>
  <c r="D24" i="55"/>
  <c r="D45" i="55"/>
  <c r="D57" i="55"/>
  <c r="D33" i="55"/>
  <c r="D12" i="55"/>
  <c r="D25" i="43"/>
  <c r="D41" i="43"/>
  <c r="D12" i="43"/>
  <c r="D35" i="43"/>
  <c r="D34" i="43"/>
  <c r="D22" i="43"/>
  <c r="D38" i="43"/>
  <c r="D24" i="43"/>
  <c r="D39" i="43"/>
  <c r="D29" i="43"/>
  <c r="D33" i="43"/>
  <c r="D57" i="43"/>
  <c r="D23" i="43"/>
  <c r="D32" i="43"/>
  <c r="D28" i="43"/>
  <c r="D45" i="43"/>
  <c r="D22" i="45"/>
  <c r="D29" i="45"/>
  <c r="D12" i="45"/>
  <c r="D39" i="45"/>
  <c r="D24" i="45"/>
  <c r="D23" i="45"/>
  <c r="D45" i="45"/>
  <c r="D33" i="45"/>
  <c r="D38" i="45"/>
  <c r="D35" i="45"/>
  <c r="D34" i="45"/>
  <c r="D25" i="45"/>
  <c r="D28" i="45"/>
  <c r="D41" i="45"/>
  <c r="E18" i="43" a="1"/>
  <c r="E18" i="43" s="1"/>
  <c r="E19" i="43" a="1"/>
  <c r="E19" i="43" s="1"/>
  <c r="E9" i="43" a="1"/>
  <c r="E9" i="43" s="1"/>
  <c r="E8" i="43" a="1"/>
  <c r="E8" i="43" s="1"/>
  <c r="E8" i="41" a="1"/>
  <c r="E8" i="41" s="1"/>
  <c r="E18" i="41" a="1"/>
  <c r="E18" i="41" s="1"/>
  <c r="E19" i="41" a="1"/>
  <c r="E19" i="41" s="1"/>
  <c r="E9" i="41" a="1"/>
  <c r="E9" i="41" s="1"/>
  <c r="E8" i="48" a="1"/>
  <c r="E8" i="48" s="1"/>
  <c r="E9" i="48" a="1"/>
  <c r="E9" i="48" s="1"/>
  <c r="D22" i="40"/>
  <c r="D41" i="40"/>
  <c r="D24" i="40"/>
  <c r="D12" i="40"/>
  <c r="D39" i="40"/>
  <c r="D32" i="40"/>
  <c r="D25" i="40"/>
  <c r="D33" i="40"/>
  <c r="D29" i="40"/>
  <c r="D57" i="40"/>
  <c r="D45" i="40"/>
  <c r="D34" i="40"/>
  <c r="D35" i="40"/>
  <c r="D38" i="40"/>
  <c r="D28" i="40"/>
  <c r="D23" i="40"/>
  <c r="D25" i="52"/>
  <c r="D33" i="52"/>
  <c r="D12" i="52"/>
  <c r="D57" i="52"/>
  <c r="D34" i="52"/>
  <c r="D38" i="52"/>
  <c r="D35" i="52"/>
  <c r="D23" i="52"/>
  <c r="D29" i="52"/>
  <c r="D22" i="52"/>
  <c r="D41" i="52"/>
  <c r="D24" i="52"/>
  <c r="D39" i="52"/>
  <c r="D45" i="52"/>
  <c r="D28" i="52"/>
  <c r="D32" i="52"/>
  <c r="E18" i="46" a="1"/>
  <c r="E18" i="46" s="1"/>
  <c r="E9" i="46" a="1"/>
  <c r="E9" i="46" s="1"/>
  <c r="E8" i="46" a="1"/>
  <c r="E8" i="46" s="1"/>
  <c r="E19" i="46" a="1"/>
  <c r="E19" i="46" s="1"/>
  <c r="E9" i="49" a="1"/>
  <c r="E9" i="49" s="1"/>
  <c r="E19" i="49" a="1"/>
  <c r="E19" i="49" s="1"/>
  <c r="E8" i="49" a="1"/>
  <c r="E8" i="49" s="1"/>
  <c r="E18" i="49" a="1"/>
  <c r="E18" i="49" s="1"/>
  <c r="D41" i="56"/>
  <c r="D12" i="56"/>
  <c r="D24" i="56"/>
  <c r="D22" i="56"/>
  <c r="D28" i="56"/>
  <c r="D33" i="56"/>
  <c r="D38" i="56"/>
  <c r="D23" i="56"/>
  <c r="D29" i="56"/>
  <c r="D32" i="56"/>
  <c r="D57" i="56"/>
  <c r="D35" i="56"/>
  <c r="D25" i="56"/>
  <c r="D39" i="56"/>
  <c r="D34" i="56"/>
  <c r="D33" i="53"/>
  <c r="D29" i="53"/>
  <c r="D35" i="53"/>
  <c r="D39" i="53"/>
  <c r="D32" i="53"/>
  <c r="D23" i="53"/>
  <c r="D38" i="53"/>
  <c r="D12" i="53"/>
  <c r="D56" i="53" s="1"/>
  <c r="D57" i="53"/>
  <c r="D24" i="53"/>
  <c r="D25" i="53"/>
  <c r="D41" i="53"/>
  <c r="D34" i="53"/>
  <c r="D28" i="53"/>
  <c r="D22" i="53"/>
  <c r="D33" i="49"/>
  <c r="D29" i="49"/>
  <c r="D22" i="49"/>
  <c r="D32" i="49"/>
  <c r="D41" i="49"/>
  <c r="D38" i="49"/>
  <c r="D39" i="49"/>
  <c r="D24" i="49"/>
  <c r="D28" i="49"/>
  <c r="D34" i="49"/>
  <c r="D25" i="49"/>
  <c r="D23" i="49"/>
  <c r="D12" i="49"/>
  <c r="D45" i="49"/>
  <c r="D57" i="49"/>
  <c r="D35" i="49"/>
  <c r="D57" i="50"/>
  <c r="D41" i="50"/>
  <c r="D23" i="50"/>
  <c r="D35" i="50"/>
  <c r="D29" i="50"/>
  <c r="D32" i="50"/>
  <c r="D34" i="50"/>
  <c r="D39" i="50"/>
  <c r="D28" i="50"/>
  <c r="D38" i="50"/>
  <c r="D22" i="50"/>
  <c r="D33" i="50"/>
  <c r="D24" i="50"/>
  <c r="D12" i="50"/>
  <c r="D56" i="50" s="1"/>
  <c r="D25" i="50"/>
  <c r="E18" i="55" a="1"/>
  <c r="E18" i="55" s="1"/>
  <c r="E9" i="55" a="1"/>
  <c r="E9" i="55" s="1"/>
  <c r="E19" i="55" a="1"/>
  <c r="E19" i="55" s="1"/>
  <c r="E8" i="55" a="1"/>
  <c r="E8" i="55" s="1"/>
  <c r="E8" i="45" a="1"/>
  <c r="E8" i="45" s="1"/>
  <c r="E18" i="45" a="1"/>
  <c r="E18" i="45" s="1"/>
  <c r="E9" i="45" a="1"/>
  <c r="E9" i="45" s="1"/>
  <c r="E19" i="45" a="1"/>
  <c r="E19" i="45" s="1"/>
  <c r="E19" i="52" a="1"/>
  <c r="E19" i="52" s="1"/>
  <c r="E8" i="52" a="1"/>
  <c r="E8" i="52" s="1"/>
  <c r="E18" i="52" a="1"/>
  <c r="E18" i="52" s="1"/>
  <c r="E9" i="52" a="1"/>
  <c r="E9" i="52" s="1"/>
  <c r="D25" i="48"/>
  <c r="D39" i="48"/>
  <c r="D34" i="48"/>
  <c r="D33" i="48"/>
  <c r="D41" i="48"/>
  <c r="D35" i="48"/>
  <c r="D45" i="48"/>
  <c r="D23" i="48"/>
  <c r="D57" i="48"/>
  <c r="D32" i="48"/>
  <c r="D22" i="48"/>
  <c r="D38" i="41"/>
  <c r="D33" i="41"/>
  <c r="D35" i="41"/>
  <c r="D45" i="41"/>
  <c r="D32" i="41"/>
  <c r="D12" i="41"/>
  <c r="D56" i="41" s="1"/>
  <c r="D24" i="41"/>
  <c r="D41" i="41"/>
  <c r="D29" i="41"/>
  <c r="D22" i="41"/>
  <c r="D28" i="41"/>
  <c r="D25" i="41"/>
  <c r="D23" i="41"/>
  <c r="D34" i="41"/>
  <c r="D39" i="41"/>
  <c r="E8" i="51" a="1"/>
  <c r="E8" i="51" s="1"/>
  <c r="E9" i="51" a="1"/>
  <c r="E9" i="51" s="1"/>
  <c r="E19" i="51" a="1"/>
  <c r="E19" i="51" s="1"/>
  <c r="E9" i="44" a="1"/>
  <c r="E9" i="44" s="1"/>
  <c r="E8" i="44" a="1"/>
  <c r="E8" i="44" s="1"/>
  <c r="E19" i="44" a="1"/>
  <c r="E19" i="44" s="1"/>
  <c r="E18" i="44" a="1"/>
  <c r="E18" i="44" s="1"/>
  <c r="E9" i="53" a="1"/>
  <c r="E9" i="53" s="1"/>
  <c r="E18" i="53" a="1"/>
  <c r="E18" i="53" s="1"/>
  <c r="E19" i="53" a="1"/>
  <c r="E19" i="53" s="1"/>
  <c r="E8" i="53" a="1"/>
  <c r="E8" i="53" s="1"/>
  <c r="E8" i="50" a="1"/>
  <c r="E8" i="50" s="1"/>
  <c r="E18" i="50" a="1"/>
  <c r="E18" i="50" s="1"/>
  <c r="E19" i="50" a="1"/>
  <c r="E19" i="50" s="1"/>
  <c r="E9" i="50" a="1"/>
  <c r="E9" i="50" s="1"/>
  <c r="D41" i="44"/>
  <c r="D45" i="44"/>
  <c r="D25" i="44"/>
  <c r="D24" i="44"/>
  <c r="D28" i="44"/>
  <c r="D39" i="44"/>
  <c r="D29" i="44"/>
  <c r="D35" i="44"/>
  <c r="D38" i="44"/>
  <c r="D12" i="44"/>
  <c r="D33" i="44"/>
  <c r="D34" i="44"/>
  <c r="D22" i="44"/>
  <c r="D23" i="44"/>
  <c r="D32" i="44"/>
  <c r="F55" i="52"/>
  <c r="F7" i="52"/>
  <c r="F7" i="40"/>
  <c r="F55" i="46"/>
  <c r="F55" i="54"/>
  <c r="F55" i="53"/>
  <c r="F7" i="53"/>
  <c r="F7" i="44"/>
  <c r="F55" i="49"/>
  <c r="F7" i="41"/>
  <c r="F55" i="35"/>
  <c r="F55" i="50"/>
  <c r="F55" i="40"/>
  <c r="F7" i="48"/>
  <c r="F7" i="54"/>
  <c r="F55" i="48"/>
  <c r="F7" i="47"/>
  <c r="F55" i="42"/>
  <c r="F55" i="41"/>
  <c r="F55" i="56"/>
  <c r="F7" i="45"/>
  <c r="F7" i="46"/>
  <c r="F55" i="51"/>
  <c r="F55" i="38"/>
  <c r="F7" i="43"/>
  <c r="F7" i="51"/>
  <c r="F7" i="42"/>
  <c r="F7" i="50"/>
  <c r="AA44" i="30"/>
  <c r="F7" i="49"/>
  <c r="F7" i="35"/>
  <c r="F7" i="56"/>
  <c r="F7" i="38"/>
  <c r="F7" i="55"/>
  <c r="F55" i="55"/>
  <c r="F55" i="44"/>
  <c r="F55" i="43"/>
  <c r="F7" i="39"/>
  <c r="F55" i="47"/>
  <c r="F55" i="39"/>
  <c r="F55" i="45"/>
  <c r="D22" i="51"/>
  <c r="D38" i="51"/>
  <c r="D28" i="51"/>
  <c r="D29" i="51"/>
  <c r="D33" i="51"/>
  <c r="D25" i="51"/>
  <c r="D35" i="51"/>
  <c r="D12" i="51"/>
  <c r="D56" i="51" s="1"/>
  <c r="D39" i="51"/>
  <c r="D41" i="51"/>
  <c r="D57" i="51"/>
  <c r="D45" i="51"/>
  <c r="D34" i="51"/>
  <c r="D32" i="51"/>
  <c r="D23" i="51"/>
  <c r="D24" i="51"/>
  <c r="E19" i="40" a="1"/>
  <c r="E19" i="40" s="1"/>
  <c r="E9" i="40" a="1"/>
  <c r="E9" i="40" s="1"/>
  <c r="E8" i="40" a="1"/>
  <c r="E8" i="40" s="1"/>
  <c r="E18" i="40" a="1"/>
  <c r="E18" i="40" s="1"/>
  <c r="E19" i="54" a="1"/>
  <c r="E19" i="54" s="1"/>
  <c r="E8" i="54" a="1"/>
  <c r="E8" i="54" s="1"/>
  <c r="E9" i="54" a="1"/>
  <c r="E9" i="54" s="1"/>
  <c r="E18" i="54" a="1"/>
  <c r="E18" i="54" s="1"/>
  <c r="E8" i="35" a="1"/>
  <c r="E8" i="35" s="1"/>
  <c r="E19" i="35" a="1"/>
  <c r="E19" i="35" s="1"/>
  <c r="E9" i="35" a="1"/>
  <c r="E9" i="35" s="1"/>
  <c r="E18" i="35" a="1"/>
  <c r="E18" i="35" s="1"/>
  <c r="N46" i="30"/>
  <c r="O45" i="30"/>
  <c r="D35" i="38"/>
  <c r="D38" i="38"/>
  <c r="D22" i="38"/>
  <c r="D32" i="38"/>
  <c r="D13" i="38"/>
  <c r="D24" i="38"/>
  <c r="D41" i="38"/>
  <c r="D34" i="38"/>
  <c r="D39" i="38"/>
  <c r="D33" i="38"/>
  <c r="D25" i="38"/>
  <c r="D12" i="38"/>
  <c r="D56" i="38" s="1"/>
  <c r="D57" i="38"/>
  <c r="D28" i="38"/>
  <c r="D29" i="38"/>
  <c r="D23" i="38"/>
  <c r="D25" i="47"/>
  <c r="D35" i="47"/>
  <c r="D33" i="47"/>
  <c r="D38" i="47"/>
  <c r="D32" i="47"/>
  <c r="D57" i="47"/>
  <c r="D34" i="47"/>
  <c r="D22" i="47"/>
  <c r="D39" i="47"/>
  <c r="D41" i="47"/>
  <c r="D28" i="47"/>
  <c r="D23" i="47"/>
  <c r="D45" i="47"/>
  <c r="D12" i="47"/>
  <c r="G134" i="63" a="1"/>
  <c r="G206" i="63" a="1"/>
  <c r="G146" i="63" a="1"/>
  <c r="D39" i="63" a="1"/>
  <c r="F206" i="63" a="1"/>
  <c r="F74" i="63" a="1"/>
  <c r="G38" i="63" a="1"/>
  <c r="G110" i="63" a="1"/>
  <c r="E39" i="63" a="1"/>
  <c r="F2" i="63" a="1"/>
  <c r="F146" i="63" a="1"/>
  <c r="C219" i="63" a="1"/>
  <c r="G26" i="63" a="1"/>
  <c r="F26" i="63" a="1"/>
  <c r="D111" i="63" a="1"/>
  <c r="F158" i="63" a="1"/>
  <c r="C171" i="63" a="1"/>
  <c r="D134" i="63" a="1"/>
  <c r="E171" i="63" a="1"/>
  <c r="D99" i="63" a="1"/>
  <c r="C99" i="63" a="1"/>
  <c r="D159" i="63" a="1"/>
  <c r="F194" i="63" a="1"/>
  <c r="D75" i="63" a="1"/>
  <c r="C147" i="63" a="1"/>
  <c r="E135" i="63" a="1"/>
  <c r="E75" i="63" a="1"/>
  <c r="F170" i="63" a="1"/>
  <c r="C207" i="63" a="1"/>
  <c r="E87" i="63" a="1"/>
  <c r="C15" i="63" a="1"/>
  <c r="F122" i="63" a="1"/>
  <c r="E111" i="63" a="1"/>
  <c r="D195" i="63" a="1"/>
  <c r="G50" i="63" a="1"/>
  <c r="C3" i="63" a="1"/>
  <c r="G14" i="63" a="1"/>
  <c r="C159" i="63" a="1"/>
  <c r="G62" i="63" a="1"/>
  <c r="E147" i="63" a="1"/>
  <c r="G182" i="63" a="1"/>
  <c r="E27" i="63" a="1"/>
  <c r="G170" i="63" a="1"/>
  <c r="E183" i="63" a="1"/>
  <c r="D3" i="63" a="1"/>
  <c r="G98" i="63" a="1"/>
  <c r="C75" i="63" a="1"/>
  <c r="E63" i="63" a="1"/>
  <c r="E159" i="63" a="1"/>
  <c r="F218" i="63" a="1"/>
  <c r="C123" i="63" a="1"/>
  <c r="D15" i="63" a="1"/>
  <c r="F14" i="63" a="1"/>
  <c r="E15" i="63" a="1"/>
  <c r="D51" i="63" a="1"/>
  <c r="G218" i="63" a="1"/>
  <c r="G74" i="63" a="1"/>
  <c r="C195" i="63" a="1"/>
  <c r="D207" i="63" a="1"/>
  <c r="F62" i="63" a="1"/>
  <c r="D147" i="63" a="1"/>
  <c r="G2" i="63" a="1"/>
  <c r="F38" i="63" a="1"/>
  <c r="E51" i="63" a="1"/>
  <c r="G122" i="63" a="1"/>
  <c r="F86" i="63" a="1"/>
  <c r="E219" i="63" a="1"/>
  <c r="F134" i="63" a="1"/>
  <c r="C135" i="63" a="1"/>
  <c r="F182" i="63" a="1"/>
  <c r="D27" i="63" a="1"/>
  <c r="F98" i="63" a="1"/>
  <c r="E195" i="63" a="1"/>
  <c r="C27" i="63" a="1"/>
  <c r="D123" i="63" a="1"/>
  <c r="F50" i="63" a="1"/>
  <c r="E99" i="63" a="1"/>
  <c r="G158" i="63" a="1"/>
  <c r="D219" i="63" a="1"/>
  <c r="D171" i="63" a="1"/>
  <c r="C111" i="63" a="1"/>
  <c r="D87" i="63" a="1"/>
  <c r="F110" i="63" a="1"/>
  <c r="E123" i="63" a="1"/>
  <c r="C51" i="63" a="1"/>
  <c r="C183" i="63" a="1"/>
  <c r="C63" i="63" a="1"/>
  <c r="D63" i="63" a="1"/>
  <c r="C87" i="63" a="1"/>
  <c r="G194" i="63" a="1"/>
  <c r="G86" i="63" a="1"/>
  <c r="E3" i="63" a="1"/>
  <c r="E207" i="63" a="1"/>
  <c r="D183" i="63" a="1"/>
  <c r="C39" i="63" a="1"/>
  <c r="E28" i="48" l="1"/>
  <c r="E29" i="48"/>
  <c r="F98" i="63"/>
  <c r="F62" i="63"/>
  <c r="F146" i="63"/>
  <c r="F122" i="63"/>
  <c r="F14" i="63"/>
  <c r="F74" i="63"/>
  <c r="F26" i="63"/>
  <c r="F182" i="63"/>
  <c r="F170" i="63"/>
  <c r="F50" i="63"/>
  <c r="F134" i="63"/>
  <c r="F110" i="63"/>
  <c r="F194" i="63"/>
  <c r="F206" i="63"/>
  <c r="F218" i="63"/>
  <c r="F2" i="63"/>
  <c r="F38" i="63"/>
  <c r="F158" i="63"/>
  <c r="F86" i="63"/>
  <c r="D15" i="63"/>
  <c r="G62" i="63"/>
  <c r="C3" i="63"/>
  <c r="E15" i="63"/>
  <c r="G26" i="63"/>
  <c r="E75" i="63"/>
  <c r="E27" i="63"/>
  <c r="G74" i="63"/>
  <c r="E39" i="63"/>
  <c r="D219" i="63"/>
  <c r="D134" i="63"/>
  <c r="D183" i="63"/>
  <c r="G134" i="63"/>
  <c r="D63" i="63"/>
  <c r="E87" i="63"/>
  <c r="G158" i="63"/>
  <c r="D27" i="63"/>
  <c r="G194" i="63"/>
  <c r="E207" i="63"/>
  <c r="D99" i="63"/>
  <c r="G110" i="63"/>
  <c r="E99" i="63"/>
  <c r="E147" i="63"/>
  <c r="E63" i="63"/>
  <c r="D75" i="63"/>
  <c r="G146" i="63"/>
  <c r="G206" i="63"/>
  <c r="C87" i="63"/>
  <c r="G14" i="63"/>
  <c r="C27" i="63"/>
  <c r="D207" i="63"/>
  <c r="C99" i="63"/>
  <c r="G182" i="63"/>
  <c r="D111" i="63"/>
  <c r="G86" i="63"/>
  <c r="G218" i="63"/>
  <c r="C171" i="63"/>
  <c r="C183" i="63"/>
  <c r="D147" i="63"/>
  <c r="C63" i="63"/>
  <c r="C75" i="63"/>
  <c r="C51" i="63"/>
  <c r="E111" i="63"/>
  <c r="D3" i="63"/>
  <c r="E183" i="63"/>
  <c r="C147" i="63"/>
  <c r="C195" i="63"/>
  <c r="G170" i="63"/>
  <c r="D87" i="63"/>
  <c r="G2" i="63"/>
  <c r="C207" i="63"/>
  <c r="E135" i="63"/>
  <c r="D159" i="63"/>
  <c r="E195" i="63"/>
  <c r="D123" i="63"/>
  <c r="E51" i="63"/>
  <c r="G50" i="63"/>
  <c r="D39" i="63"/>
  <c r="G38" i="63"/>
  <c r="C15" i="63"/>
  <c r="E171" i="63"/>
  <c r="C159" i="63"/>
  <c r="C123" i="63"/>
  <c r="C111" i="63"/>
  <c r="D51" i="63"/>
  <c r="E219" i="63"/>
  <c r="E3" i="63"/>
  <c r="D171" i="63"/>
  <c r="C135" i="63"/>
  <c r="E159" i="63"/>
  <c r="D195" i="63"/>
  <c r="G122" i="63"/>
  <c r="E123" i="63"/>
  <c r="C39" i="63"/>
  <c r="C219" i="63"/>
  <c r="G98" i="63"/>
  <c r="E24" i="35"/>
  <c r="F19" i="47" a="1"/>
  <c r="F19" i="47" s="1"/>
  <c r="E24" i="46"/>
  <c r="E24" i="41"/>
  <c r="E24" i="47"/>
  <c r="E24" i="48"/>
  <c r="E46" i="35"/>
  <c r="E45" i="35"/>
  <c r="E48" i="35"/>
  <c r="E44" i="35"/>
  <c r="E45" i="42"/>
  <c r="E48" i="42"/>
  <c r="E44" i="42"/>
  <c r="E46" i="42"/>
  <c r="E29" i="46"/>
  <c r="E44" i="46"/>
  <c r="E48" i="46"/>
  <c r="E45" i="46"/>
  <c r="E46" i="46"/>
  <c r="E48" i="41"/>
  <c r="E44" i="41"/>
  <c r="E46" i="41"/>
  <c r="E45" i="41"/>
  <c r="E29" i="47"/>
  <c r="E45" i="47"/>
  <c r="E44" i="47"/>
  <c r="E46" i="47"/>
  <c r="E48" i="47"/>
  <c r="E46" i="40"/>
  <c r="E45" i="40"/>
  <c r="E48" i="40"/>
  <c r="E44" i="40"/>
  <c r="E44" i="54"/>
  <c r="E46" i="54"/>
  <c r="E45" i="54"/>
  <c r="E48" i="54"/>
  <c r="E48" i="44"/>
  <c r="E45" i="44"/>
  <c r="E46" i="44"/>
  <c r="E44" i="44"/>
  <c r="E46" i="50"/>
  <c r="E44" i="50"/>
  <c r="E48" i="50"/>
  <c r="E45" i="50"/>
  <c r="E48" i="45"/>
  <c r="E46" i="45"/>
  <c r="E57" i="45"/>
  <c r="E44" i="45"/>
  <c r="E45" i="45"/>
  <c r="E46" i="43"/>
  <c r="E44" i="43"/>
  <c r="E48" i="43"/>
  <c r="E45" i="43"/>
  <c r="E44" i="53"/>
  <c r="E45" i="53"/>
  <c r="E46" i="53"/>
  <c r="E45" i="55"/>
  <c r="E46" i="55"/>
  <c r="E44" i="55"/>
  <c r="E48" i="55"/>
  <c r="E48" i="56"/>
  <c r="E44" i="56"/>
  <c r="E45" i="56"/>
  <c r="E45" i="51"/>
  <c r="E48" i="51"/>
  <c r="E44" i="51"/>
  <c r="E46" i="51"/>
  <c r="E48" i="52"/>
  <c r="E46" i="52"/>
  <c r="E45" i="52"/>
  <c r="E44" i="52"/>
  <c r="E48" i="49"/>
  <c r="E46" i="49"/>
  <c r="E45" i="49"/>
  <c r="E44" i="49"/>
  <c r="E45" i="48"/>
  <c r="E48" i="48"/>
  <c r="E44" i="48"/>
  <c r="D48" i="39"/>
  <c r="D14" i="35"/>
  <c r="D58" i="42"/>
  <c r="E30" i="51"/>
  <c r="E20" i="51"/>
  <c r="E18" i="51" s="1" a="1"/>
  <c r="E18" i="51" s="1"/>
  <c r="E47" i="35"/>
  <c r="E13" i="54"/>
  <c r="E47" i="54"/>
  <c r="E47" i="42"/>
  <c r="E13" i="38"/>
  <c r="E48" i="38"/>
  <c r="E46" i="38"/>
  <c r="E44" i="38"/>
  <c r="E47" i="38"/>
  <c r="E45" i="38"/>
  <c r="E47" i="44"/>
  <c r="E13" i="50"/>
  <c r="E47" i="50"/>
  <c r="E13" i="46"/>
  <c r="E47" i="46"/>
  <c r="E13" i="41"/>
  <c r="E47" i="41"/>
  <c r="E13" i="40"/>
  <c r="E47" i="40"/>
  <c r="E13" i="53"/>
  <c r="E47" i="53"/>
  <c r="E13" i="45"/>
  <c r="E47" i="45"/>
  <c r="E13" i="43"/>
  <c r="E47" i="43"/>
  <c r="E13" i="47"/>
  <c r="E47" i="47"/>
  <c r="E13" i="55"/>
  <c r="E47" i="55"/>
  <c r="E13" i="51"/>
  <c r="E47" i="51"/>
  <c r="E13" i="56"/>
  <c r="E46" i="56"/>
  <c r="E47" i="56"/>
  <c r="E13" i="52"/>
  <c r="E47" i="52"/>
  <c r="E13" i="49"/>
  <c r="E47" i="49"/>
  <c r="E47" i="48"/>
  <c r="E13" i="48"/>
  <c r="F19" i="48" a="1"/>
  <c r="F19" i="48" s="1"/>
  <c r="F18" i="48" a="1"/>
  <c r="F18" i="48" s="1"/>
  <c r="D58" i="53"/>
  <c r="D14" i="42"/>
  <c r="E12" i="35"/>
  <c r="E13" i="35"/>
  <c r="E12" i="42"/>
  <c r="E13" i="42"/>
  <c r="E12" i="44"/>
  <c r="E13" i="44"/>
  <c r="D42" i="44"/>
  <c r="D42" i="48"/>
  <c r="D42" i="47"/>
  <c r="E31" i="48"/>
  <c r="D42" i="45"/>
  <c r="D42" i="55"/>
  <c r="D42" i="43"/>
  <c r="E31" i="44"/>
  <c r="E30" i="44"/>
  <c r="E31" i="55"/>
  <c r="E30" i="55"/>
  <c r="E20" i="56"/>
  <c r="E30" i="56"/>
  <c r="E31" i="56"/>
  <c r="E30" i="50"/>
  <c r="E31" i="50"/>
  <c r="E20" i="46"/>
  <c r="E31" i="46"/>
  <c r="E30" i="46"/>
  <c r="E30" i="48"/>
  <c r="D42" i="42"/>
  <c r="E30" i="54"/>
  <c r="E31" i="54"/>
  <c r="E30" i="53"/>
  <c r="E31" i="53"/>
  <c r="E30" i="52"/>
  <c r="E31" i="52"/>
  <c r="E30" i="42"/>
  <c r="E31" i="42"/>
  <c r="E30" i="38"/>
  <c r="E31" i="38"/>
  <c r="E31" i="40"/>
  <c r="E30" i="40"/>
  <c r="E31" i="49"/>
  <c r="E30" i="49"/>
  <c r="E30" i="41"/>
  <c r="E31" i="41"/>
  <c r="D42" i="54"/>
  <c r="E31" i="43"/>
  <c r="E30" i="43"/>
  <c r="E30" i="47"/>
  <c r="E31" i="47"/>
  <c r="E31" i="35"/>
  <c r="E30" i="35"/>
  <c r="E30" i="45"/>
  <c r="E31" i="45"/>
  <c r="E40" i="51"/>
  <c r="E31" i="51"/>
  <c r="D42" i="51"/>
  <c r="D42" i="50"/>
  <c r="D42" i="46"/>
  <c r="D42" i="35"/>
  <c r="D42" i="56"/>
  <c r="D42" i="41"/>
  <c r="D42" i="53"/>
  <c r="D36" i="40"/>
  <c r="D42" i="49"/>
  <c r="D42" i="52"/>
  <c r="D42" i="40"/>
  <c r="D42" i="38"/>
  <c r="E40" i="44"/>
  <c r="E20" i="44"/>
  <c r="E40" i="42"/>
  <c r="E20" i="42"/>
  <c r="E40" i="38"/>
  <c r="E20" i="38"/>
  <c r="E40" i="50"/>
  <c r="E20" i="50"/>
  <c r="E40" i="45"/>
  <c r="E20" i="45"/>
  <c r="E40" i="48"/>
  <c r="E20" i="48"/>
  <c r="E40" i="53"/>
  <c r="E20" i="53"/>
  <c r="E40" i="55"/>
  <c r="E20" i="55"/>
  <c r="E40" i="49"/>
  <c r="E20" i="49"/>
  <c r="E40" i="47"/>
  <c r="E20" i="47"/>
  <c r="E40" i="54"/>
  <c r="E20" i="54"/>
  <c r="E40" i="52"/>
  <c r="E20" i="52"/>
  <c r="E40" i="41"/>
  <c r="E20" i="41"/>
  <c r="E40" i="35"/>
  <c r="E20" i="35"/>
  <c r="E40" i="43"/>
  <c r="E20" i="43"/>
  <c r="E40" i="40"/>
  <c r="E20" i="40"/>
  <c r="E57" i="46"/>
  <c r="E40" i="46"/>
  <c r="D14" i="53"/>
  <c r="E40" i="56"/>
  <c r="D26" i="48"/>
  <c r="D26" i="46"/>
  <c r="D26" i="49"/>
  <c r="D26" i="44"/>
  <c r="D26" i="43"/>
  <c r="D26" i="53"/>
  <c r="D26" i="38"/>
  <c r="D26" i="47"/>
  <c r="D26" i="56"/>
  <c r="D26" i="35"/>
  <c r="D26" i="42"/>
  <c r="D26" i="54"/>
  <c r="D26" i="50"/>
  <c r="D26" i="40"/>
  <c r="D26" i="45"/>
  <c r="D26" i="55"/>
  <c r="D26" i="52"/>
  <c r="D26" i="41"/>
  <c r="D26" i="51"/>
  <c r="D36" i="52"/>
  <c r="D58" i="50"/>
  <c r="D58" i="38"/>
  <c r="D49" i="50"/>
  <c r="D58" i="51"/>
  <c r="D49" i="53"/>
  <c r="D14" i="50"/>
  <c r="D49" i="41"/>
  <c r="D49" i="54"/>
  <c r="D49" i="46"/>
  <c r="D49" i="42"/>
  <c r="D49" i="55"/>
  <c r="D36" i="46"/>
  <c r="D14" i="51"/>
  <c r="D36" i="47"/>
  <c r="D49" i="38"/>
  <c r="E12" i="40"/>
  <c r="E56" i="40" s="1"/>
  <c r="E39" i="40"/>
  <c r="E23" i="40"/>
  <c r="E38" i="40"/>
  <c r="E35" i="40"/>
  <c r="E24" i="40"/>
  <c r="E41" i="40"/>
  <c r="E32" i="40"/>
  <c r="E28" i="40"/>
  <c r="E29" i="40"/>
  <c r="E25" i="40"/>
  <c r="E22" i="40"/>
  <c r="E57" i="40"/>
  <c r="E34" i="40"/>
  <c r="E33" i="40"/>
  <c r="F8" i="42" a="1"/>
  <c r="F8" i="42" s="1"/>
  <c r="F24" i="42" s="1"/>
  <c r="F19" i="42" a="1"/>
  <c r="F19" i="42" s="1"/>
  <c r="F9" i="42" a="1"/>
  <c r="F9" i="42" s="1"/>
  <c r="F18" i="42" a="1"/>
  <c r="F18" i="42" s="1"/>
  <c r="F9" i="40" a="1"/>
  <c r="F9" i="40" s="1"/>
  <c r="F8" i="40" a="1"/>
  <c r="F8" i="40" s="1"/>
  <c r="F18" i="40" a="1"/>
  <c r="F18" i="40" s="1"/>
  <c r="F19" i="40" a="1"/>
  <c r="F19" i="40" s="1"/>
  <c r="D36" i="44"/>
  <c r="D14" i="49"/>
  <c r="D56" i="49"/>
  <c r="D58" i="49" s="1"/>
  <c r="E24" i="49"/>
  <c r="E33" i="49"/>
  <c r="E34" i="49"/>
  <c r="E38" i="49"/>
  <c r="E41" i="49"/>
  <c r="E35" i="49"/>
  <c r="E23" i="49"/>
  <c r="E25" i="49"/>
  <c r="E57" i="49"/>
  <c r="E29" i="49"/>
  <c r="E39" i="49"/>
  <c r="E28" i="49"/>
  <c r="E12" i="49"/>
  <c r="E56" i="49" s="1"/>
  <c r="E32" i="49"/>
  <c r="E22" i="49"/>
  <c r="D14" i="40"/>
  <c r="D56" i="40"/>
  <c r="D58" i="40" s="1"/>
  <c r="E32" i="48"/>
  <c r="E41" i="48"/>
  <c r="E12" i="48"/>
  <c r="E38" i="48"/>
  <c r="E34" i="48"/>
  <c r="E23" i="48"/>
  <c r="E33" i="48"/>
  <c r="E39" i="48"/>
  <c r="E25" i="48"/>
  <c r="E35" i="48"/>
  <c r="E57" i="48"/>
  <c r="E22" i="48"/>
  <c r="F19" i="55" a="1"/>
  <c r="F19" i="55" s="1"/>
  <c r="F18" i="55" a="1"/>
  <c r="F18" i="55" s="1"/>
  <c r="F8" i="55" a="1"/>
  <c r="F8" i="55" s="1"/>
  <c r="F9" i="55" a="1"/>
  <c r="F9" i="55" s="1"/>
  <c r="F8" i="51" a="1"/>
  <c r="F8" i="51" s="1"/>
  <c r="F19" i="51" a="1"/>
  <c r="F19" i="51" s="1"/>
  <c r="F9" i="51" a="1"/>
  <c r="F9" i="51" s="1"/>
  <c r="F8" i="41" a="1"/>
  <c r="F8" i="41" s="1"/>
  <c r="F18" i="41" a="1"/>
  <c r="F18" i="41" s="1"/>
  <c r="F9" i="41" a="1"/>
  <c r="F9" i="41" s="1"/>
  <c r="F19" i="41" a="1"/>
  <c r="F19" i="41" s="1"/>
  <c r="F8" i="52" a="1"/>
  <c r="F8" i="52" s="1"/>
  <c r="F19" i="52" a="1"/>
  <c r="F19" i="52" s="1"/>
  <c r="F18" i="52" a="1"/>
  <c r="F18" i="52" s="1"/>
  <c r="F9" i="52" a="1"/>
  <c r="F9" i="52" s="1"/>
  <c r="D14" i="44"/>
  <c r="D56" i="44"/>
  <c r="D58" i="44" s="1"/>
  <c r="E34" i="50"/>
  <c r="E38" i="50"/>
  <c r="E28" i="50"/>
  <c r="E23" i="50"/>
  <c r="E29" i="50"/>
  <c r="E35" i="50"/>
  <c r="E57" i="50"/>
  <c r="E22" i="50"/>
  <c r="E39" i="50"/>
  <c r="E25" i="50"/>
  <c r="E24" i="50"/>
  <c r="E33" i="50"/>
  <c r="E32" i="50"/>
  <c r="E12" i="50"/>
  <c r="E41" i="50"/>
  <c r="E32" i="35"/>
  <c r="E38" i="35"/>
  <c r="E22" i="35"/>
  <c r="E33" i="35"/>
  <c r="E57" i="35"/>
  <c r="E23" i="35"/>
  <c r="E39" i="35"/>
  <c r="E34" i="35"/>
  <c r="E28" i="35"/>
  <c r="E25" i="35"/>
  <c r="E29" i="35"/>
  <c r="E41" i="35"/>
  <c r="E35" i="35"/>
  <c r="D36" i="50"/>
  <c r="E39" i="47"/>
  <c r="E38" i="47"/>
  <c r="E12" i="47"/>
  <c r="E56" i="47" s="1"/>
  <c r="E33" i="47"/>
  <c r="E41" i="47"/>
  <c r="E32" i="47"/>
  <c r="E34" i="47"/>
  <c r="E57" i="47"/>
  <c r="E25" i="47"/>
  <c r="E28" i="47"/>
  <c r="E35" i="47"/>
  <c r="E23" i="47"/>
  <c r="E22" i="47"/>
  <c r="D14" i="47"/>
  <c r="D56" i="47"/>
  <c r="D58" i="47" s="1"/>
  <c r="D49" i="47"/>
  <c r="G7" i="52"/>
  <c r="G55" i="42"/>
  <c r="G55" i="56"/>
  <c r="G7" i="49"/>
  <c r="G7" i="46"/>
  <c r="G7" i="35"/>
  <c r="AA45" i="30"/>
  <c r="G55" i="45"/>
  <c r="G55" i="53"/>
  <c r="G7" i="42"/>
  <c r="G7" i="50"/>
  <c r="G55" i="38"/>
  <c r="G55" i="55"/>
  <c r="G55" i="47"/>
  <c r="G55" i="40"/>
  <c r="G7" i="38"/>
  <c r="G7" i="43"/>
  <c r="G55" i="54"/>
  <c r="G55" i="52"/>
  <c r="G55" i="44"/>
  <c r="G7" i="56"/>
  <c r="G55" i="39"/>
  <c r="G7" i="54"/>
  <c r="G7" i="44"/>
  <c r="G7" i="51"/>
  <c r="G7" i="39"/>
  <c r="G7" i="40"/>
  <c r="G7" i="41"/>
  <c r="G55" i="35"/>
  <c r="G55" i="43"/>
  <c r="G7" i="53"/>
  <c r="G55" i="51"/>
  <c r="G7" i="55"/>
  <c r="G55" i="49"/>
  <c r="G55" i="48"/>
  <c r="G7" i="48"/>
  <c r="G7" i="45"/>
  <c r="G7" i="47"/>
  <c r="G55" i="41"/>
  <c r="G55" i="50"/>
  <c r="G55" i="46"/>
  <c r="E28" i="54"/>
  <c r="E32" i="54"/>
  <c r="E22" i="54"/>
  <c r="E23" i="54"/>
  <c r="E29" i="54"/>
  <c r="E24" i="54"/>
  <c r="E12" i="54"/>
  <c r="E33" i="54"/>
  <c r="E41" i="54"/>
  <c r="E57" i="54"/>
  <c r="E35" i="54"/>
  <c r="E39" i="54"/>
  <c r="E34" i="54"/>
  <c r="E38" i="54"/>
  <c r="E25" i="54"/>
  <c r="D36" i="38"/>
  <c r="F9" i="38" a="1"/>
  <c r="F9" i="38" s="1"/>
  <c r="F8" i="38" a="1"/>
  <c r="F8" i="38" s="1"/>
  <c r="F18" i="38" a="1"/>
  <c r="F18" i="38" s="1"/>
  <c r="F19" i="38" a="1"/>
  <c r="F19" i="38" s="1"/>
  <c r="F8" i="43" a="1"/>
  <c r="F8" i="43" s="1"/>
  <c r="F19" i="43" a="1"/>
  <c r="F19" i="43" s="1"/>
  <c r="F18" i="43" a="1"/>
  <c r="F18" i="43" s="1"/>
  <c r="F9" i="43" a="1"/>
  <c r="F9" i="43" s="1"/>
  <c r="F18" i="47" a="1"/>
  <c r="F18" i="47" s="1"/>
  <c r="F8" i="47" a="1"/>
  <c r="F8" i="47" s="1"/>
  <c r="F9" i="47" a="1"/>
  <c r="F9" i="47" s="1"/>
  <c r="D49" i="44"/>
  <c r="E24" i="53"/>
  <c r="E22" i="53"/>
  <c r="E32" i="53"/>
  <c r="E25" i="53"/>
  <c r="E33" i="53"/>
  <c r="E34" i="53"/>
  <c r="E41" i="53"/>
  <c r="E28" i="53"/>
  <c r="E23" i="53"/>
  <c r="E12" i="53"/>
  <c r="E35" i="53"/>
  <c r="E39" i="53"/>
  <c r="E38" i="53"/>
  <c r="E29" i="53"/>
  <c r="E57" i="53"/>
  <c r="D36" i="41"/>
  <c r="D36" i="56"/>
  <c r="D36" i="43"/>
  <c r="D56" i="35"/>
  <c r="D58" i="35" s="1"/>
  <c r="F9" i="56" a="1"/>
  <c r="F9" i="56" s="1"/>
  <c r="F8" i="56" a="1"/>
  <c r="F8" i="56" s="1"/>
  <c r="F18" i="56" a="1"/>
  <c r="F18" i="56" s="1"/>
  <c r="F19" i="56" a="1"/>
  <c r="F19" i="56" s="1"/>
  <c r="F18" i="44" a="1"/>
  <c r="F18" i="44" s="1"/>
  <c r="F19" i="44" a="1"/>
  <c r="F19" i="44" s="1"/>
  <c r="F9" i="44" a="1"/>
  <c r="F9" i="44" s="1"/>
  <c r="F8" i="44" a="1"/>
  <c r="F8" i="44" s="1"/>
  <c r="D36" i="48"/>
  <c r="D49" i="48"/>
  <c r="D36" i="53"/>
  <c r="D49" i="56"/>
  <c r="D49" i="40"/>
  <c r="E32" i="56"/>
  <c r="E41" i="56"/>
  <c r="E28" i="56"/>
  <c r="E33" i="56"/>
  <c r="E38" i="56"/>
  <c r="E35" i="56"/>
  <c r="E24" i="56"/>
  <c r="E25" i="56"/>
  <c r="E29" i="56"/>
  <c r="E34" i="56"/>
  <c r="E39" i="56"/>
  <c r="E22" i="56"/>
  <c r="E12" i="56"/>
  <c r="E57" i="56"/>
  <c r="E23" i="56"/>
  <c r="F8" i="35" a="1"/>
  <c r="F8" i="35" s="1"/>
  <c r="F19" i="35" a="1"/>
  <c r="F19" i="35" s="1"/>
  <c r="F18" i="35" a="1"/>
  <c r="F18" i="35" s="1"/>
  <c r="F9" i="35" a="1"/>
  <c r="F9" i="35" s="1"/>
  <c r="F18" i="54" a="1"/>
  <c r="F18" i="54" s="1"/>
  <c r="F19" i="54" a="1"/>
  <c r="F19" i="54" s="1"/>
  <c r="F9" i="54" a="1"/>
  <c r="F9" i="54" s="1"/>
  <c r="F8" i="54" a="1"/>
  <c r="F8" i="54" s="1"/>
  <c r="F18" i="53" a="1"/>
  <c r="F18" i="53" s="1"/>
  <c r="F9" i="53" a="1"/>
  <c r="F9" i="53" s="1"/>
  <c r="F19" i="53" a="1"/>
  <c r="F19" i="53" s="1"/>
  <c r="F8" i="53" a="1"/>
  <c r="F8" i="53" s="1"/>
  <c r="E25" i="51"/>
  <c r="E41" i="51"/>
  <c r="E28" i="51"/>
  <c r="E34" i="51"/>
  <c r="E39" i="51"/>
  <c r="E57" i="51"/>
  <c r="E23" i="51"/>
  <c r="E32" i="51"/>
  <c r="E38" i="51"/>
  <c r="E33" i="51"/>
  <c r="E22" i="51"/>
  <c r="E24" i="51"/>
  <c r="E29" i="51"/>
  <c r="E35" i="51"/>
  <c r="E12" i="51"/>
  <c r="E56" i="51" s="1"/>
  <c r="D56" i="45"/>
  <c r="D58" i="45" s="1"/>
  <c r="D14" i="45"/>
  <c r="D49" i="43"/>
  <c r="D56" i="46"/>
  <c r="D58" i="46" s="1"/>
  <c r="D14" i="46"/>
  <c r="D14" i="38"/>
  <c r="N47" i="30"/>
  <c r="O46" i="30"/>
  <c r="D36" i="51"/>
  <c r="F18" i="49" a="1"/>
  <c r="F18" i="49" s="1"/>
  <c r="F9" i="49" a="1"/>
  <c r="F9" i="49" s="1"/>
  <c r="F8" i="49" a="1"/>
  <c r="F8" i="49" s="1"/>
  <c r="F19" i="49" a="1"/>
  <c r="F19" i="49" s="1"/>
  <c r="F19" i="46" a="1"/>
  <c r="F19" i="46" s="1"/>
  <c r="F9" i="46" a="1"/>
  <c r="F9" i="46" s="1"/>
  <c r="F8" i="46" a="1"/>
  <c r="F8" i="46" s="1"/>
  <c r="F18" i="46" a="1"/>
  <c r="F18" i="46" s="1"/>
  <c r="F9" i="48" a="1"/>
  <c r="F9" i="48" s="1"/>
  <c r="F8" i="48" a="1"/>
  <c r="F8" i="48" s="1"/>
  <c r="E39" i="45"/>
  <c r="E34" i="45"/>
  <c r="E24" i="45"/>
  <c r="E29" i="45"/>
  <c r="E33" i="45"/>
  <c r="E22" i="45"/>
  <c r="E28" i="45"/>
  <c r="E38" i="45"/>
  <c r="E25" i="45"/>
  <c r="E41" i="45"/>
  <c r="E23" i="45"/>
  <c r="E32" i="45"/>
  <c r="E35" i="45"/>
  <c r="E12" i="45"/>
  <c r="E56" i="45" s="1"/>
  <c r="D36" i="49"/>
  <c r="E23" i="46"/>
  <c r="E35" i="46"/>
  <c r="E39" i="46"/>
  <c r="E32" i="46"/>
  <c r="E12" i="46"/>
  <c r="E25" i="46"/>
  <c r="E38" i="46"/>
  <c r="E33" i="46"/>
  <c r="E28" i="46"/>
  <c r="E34" i="46"/>
  <c r="E22" i="46"/>
  <c r="E41" i="46"/>
  <c r="E34" i="41"/>
  <c r="E38" i="41"/>
  <c r="E57" i="41"/>
  <c r="E35" i="41"/>
  <c r="E23" i="41"/>
  <c r="E32" i="41"/>
  <c r="E28" i="41"/>
  <c r="E39" i="41"/>
  <c r="E41" i="41"/>
  <c r="E12" i="41"/>
  <c r="E22" i="41"/>
  <c r="E33" i="41"/>
  <c r="E25" i="41"/>
  <c r="E29" i="41"/>
  <c r="D14" i="55"/>
  <c r="D56" i="55"/>
  <c r="D58" i="55" s="1"/>
  <c r="D49" i="51"/>
  <c r="F9" i="45" a="1"/>
  <c r="F9" i="45" s="1"/>
  <c r="F8" i="45" a="1"/>
  <c r="F8" i="45" s="1"/>
  <c r="F18" i="45" a="1"/>
  <c r="F18" i="45" s="1"/>
  <c r="F19" i="45" a="1"/>
  <c r="F19" i="45" s="1"/>
  <c r="E25" i="55"/>
  <c r="E39" i="55"/>
  <c r="E24" i="55"/>
  <c r="E12" i="55"/>
  <c r="E35" i="55"/>
  <c r="E29" i="55"/>
  <c r="E34" i="55"/>
  <c r="E41" i="55"/>
  <c r="E23" i="55"/>
  <c r="E38" i="55"/>
  <c r="E57" i="55"/>
  <c r="E33" i="55"/>
  <c r="E22" i="55"/>
  <c r="E28" i="55"/>
  <c r="E32" i="55"/>
  <c r="D14" i="56"/>
  <c r="D56" i="56"/>
  <c r="D58" i="56" s="1"/>
  <c r="D49" i="52"/>
  <c r="E33" i="43"/>
  <c r="E57" i="43"/>
  <c r="E25" i="43"/>
  <c r="E22" i="43"/>
  <c r="E29" i="43"/>
  <c r="E35" i="43"/>
  <c r="E12" i="43"/>
  <c r="E32" i="43"/>
  <c r="E39" i="43"/>
  <c r="E34" i="43"/>
  <c r="E23" i="43"/>
  <c r="E28" i="43"/>
  <c r="E38" i="43"/>
  <c r="E41" i="43"/>
  <c r="E24" i="43"/>
  <c r="D49" i="45"/>
  <c r="D36" i="35"/>
  <c r="E33" i="42"/>
  <c r="E34" i="42"/>
  <c r="E38" i="42"/>
  <c r="E41" i="42"/>
  <c r="E25" i="42"/>
  <c r="E22" i="42"/>
  <c r="E32" i="42"/>
  <c r="E35" i="42"/>
  <c r="E23" i="42"/>
  <c r="E39" i="42"/>
  <c r="E29" i="42"/>
  <c r="E28" i="42"/>
  <c r="E57" i="42"/>
  <c r="E25" i="38"/>
  <c r="E22" i="38"/>
  <c r="E32" i="38"/>
  <c r="E38" i="38"/>
  <c r="E12" i="38"/>
  <c r="E41" i="38"/>
  <c r="E34" i="38"/>
  <c r="E57" i="38"/>
  <c r="E35" i="38"/>
  <c r="E24" i="38"/>
  <c r="E23" i="38"/>
  <c r="E28" i="38"/>
  <c r="E33" i="38"/>
  <c r="E39" i="38"/>
  <c r="E29" i="38"/>
  <c r="D36" i="54"/>
  <c r="D14" i="54"/>
  <c r="D56" i="54"/>
  <c r="D58" i="54" s="1"/>
  <c r="F9" i="50" a="1"/>
  <c r="F9" i="50" s="1"/>
  <c r="F18" i="50" a="1"/>
  <c r="F18" i="50" s="1"/>
  <c r="F19" i="50" a="1"/>
  <c r="F19" i="50" s="1"/>
  <c r="F8" i="50" a="1"/>
  <c r="F8" i="50" s="1"/>
  <c r="D14" i="48"/>
  <c r="D56" i="48"/>
  <c r="D58" i="48" s="1"/>
  <c r="D36" i="45"/>
  <c r="D49" i="35"/>
  <c r="E57" i="44"/>
  <c r="E32" i="44"/>
  <c r="E28" i="44"/>
  <c r="E29" i="44"/>
  <c r="E25" i="44"/>
  <c r="E33" i="44"/>
  <c r="E38" i="44"/>
  <c r="E34" i="44"/>
  <c r="E22" i="44"/>
  <c r="E24" i="44"/>
  <c r="E23" i="44"/>
  <c r="E35" i="44"/>
  <c r="E41" i="44"/>
  <c r="E39" i="44"/>
  <c r="D14" i="41"/>
  <c r="D58" i="41"/>
  <c r="E38" i="52"/>
  <c r="E25" i="52"/>
  <c r="E35" i="52"/>
  <c r="E12" i="52"/>
  <c r="E32" i="52"/>
  <c r="E22" i="52"/>
  <c r="E24" i="52"/>
  <c r="E57" i="52"/>
  <c r="E23" i="52"/>
  <c r="E41" i="52"/>
  <c r="E28" i="52"/>
  <c r="E34" i="52"/>
  <c r="E39" i="52"/>
  <c r="E29" i="52"/>
  <c r="E33" i="52"/>
  <c r="D49" i="49"/>
  <c r="D14" i="52"/>
  <c r="D56" i="52"/>
  <c r="D58" i="52" s="1"/>
  <c r="D14" i="43"/>
  <c r="D56" i="43"/>
  <c r="D58" i="43" s="1"/>
  <c r="D36" i="55"/>
  <c r="D36" i="42"/>
  <c r="C220" i="63" a="1"/>
  <c r="C16" i="63" a="1"/>
  <c r="G207" i="63" a="1"/>
  <c r="F75" i="63" a="1"/>
  <c r="F39" i="63" a="1"/>
  <c r="D220" i="63" a="1"/>
  <c r="D40" i="63" a="1"/>
  <c r="E88" i="63" a="1"/>
  <c r="E124" i="63" a="1"/>
  <c r="G51" i="63" a="1"/>
  <c r="C100" i="63" a="1"/>
  <c r="E64" i="63" a="1"/>
  <c r="E76" i="63" a="1"/>
  <c r="D100" i="63" a="1"/>
  <c r="G183" i="63" a="1"/>
  <c r="F207" i="63" a="1"/>
  <c r="E184" i="63" a="1"/>
  <c r="G87" i="63" a="1"/>
  <c r="F87" i="63" a="1"/>
  <c r="D76" i="63" a="1"/>
  <c r="E52" i="63" a="1"/>
  <c r="G27" i="63" a="1"/>
  <c r="C196" i="63" a="1"/>
  <c r="E148" i="63" a="1"/>
  <c r="C28" i="63" a="1"/>
  <c r="F111" i="63" a="1"/>
  <c r="D135" i="63" a="1"/>
  <c r="F123" i="63" a="1"/>
  <c r="F3" i="63" a="1"/>
  <c r="F159" i="63" a="1"/>
  <c r="G75" i="63" a="1"/>
  <c r="C208" i="63" a="1"/>
  <c r="C160" i="63" a="1"/>
  <c r="C184" i="63" a="1"/>
  <c r="C172" i="63" a="1"/>
  <c r="D4" i="63" a="1"/>
  <c r="F219" i="63" a="1"/>
  <c r="G99" i="63" a="1"/>
  <c r="D88" i="63" a="1"/>
  <c r="D64" i="63" a="1"/>
  <c r="C40" i="63" a="1"/>
  <c r="E112" i="63" a="1"/>
  <c r="C76" i="63" a="1"/>
  <c r="F183" i="63" a="1"/>
  <c r="G147" i="63" a="1"/>
  <c r="D184" i="63" a="1"/>
  <c r="G3" i="63" a="1"/>
  <c r="E100" i="63" a="1"/>
  <c r="E136" i="63" a="1"/>
  <c r="E160" i="63" a="1"/>
  <c r="C136" i="63" a="1"/>
  <c r="E16" i="63" a="1"/>
  <c r="E28" i="63" a="1"/>
  <c r="F171" i="63" a="1"/>
  <c r="D52" i="63" a="1"/>
  <c r="D160" i="63" a="1"/>
  <c r="F63" i="63" a="1"/>
  <c r="G219" i="63" a="1"/>
  <c r="E220" i="63" a="1"/>
  <c r="C52" i="63" a="1"/>
  <c r="G63" i="63" a="1"/>
  <c r="D196" i="63" a="1"/>
  <c r="D112" i="63" a="1"/>
  <c r="F147" i="63" a="1"/>
  <c r="D28" i="63" a="1"/>
  <c r="E196" i="63" a="1"/>
  <c r="F195" i="63" a="1"/>
  <c r="F99" i="63" a="1"/>
  <c r="G171" i="63" a="1"/>
  <c r="E40" i="63" a="1"/>
  <c r="D148" i="63" a="1"/>
  <c r="E4" i="63" a="1"/>
  <c r="F15" i="63" a="1"/>
  <c r="D172" i="63" a="1"/>
  <c r="G39" i="63" a="1"/>
  <c r="C148" i="63" a="1"/>
  <c r="F51" i="63" a="1"/>
  <c r="G123" i="63" a="1"/>
  <c r="C112" i="63" a="1"/>
  <c r="D124" i="63" a="1"/>
  <c r="G159" i="63" a="1"/>
  <c r="G111" i="63" a="1"/>
  <c r="G135" i="63" a="1"/>
  <c r="F135" i="63" a="1"/>
  <c r="G195" i="63" a="1"/>
  <c r="C88" i="63" a="1"/>
  <c r="E208" i="63" a="1"/>
  <c r="D16" i="63" a="1"/>
  <c r="F27" i="63" a="1"/>
  <c r="D208" i="63" a="1"/>
  <c r="G15" i="63" a="1"/>
  <c r="C124" i="63" a="1"/>
  <c r="C64" i="63" a="1"/>
  <c r="C4" i="63" a="1"/>
  <c r="E172" i="63" a="1"/>
  <c r="F28" i="48" l="1"/>
  <c r="F29" i="48"/>
  <c r="F207" i="63"/>
  <c r="F27" i="63"/>
  <c r="F75" i="63"/>
  <c r="F123" i="63"/>
  <c r="F51" i="63"/>
  <c r="F171" i="63"/>
  <c r="F195" i="63"/>
  <c r="F63" i="63"/>
  <c r="F219" i="63"/>
  <c r="F99" i="63"/>
  <c r="F3" i="63"/>
  <c r="F15" i="63"/>
  <c r="F111" i="63"/>
  <c r="F39" i="63"/>
  <c r="F87" i="63"/>
  <c r="F183" i="63"/>
  <c r="F159" i="63"/>
  <c r="F135" i="63"/>
  <c r="F147" i="63"/>
  <c r="G39" i="63"/>
  <c r="E4" i="63"/>
  <c r="E64" i="63"/>
  <c r="G171" i="63"/>
  <c r="C52" i="63"/>
  <c r="G147" i="63"/>
  <c r="C160" i="63"/>
  <c r="C16" i="63"/>
  <c r="D112" i="63"/>
  <c r="G99" i="63"/>
  <c r="D148" i="63"/>
  <c r="G219" i="63"/>
  <c r="G195" i="63"/>
  <c r="G75" i="63"/>
  <c r="E88" i="63"/>
  <c r="D172" i="63"/>
  <c r="C4" i="63"/>
  <c r="D64" i="63"/>
  <c r="E220" i="63"/>
  <c r="E28" i="63"/>
  <c r="C196" i="63"/>
  <c r="E112" i="63"/>
  <c r="G27" i="63"/>
  <c r="C184" i="63"/>
  <c r="G207" i="63"/>
  <c r="E208" i="63"/>
  <c r="D220" i="63"/>
  <c r="D196" i="63"/>
  <c r="G123" i="63"/>
  <c r="D40" i="63"/>
  <c r="D135" i="63"/>
  <c r="G87" i="63"/>
  <c r="E124" i="63"/>
  <c r="C124" i="63"/>
  <c r="D208" i="63"/>
  <c r="C100" i="63"/>
  <c r="C220" i="63"/>
  <c r="D28" i="63"/>
  <c r="E196" i="63"/>
  <c r="E100" i="63"/>
  <c r="E148" i="63"/>
  <c r="G63" i="63"/>
  <c r="G159" i="63"/>
  <c r="G135" i="63"/>
  <c r="G51" i="63"/>
  <c r="E76" i="63"/>
  <c r="C112" i="63"/>
  <c r="E184" i="63"/>
  <c r="C208" i="63"/>
  <c r="D100" i="63"/>
  <c r="C28" i="63"/>
  <c r="E40" i="63"/>
  <c r="G3" i="63"/>
  <c r="D76" i="63"/>
  <c r="D124" i="63"/>
  <c r="D184" i="63"/>
  <c r="C40" i="63"/>
  <c r="C76" i="63"/>
  <c r="D88" i="63"/>
  <c r="C172" i="63"/>
  <c r="C64" i="63"/>
  <c r="D52" i="63"/>
  <c r="D160" i="63"/>
  <c r="E136" i="63"/>
  <c r="E16" i="63"/>
  <c r="C148" i="63"/>
  <c r="C88" i="63"/>
  <c r="E172" i="63"/>
  <c r="D4" i="63"/>
  <c r="E52" i="63"/>
  <c r="G183" i="63"/>
  <c r="E160" i="63"/>
  <c r="C136" i="63"/>
  <c r="D16" i="63"/>
  <c r="G15" i="63"/>
  <c r="G111" i="63"/>
  <c r="G19" i="47" a="1"/>
  <c r="G19" i="47" s="1"/>
  <c r="F24" i="47"/>
  <c r="F45" i="38"/>
  <c r="F24" i="46"/>
  <c r="F44" i="50"/>
  <c r="F46" i="50"/>
  <c r="F45" i="50"/>
  <c r="F48" i="50"/>
  <c r="F46" i="53"/>
  <c r="F45" i="53"/>
  <c r="F44" i="53"/>
  <c r="F46" i="44"/>
  <c r="F45" i="44"/>
  <c r="F48" i="44"/>
  <c r="F44" i="44"/>
  <c r="F48" i="42"/>
  <c r="F45" i="42"/>
  <c r="F44" i="42"/>
  <c r="F29" i="46"/>
  <c r="F48" i="46"/>
  <c r="F46" i="46"/>
  <c r="F45" i="46"/>
  <c r="F44" i="46"/>
  <c r="F44" i="43"/>
  <c r="F48" i="43"/>
  <c r="F46" i="43"/>
  <c r="F45" i="43"/>
  <c r="F48" i="51"/>
  <c r="F46" i="51"/>
  <c r="F44" i="51"/>
  <c r="F45" i="51"/>
  <c r="F45" i="45"/>
  <c r="F44" i="45"/>
  <c r="F46" i="45"/>
  <c r="F48" i="45"/>
  <c r="F46" i="41"/>
  <c r="F48" i="41"/>
  <c r="F45" i="41"/>
  <c r="F44" i="41"/>
  <c r="F46" i="35"/>
  <c r="F48" i="35"/>
  <c r="F45" i="35"/>
  <c r="F44" i="35"/>
  <c r="F45" i="52"/>
  <c r="F44" i="52"/>
  <c r="F46" i="52"/>
  <c r="F48" i="52"/>
  <c r="F46" i="40"/>
  <c r="F48" i="40"/>
  <c r="F44" i="40"/>
  <c r="F45" i="40"/>
  <c r="F48" i="54"/>
  <c r="F46" i="54"/>
  <c r="F45" i="54"/>
  <c r="F44" i="54"/>
  <c r="F45" i="55"/>
  <c r="F48" i="55"/>
  <c r="F46" i="55"/>
  <c r="F44" i="55"/>
  <c r="F48" i="49"/>
  <c r="F45" i="49"/>
  <c r="F46" i="49"/>
  <c r="F44" i="49"/>
  <c r="F29" i="47"/>
  <c r="F45" i="47"/>
  <c r="F48" i="47"/>
  <c r="F46" i="47"/>
  <c r="F44" i="47"/>
  <c r="F46" i="48"/>
  <c r="F44" i="48"/>
  <c r="F48" i="48"/>
  <c r="F45" i="48"/>
  <c r="F45" i="56"/>
  <c r="F44" i="56"/>
  <c r="F48" i="56"/>
  <c r="F30" i="51"/>
  <c r="F20" i="51"/>
  <c r="F18" i="51" s="1" a="1"/>
  <c r="F18" i="51" s="1"/>
  <c r="F47" i="46"/>
  <c r="F47" i="41"/>
  <c r="F47" i="35"/>
  <c r="F47" i="43"/>
  <c r="F47" i="42"/>
  <c r="F47" i="50"/>
  <c r="F47" i="45"/>
  <c r="F47" i="54"/>
  <c r="F47" i="49"/>
  <c r="F47" i="47"/>
  <c r="F47" i="51"/>
  <c r="F24" i="48"/>
  <c r="F47" i="48"/>
  <c r="F47" i="56"/>
  <c r="F46" i="56"/>
  <c r="F48" i="38"/>
  <c r="F47" i="38"/>
  <c r="F46" i="38"/>
  <c r="F44" i="38"/>
  <c r="F47" i="52"/>
  <c r="F47" i="40"/>
  <c r="F47" i="55"/>
  <c r="F47" i="53"/>
  <c r="F47" i="44"/>
  <c r="G19" i="48" a="1"/>
  <c r="G19" i="48" s="1"/>
  <c r="G18" i="48" a="1"/>
  <c r="G18" i="48" s="1"/>
  <c r="G9" i="48" a="1"/>
  <c r="G9" i="48" s="1"/>
  <c r="G8" i="48" a="1"/>
  <c r="G8" i="48" s="1"/>
  <c r="F31" i="48"/>
  <c r="F30" i="50"/>
  <c r="F31" i="50"/>
  <c r="F30" i="49"/>
  <c r="F31" i="49"/>
  <c r="F30" i="38"/>
  <c r="F31" i="38"/>
  <c r="F31" i="40"/>
  <c r="F30" i="40"/>
  <c r="F30" i="48"/>
  <c r="F31" i="52"/>
  <c r="F30" i="52"/>
  <c r="F30" i="53"/>
  <c r="F31" i="53"/>
  <c r="F31" i="55"/>
  <c r="F30" i="55"/>
  <c r="F30" i="45"/>
  <c r="F31" i="45"/>
  <c r="F30" i="35"/>
  <c r="F31" i="35"/>
  <c r="F20" i="56"/>
  <c r="F30" i="56"/>
  <c r="F31" i="56"/>
  <c r="F31" i="43"/>
  <c r="F30" i="43"/>
  <c r="F30" i="41"/>
  <c r="F31" i="41"/>
  <c r="F31" i="42"/>
  <c r="F30" i="42"/>
  <c r="F31" i="46"/>
  <c r="F30" i="46"/>
  <c r="F30" i="54"/>
  <c r="F31" i="54"/>
  <c r="F20" i="44"/>
  <c r="F31" i="44"/>
  <c r="F30" i="44"/>
  <c r="F30" i="47"/>
  <c r="F31" i="47"/>
  <c r="F40" i="51"/>
  <c r="F31" i="51"/>
  <c r="F40" i="50"/>
  <c r="F20" i="50"/>
  <c r="F40" i="35"/>
  <c r="F20" i="35"/>
  <c r="F40" i="54"/>
  <c r="F20" i="54"/>
  <c r="F40" i="55"/>
  <c r="F20" i="55"/>
  <c r="F40" i="43"/>
  <c r="F20" i="43"/>
  <c r="F40" i="49"/>
  <c r="F20" i="49"/>
  <c r="F40" i="41"/>
  <c r="F20" i="41"/>
  <c r="F40" i="42"/>
  <c r="F20" i="42"/>
  <c r="F40" i="45"/>
  <c r="F20" i="45"/>
  <c r="F40" i="48"/>
  <c r="F20" i="48"/>
  <c r="F40" i="47"/>
  <c r="F20" i="47"/>
  <c r="F40" i="53"/>
  <c r="F20" i="53"/>
  <c r="F40" i="38"/>
  <c r="F20" i="38"/>
  <c r="F40" i="40"/>
  <c r="F20" i="40"/>
  <c r="F40" i="46"/>
  <c r="F20" i="46"/>
  <c r="F40" i="52"/>
  <c r="F20" i="52"/>
  <c r="F40" i="56"/>
  <c r="F40" i="44"/>
  <c r="F57" i="46"/>
  <c r="E26" i="43"/>
  <c r="E26" i="55"/>
  <c r="E14" i="49"/>
  <c r="E26" i="49"/>
  <c r="E26" i="56"/>
  <c r="E26" i="53"/>
  <c r="E26" i="48"/>
  <c r="E26" i="45"/>
  <c r="E26" i="44"/>
  <c r="E26" i="41"/>
  <c r="E26" i="38"/>
  <c r="E26" i="42"/>
  <c r="E58" i="49"/>
  <c r="E26" i="52"/>
  <c r="E26" i="54"/>
  <c r="E26" i="47"/>
  <c r="E26" i="35"/>
  <c r="E26" i="50"/>
  <c r="E26" i="46"/>
  <c r="E26" i="40"/>
  <c r="E26" i="51"/>
  <c r="E42" i="38"/>
  <c r="E42" i="55"/>
  <c r="E14" i="47"/>
  <c r="E14" i="40"/>
  <c r="E58" i="47"/>
  <c r="E49" i="41"/>
  <c r="E49" i="42"/>
  <c r="E49" i="49"/>
  <c r="E49" i="48"/>
  <c r="E42" i="49"/>
  <c r="E58" i="40"/>
  <c r="E42" i="46"/>
  <c r="E42" i="54"/>
  <c r="E36" i="48"/>
  <c r="E49" i="50"/>
  <c r="E58" i="45"/>
  <c r="E42" i="50"/>
  <c r="E49" i="52"/>
  <c r="E36" i="47"/>
  <c r="E49" i="47"/>
  <c r="E36" i="40"/>
  <c r="E14" i="51"/>
  <c r="E42" i="53"/>
  <c r="E49" i="53"/>
  <c r="E42" i="48"/>
  <c r="E42" i="44"/>
  <c r="E36" i="38"/>
  <c r="F38" i="35"/>
  <c r="F29" i="35"/>
  <c r="F32" i="35"/>
  <c r="F33" i="35"/>
  <c r="F22" i="35"/>
  <c r="F28" i="35"/>
  <c r="F25" i="35"/>
  <c r="F35" i="35"/>
  <c r="F41" i="35"/>
  <c r="F13" i="35"/>
  <c r="F34" i="35"/>
  <c r="F12" i="35"/>
  <c r="F39" i="35"/>
  <c r="F57" i="35"/>
  <c r="F23" i="35"/>
  <c r="F24" i="35"/>
  <c r="F22" i="44"/>
  <c r="F24" i="44"/>
  <c r="F57" i="44"/>
  <c r="F23" i="44"/>
  <c r="F32" i="44"/>
  <c r="F33" i="44"/>
  <c r="F38" i="44"/>
  <c r="F34" i="44"/>
  <c r="F12" i="44"/>
  <c r="F56" i="44" s="1"/>
  <c r="F35" i="44"/>
  <c r="F28" i="44"/>
  <c r="F25" i="44"/>
  <c r="F41" i="44"/>
  <c r="F39" i="44"/>
  <c r="F29" i="44"/>
  <c r="F13" i="44"/>
  <c r="E36" i="42"/>
  <c r="F33" i="45"/>
  <c r="F39" i="45"/>
  <c r="F12" i="45"/>
  <c r="F56" i="45" s="1"/>
  <c r="F24" i="45"/>
  <c r="F23" i="45"/>
  <c r="F28" i="45"/>
  <c r="F22" i="45"/>
  <c r="F25" i="45"/>
  <c r="F34" i="45"/>
  <c r="F32" i="45"/>
  <c r="F41" i="45"/>
  <c r="F35" i="45"/>
  <c r="F29" i="45"/>
  <c r="F38" i="45"/>
  <c r="F13" i="45"/>
  <c r="E56" i="41"/>
  <c r="E58" i="41" s="1"/>
  <c r="E14" i="41"/>
  <c r="E56" i="52"/>
  <c r="E58" i="52" s="1"/>
  <c r="E14" i="52"/>
  <c r="E56" i="44"/>
  <c r="E14" i="44"/>
  <c r="F41" i="50"/>
  <c r="F12" i="50"/>
  <c r="F56" i="50" s="1"/>
  <c r="F33" i="50"/>
  <c r="F25" i="50"/>
  <c r="F57" i="50"/>
  <c r="F34" i="50"/>
  <c r="F39" i="50"/>
  <c r="F24" i="50"/>
  <c r="F29" i="50"/>
  <c r="F23" i="50"/>
  <c r="F13" i="50"/>
  <c r="F28" i="50"/>
  <c r="F35" i="50"/>
  <c r="F32" i="50"/>
  <c r="F22" i="50"/>
  <c r="F38" i="50"/>
  <c r="E56" i="53"/>
  <c r="E58" i="53" s="1"/>
  <c r="E14" i="53"/>
  <c r="N48" i="30"/>
  <c r="O47" i="30"/>
  <c r="E36" i="43"/>
  <c r="E49" i="55"/>
  <c r="E36" i="45"/>
  <c r="F25" i="43"/>
  <c r="F57" i="43"/>
  <c r="F38" i="43"/>
  <c r="F23" i="43"/>
  <c r="F34" i="43"/>
  <c r="F29" i="43"/>
  <c r="F13" i="43"/>
  <c r="F12" i="43"/>
  <c r="F56" i="43" s="1"/>
  <c r="F35" i="43"/>
  <c r="F24" i="43"/>
  <c r="F22" i="43"/>
  <c r="F41" i="43"/>
  <c r="F28" i="43"/>
  <c r="F39" i="43"/>
  <c r="F32" i="43"/>
  <c r="F33" i="43"/>
  <c r="G8" i="53" a="1"/>
  <c r="G8" i="53" s="1"/>
  <c r="G9" i="53" a="1"/>
  <c r="G9" i="53" s="1"/>
  <c r="G19" i="53" a="1"/>
  <c r="G19" i="53" s="1"/>
  <c r="G18" i="53" a="1"/>
  <c r="G18" i="53" s="1"/>
  <c r="G19" i="54" a="1"/>
  <c r="G19" i="54" s="1"/>
  <c r="G9" i="54" a="1"/>
  <c r="G9" i="54" s="1"/>
  <c r="G18" i="54" a="1"/>
  <c r="G18" i="54" s="1"/>
  <c r="G8" i="54" a="1"/>
  <c r="G8" i="54" s="1"/>
  <c r="E42" i="35"/>
  <c r="E36" i="44"/>
  <c r="E36" i="55"/>
  <c r="E56" i="55"/>
  <c r="E58" i="55" s="1"/>
  <c r="E14" i="55"/>
  <c r="E49" i="45"/>
  <c r="E58" i="51"/>
  <c r="E42" i="51"/>
  <c r="E36" i="51"/>
  <c r="F22" i="54"/>
  <c r="F32" i="54"/>
  <c r="F23" i="54"/>
  <c r="F25" i="54"/>
  <c r="F57" i="54"/>
  <c r="F33" i="54"/>
  <c r="F38" i="54"/>
  <c r="F24" i="54"/>
  <c r="F34" i="54"/>
  <c r="F12" i="54"/>
  <c r="F13" i="54"/>
  <c r="F28" i="54"/>
  <c r="F41" i="54"/>
  <c r="F39" i="54"/>
  <c r="F35" i="54"/>
  <c r="F29" i="54"/>
  <c r="E49" i="54"/>
  <c r="G9" i="47" a="1"/>
  <c r="G9" i="47" s="1"/>
  <c r="G8" i="47" a="1"/>
  <c r="G8" i="47" s="1"/>
  <c r="G18" i="47" a="1"/>
  <c r="G18" i="47" s="1"/>
  <c r="G8" i="35" a="1"/>
  <c r="G8" i="35" s="1"/>
  <c r="G18" i="35" a="1"/>
  <c r="G18" i="35" s="1"/>
  <c r="G9" i="35" a="1"/>
  <c r="G9" i="35" s="1"/>
  <c r="G19" i="35" a="1"/>
  <c r="G19" i="35" s="1"/>
  <c r="F39" i="51"/>
  <c r="F29" i="51"/>
  <c r="F13" i="51"/>
  <c r="F24" i="51"/>
  <c r="F57" i="51"/>
  <c r="F22" i="51"/>
  <c r="F41" i="51"/>
  <c r="F38" i="51"/>
  <c r="F23" i="51"/>
  <c r="F34" i="51"/>
  <c r="F12" i="51"/>
  <c r="F25" i="51"/>
  <c r="F33" i="51"/>
  <c r="F32" i="51"/>
  <c r="F28" i="51"/>
  <c r="F35" i="51"/>
  <c r="F13" i="42"/>
  <c r="F39" i="42"/>
  <c r="F28" i="42"/>
  <c r="F33" i="42"/>
  <c r="F35" i="42"/>
  <c r="F38" i="42"/>
  <c r="F32" i="42"/>
  <c r="F34" i="42"/>
  <c r="F12" i="42"/>
  <c r="F41" i="42"/>
  <c r="F57" i="42"/>
  <c r="F25" i="42"/>
  <c r="F29" i="42"/>
  <c r="F22" i="42"/>
  <c r="F23" i="42"/>
  <c r="E49" i="38"/>
  <c r="E42" i="43"/>
  <c r="E36" i="41"/>
  <c r="E56" i="46"/>
  <c r="E58" i="46" s="1"/>
  <c r="E14" i="46"/>
  <c r="E14" i="45"/>
  <c r="E49" i="51"/>
  <c r="E36" i="56"/>
  <c r="F38" i="47"/>
  <c r="F22" i="47"/>
  <c r="F39" i="47"/>
  <c r="F28" i="47"/>
  <c r="F33" i="47"/>
  <c r="F35" i="47"/>
  <c r="F34" i="47"/>
  <c r="F41" i="47"/>
  <c r="F12" i="47"/>
  <c r="F13" i="47"/>
  <c r="F25" i="47"/>
  <c r="F57" i="47"/>
  <c r="F32" i="47"/>
  <c r="F23" i="47"/>
  <c r="G18" i="45" a="1"/>
  <c r="G18" i="45" s="1"/>
  <c r="G19" i="45" a="1"/>
  <c r="G19" i="45" s="1"/>
  <c r="G8" i="45" a="1"/>
  <c r="G8" i="45" s="1"/>
  <c r="G9" i="45" a="1"/>
  <c r="G9" i="45" s="1"/>
  <c r="G8" i="56" a="1"/>
  <c r="G8" i="56" s="1"/>
  <c r="G9" i="56" a="1"/>
  <c r="G9" i="56" s="1"/>
  <c r="G19" i="56" a="1"/>
  <c r="G19" i="56" s="1"/>
  <c r="G18" i="56" a="1"/>
  <c r="G18" i="56" s="1"/>
  <c r="G8" i="46" a="1"/>
  <c r="G8" i="46" s="1"/>
  <c r="G18" i="46" a="1"/>
  <c r="G18" i="46" s="1"/>
  <c r="G19" i="46" a="1"/>
  <c r="G19" i="46" s="1"/>
  <c r="G9" i="46" a="1"/>
  <c r="G9" i="46" s="1"/>
  <c r="E36" i="50"/>
  <c r="F24" i="52"/>
  <c r="F13" i="52"/>
  <c r="F35" i="52"/>
  <c r="F25" i="52"/>
  <c r="F22" i="52"/>
  <c r="F29" i="52"/>
  <c r="F38" i="52"/>
  <c r="F12" i="52"/>
  <c r="F41" i="52"/>
  <c r="F28" i="52"/>
  <c r="F57" i="52"/>
  <c r="F33" i="52"/>
  <c r="F34" i="52"/>
  <c r="F23" i="52"/>
  <c r="F39" i="52"/>
  <c r="F32" i="52"/>
  <c r="E56" i="48"/>
  <c r="E58" i="48" s="1"/>
  <c r="E14" i="48"/>
  <c r="E42" i="40"/>
  <c r="E49" i="44"/>
  <c r="E42" i="42"/>
  <c r="E49" i="43"/>
  <c r="E56" i="43"/>
  <c r="E58" i="43" s="1"/>
  <c r="E14" i="43"/>
  <c r="E42" i="45"/>
  <c r="F39" i="46"/>
  <c r="F33" i="46"/>
  <c r="F35" i="46"/>
  <c r="F28" i="46"/>
  <c r="F25" i="46"/>
  <c r="F32" i="46"/>
  <c r="F12" i="46"/>
  <c r="F38" i="46"/>
  <c r="F23" i="46"/>
  <c r="F34" i="46"/>
  <c r="F22" i="46"/>
  <c r="F41" i="46"/>
  <c r="F13" i="46"/>
  <c r="H55" i="54"/>
  <c r="H7" i="49"/>
  <c r="H55" i="53"/>
  <c r="H7" i="45"/>
  <c r="H7" i="47"/>
  <c r="H55" i="40"/>
  <c r="H7" i="39"/>
  <c r="H55" i="41"/>
  <c r="H55" i="51"/>
  <c r="H55" i="52"/>
  <c r="H55" i="56"/>
  <c r="H55" i="42"/>
  <c r="H55" i="55"/>
  <c r="H55" i="47"/>
  <c r="H55" i="45"/>
  <c r="H7" i="50"/>
  <c r="H55" i="43"/>
  <c r="H7" i="51"/>
  <c r="H7" i="42"/>
  <c r="H55" i="49"/>
  <c r="H7" i="44"/>
  <c r="H55" i="50"/>
  <c r="H7" i="46"/>
  <c r="H7" i="38"/>
  <c r="H55" i="44"/>
  <c r="AA46" i="30"/>
  <c r="H7" i="52"/>
  <c r="H7" i="43"/>
  <c r="H7" i="53"/>
  <c r="H7" i="35"/>
  <c r="H7" i="41"/>
  <c r="H7" i="54"/>
  <c r="H55" i="39"/>
  <c r="H7" i="40"/>
  <c r="H55" i="48"/>
  <c r="H55" i="38"/>
  <c r="H7" i="48"/>
  <c r="H55" i="35"/>
  <c r="H55" i="46"/>
  <c r="H7" i="55"/>
  <c r="H7" i="56"/>
  <c r="E56" i="56"/>
  <c r="E58" i="56" s="1"/>
  <c r="E14" i="56"/>
  <c r="F39" i="38"/>
  <c r="F38" i="38"/>
  <c r="F23" i="38"/>
  <c r="F22" i="38"/>
  <c r="F25" i="38"/>
  <c r="F28" i="38"/>
  <c r="F34" i="38"/>
  <c r="F12" i="38"/>
  <c r="F32" i="38"/>
  <c r="F41" i="38"/>
  <c r="F29" i="38"/>
  <c r="F33" i="38"/>
  <c r="F24" i="38"/>
  <c r="F13" i="38"/>
  <c r="F35" i="38"/>
  <c r="G9" i="41" a="1"/>
  <c r="G9" i="41" s="1"/>
  <c r="G8" i="41" a="1"/>
  <c r="G8" i="41" s="1"/>
  <c r="G18" i="41" a="1"/>
  <c r="G18" i="41" s="1"/>
  <c r="G19" i="41" a="1"/>
  <c r="G19" i="41" s="1"/>
  <c r="G19" i="49" a="1"/>
  <c r="G19" i="49" s="1"/>
  <c r="G8" i="49" a="1"/>
  <c r="G8" i="49" s="1"/>
  <c r="G9" i="49" a="1"/>
  <c r="G9" i="49" s="1"/>
  <c r="G18" i="49" a="1"/>
  <c r="G18" i="49" s="1"/>
  <c r="E56" i="50"/>
  <c r="E58" i="50" s="1"/>
  <c r="E14" i="50"/>
  <c r="E36" i="49"/>
  <c r="E36" i="54"/>
  <c r="G18" i="40" a="1"/>
  <c r="G18" i="40" s="1"/>
  <c r="G8" i="40" a="1"/>
  <c r="G8" i="40" s="1"/>
  <c r="G19" i="40" a="1"/>
  <c r="G19" i="40" s="1"/>
  <c r="G9" i="40" a="1"/>
  <c r="G9" i="40" s="1"/>
  <c r="G18" i="50" a="1"/>
  <c r="G18" i="50" s="1"/>
  <c r="G9" i="50" a="1"/>
  <c r="G9" i="50" s="1"/>
  <c r="G19" i="50" a="1"/>
  <c r="G19" i="50" s="1"/>
  <c r="G8" i="50" a="1"/>
  <c r="G8" i="50" s="1"/>
  <c r="E56" i="35"/>
  <c r="E58" i="35" s="1"/>
  <c r="F29" i="55"/>
  <c r="F12" i="55"/>
  <c r="F41" i="55"/>
  <c r="F39" i="55"/>
  <c r="F33" i="55"/>
  <c r="F24" i="55"/>
  <c r="F23" i="55"/>
  <c r="F34" i="55"/>
  <c r="F32" i="55"/>
  <c r="F13" i="55"/>
  <c r="F57" i="55"/>
  <c r="F25" i="55"/>
  <c r="F22" i="55"/>
  <c r="F28" i="55"/>
  <c r="F38" i="55"/>
  <c r="F35" i="55"/>
  <c r="F33" i="40"/>
  <c r="F57" i="40"/>
  <c r="F35" i="40"/>
  <c r="F32" i="40"/>
  <c r="F12" i="40"/>
  <c r="F56" i="40" s="1"/>
  <c r="F38" i="40"/>
  <c r="F41" i="40"/>
  <c r="F23" i="40"/>
  <c r="F34" i="40"/>
  <c r="F29" i="40"/>
  <c r="F22" i="40"/>
  <c r="F39" i="40"/>
  <c r="F28" i="40"/>
  <c r="F13" i="40"/>
  <c r="F25" i="40"/>
  <c r="F24" i="40"/>
  <c r="E56" i="38"/>
  <c r="E58" i="38" s="1"/>
  <c r="E14" i="38"/>
  <c r="E56" i="42"/>
  <c r="E58" i="42" s="1"/>
  <c r="E14" i="42"/>
  <c r="E42" i="41"/>
  <c r="E36" i="46"/>
  <c r="F29" i="53"/>
  <c r="F35" i="53"/>
  <c r="F34" i="53"/>
  <c r="F38" i="53"/>
  <c r="F12" i="53"/>
  <c r="F33" i="53"/>
  <c r="F28" i="53"/>
  <c r="F24" i="53"/>
  <c r="F25" i="53"/>
  <c r="F39" i="53"/>
  <c r="F57" i="53"/>
  <c r="F32" i="53"/>
  <c r="F41" i="53"/>
  <c r="F13" i="53"/>
  <c r="F23" i="53"/>
  <c r="F22" i="53"/>
  <c r="E42" i="56"/>
  <c r="G18" i="42" a="1"/>
  <c r="G18" i="42" s="1"/>
  <c r="G8" i="42" a="1"/>
  <c r="G8" i="42" s="1"/>
  <c r="G24" i="42" s="1"/>
  <c r="G19" i="42" a="1"/>
  <c r="G19" i="42" s="1"/>
  <c r="G9" i="42" a="1"/>
  <c r="G9" i="42" s="1"/>
  <c r="E14" i="35"/>
  <c r="E36" i="52"/>
  <c r="E42" i="52"/>
  <c r="E58" i="44"/>
  <c r="E49" i="46"/>
  <c r="F34" i="48"/>
  <c r="F35" i="48"/>
  <c r="F22" i="48"/>
  <c r="F57" i="48"/>
  <c r="F25" i="48"/>
  <c r="F41" i="48"/>
  <c r="F13" i="48"/>
  <c r="F23" i="48"/>
  <c r="F38" i="48"/>
  <c r="F39" i="48"/>
  <c r="F12" i="48"/>
  <c r="F33" i="48"/>
  <c r="F32" i="48"/>
  <c r="F32" i="56"/>
  <c r="F29" i="56"/>
  <c r="F38" i="56"/>
  <c r="F41" i="56"/>
  <c r="F12" i="56"/>
  <c r="F34" i="56"/>
  <c r="F28" i="56"/>
  <c r="F22" i="56"/>
  <c r="F57" i="56"/>
  <c r="F24" i="56"/>
  <c r="F35" i="56"/>
  <c r="F39" i="56"/>
  <c r="F25" i="56"/>
  <c r="F13" i="56"/>
  <c r="F33" i="56"/>
  <c r="F23" i="56"/>
  <c r="E36" i="53"/>
  <c r="E56" i="54"/>
  <c r="E58" i="54" s="1"/>
  <c r="E14" i="54"/>
  <c r="G9" i="55" a="1"/>
  <c r="G9" i="55" s="1"/>
  <c r="G18" i="55" a="1"/>
  <c r="G18" i="55" s="1"/>
  <c r="G8" i="55" a="1"/>
  <c r="G8" i="55" s="1"/>
  <c r="G19" i="55" a="1"/>
  <c r="G19" i="55" s="1"/>
  <c r="G19" i="51" a="1"/>
  <c r="G19" i="51" s="1"/>
  <c r="G8" i="51" a="1"/>
  <c r="G8" i="51" s="1"/>
  <c r="G9" i="51" a="1"/>
  <c r="G9" i="51" s="1"/>
  <c r="G9" i="43" a="1"/>
  <c r="G9" i="43" s="1"/>
  <c r="G8" i="43" a="1"/>
  <c r="G8" i="43" s="1"/>
  <c r="G19" i="43" a="1"/>
  <c r="G19" i="43" s="1"/>
  <c r="G18" i="43" a="1"/>
  <c r="G18" i="43" s="1"/>
  <c r="G19" i="52" a="1"/>
  <c r="G19" i="52" s="1"/>
  <c r="G9" i="52" a="1"/>
  <c r="G9" i="52" s="1"/>
  <c r="G8" i="52" a="1"/>
  <c r="G8" i="52" s="1"/>
  <c r="G18" i="52" a="1"/>
  <c r="G18" i="52" s="1"/>
  <c r="E42" i="47"/>
  <c r="E49" i="35"/>
  <c r="E36" i="35"/>
  <c r="F23" i="41"/>
  <c r="F22" i="41"/>
  <c r="F12" i="41"/>
  <c r="F24" i="41"/>
  <c r="F29" i="41"/>
  <c r="F33" i="41"/>
  <c r="F34" i="41"/>
  <c r="F32" i="41"/>
  <c r="F57" i="41"/>
  <c r="F41" i="41"/>
  <c r="F13" i="41"/>
  <c r="F35" i="41"/>
  <c r="F28" i="41"/>
  <c r="F25" i="41"/>
  <c r="F38" i="41"/>
  <c r="F39" i="41"/>
  <c r="F34" i="49"/>
  <c r="F57" i="49"/>
  <c r="F13" i="49"/>
  <c r="F38" i="49"/>
  <c r="F35" i="49"/>
  <c r="F24" i="49"/>
  <c r="F39" i="49"/>
  <c r="F25" i="49"/>
  <c r="F32" i="49"/>
  <c r="F23" i="49"/>
  <c r="F29" i="49"/>
  <c r="F22" i="49"/>
  <c r="F12" i="49"/>
  <c r="F33" i="49"/>
  <c r="F28" i="49"/>
  <c r="F41" i="49"/>
  <c r="E49" i="56"/>
  <c r="G19" i="44" a="1"/>
  <c r="G19" i="44" s="1"/>
  <c r="G18" i="44" a="1"/>
  <c r="G18" i="44" s="1"/>
  <c r="G9" i="44" a="1"/>
  <c r="G9" i="44" s="1"/>
  <c r="G8" i="44" a="1"/>
  <c r="G8" i="44" s="1"/>
  <c r="G8" i="38" a="1"/>
  <c r="G8" i="38" s="1"/>
  <c r="G19" i="38" a="1"/>
  <c r="G19" i="38" s="1"/>
  <c r="G9" i="38" a="1"/>
  <c r="G9" i="38" s="1"/>
  <c r="G18" i="38" a="1"/>
  <c r="G18" i="38" s="1"/>
  <c r="E49" i="40"/>
  <c r="C5" i="63" a="1"/>
  <c r="G76" i="63" a="1"/>
  <c r="G136" i="63" a="1"/>
  <c r="G4" i="63" a="1"/>
  <c r="G124" i="63" a="1"/>
  <c r="F112" i="63" a="1"/>
  <c r="E113" i="63" a="1"/>
  <c r="F148" i="63" a="1"/>
  <c r="E101" i="63" a="1"/>
  <c r="E125" i="63" a="1"/>
  <c r="G112" i="63" a="1"/>
  <c r="D89" i="63" a="1"/>
  <c r="E89" i="63" a="1"/>
  <c r="E197" i="63" a="1"/>
  <c r="E185" i="63" a="1"/>
  <c r="D185" i="63" a="1"/>
  <c r="E65" i="63" a="1"/>
  <c r="E53" i="63" a="1"/>
  <c r="F28" i="63" a="1"/>
  <c r="D136" i="63" a="1"/>
  <c r="F220" i="63" a="1"/>
  <c r="F52" i="63" a="1"/>
  <c r="G40" i="63" a="1"/>
  <c r="E29" i="63" a="1"/>
  <c r="D113" i="63" a="1"/>
  <c r="F100" i="63" a="1"/>
  <c r="C149" i="63" a="1"/>
  <c r="C77" i="63" a="1"/>
  <c r="G148" i="63" a="1"/>
  <c r="C101" i="63" a="1"/>
  <c r="F16" i="63" a="1"/>
  <c r="G88" i="63" a="1"/>
  <c r="F40" i="63" a="1"/>
  <c r="C197" i="63" a="1"/>
  <c r="E41" i="63" a="1"/>
  <c r="F208" i="63" a="1"/>
  <c r="C185" i="63" a="1"/>
  <c r="F196" i="63" a="1"/>
  <c r="D5" i="63" a="1"/>
  <c r="C125" i="63" a="1"/>
  <c r="F172" i="63" a="1"/>
  <c r="D53" i="63" a="1"/>
  <c r="D173" i="63" a="1"/>
  <c r="F184" i="63" a="1"/>
  <c r="G184" i="63" a="1"/>
  <c r="D209" i="63" a="1"/>
  <c r="C161" i="63" a="1"/>
  <c r="E221" i="63" a="1"/>
  <c r="D101" i="63" a="1"/>
  <c r="D197" i="63" a="1"/>
  <c r="C65" i="63" a="1"/>
  <c r="C113" i="63" a="1"/>
  <c r="D221" i="63" a="1"/>
  <c r="D125" i="63" a="1"/>
  <c r="C53" i="63" a="1"/>
  <c r="D77" i="63" a="1"/>
  <c r="G52" i="63" a="1"/>
  <c r="F124" i="63" a="1"/>
  <c r="G28" i="63" a="1"/>
  <c r="C173" i="63" a="1"/>
  <c r="C41" i="63" a="1"/>
  <c r="G196" i="63" a="1"/>
  <c r="E173" i="63" a="1"/>
  <c r="E5" i="63" a="1"/>
  <c r="F88" i="63" a="1"/>
  <c r="G208" i="63" a="1"/>
  <c r="C221" i="63" a="1"/>
  <c r="E77" i="63" a="1"/>
  <c r="D17" i="63" a="1"/>
  <c r="C89" i="63" a="1"/>
  <c r="F76" i="63" a="1"/>
  <c r="C209" i="63" a="1"/>
  <c r="E17" i="63" a="1"/>
  <c r="F4" i="63" a="1"/>
  <c r="F64" i="63" a="1"/>
  <c r="D161" i="63" a="1"/>
  <c r="G16" i="63" a="1"/>
  <c r="G160" i="63" a="1"/>
  <c r="D29" i="63" a="1"/>
  <c r="E209" i="63" a="1"/>
  <c r="G172" i="63" a="1"/>
  <c r="D41" i="63" a="1"/>
  <c r="F160" i="63" a="1"/>
  <c r="E137" i="63" a="1"/>
  <c r="C17" i="63" a="1"/>
  <c r="E161" i="63" a="1"/>
  <c r="C29" i="63" a="1"/>
  <c r="F136" i="63" a="1"/>
  <c r="C137" i="63" a="1"/>
  <c r="G100" i="63" a="1"/>
  <c r="G64" i="63" a="1"/>
  <c r="D149" i="63" a="1"/>
  <c r="G220" i="63" a="1"/>
  <c r="D65" i="63" a="1"/>
  <c r="E149" i="63" a="1"/>
  <c r="G28" i="48" l="1"/>
  <c r="G29" i="48"/>
  <c r="F172" i="63"/>
  <c r="F136" i="63"/>
  <c r="F28" i="63"/>
  <c r="F196" i="63"/>
  <c r="F112" i="63"/>
  <c r="F64" i="63"/>
  <c r="F16" i="63"/>
  <c r="F100" i="63"/>
  <c r="F52" i="63"/>
  <c r="F76" i="63"/>
  <c r="F184" i="63"/>
  <c r="F124" i="63"/>
  <c r="F220" i="63"/>
  <c r="F160" i="63"/>
  <c r="F208" i="63"/>
  <c r="F88" i="63"/>
  <c r="F40" i="63"/>
  <c r="F148" i="63"/>
  <c r="F4" i="63"/>
  <c r="G124" i="63"/>
  <c r="E17" i="63"/>
  <c r="E173" i="63"/>
  <c r="G4" i="63"/>
  <c r="C65" i="63"/>
  <c r="D161" i="63"/>
  <c r="G208" i="63"/>
  <c r="C41" i="63"/>
  <c r="C17" i="63"/>
  <c r="C125" i="63"/>
  <c r="G220" i="63"/>
  <c r="E89" i="63"/>
  <c r="C77" i="63"/>
  <c r="G52" i="63"/>
  <c r="G88" i="63"/>
  <c r="C161" i="63"/>
  <c r="C137" i="63"/>
  <c r="D41" i="63"/>
  <c r="G16" i="63"/>
  <c r="D17" i="63"/>
  <c r="E125" i="63"/>
  <c r="D89" i="63"/>
  <c r="E77" i="63"/>
  <c r="E5" i="63"/>
  <c r="G184" i="63"/>
  <c r="C173" i="63"/>
  <c r="G148" i="63"/>
  <c r="D65" i="63"/>
  <c r="E137" i="63"/>
  <c r="C149" i="63"/>
  <c r="E29" i="63"/>
  <c r="C89" i="63"/>
  <c r="D77" i="63"/>
  <c r="C185" i="63"/>
  <c r="G76" i="63"/>
  <c r="C113" i="63"/>
  <c r="G112" i="63"/>
  <c r="G100" i="63"/>
  <c r="G28" i="63"/>
  <c r="E161" i="63"/>
  <c r="E197" i="63"/>
  <c r="G172" i="63"/>
  <c r="G196" i="63"/>
  <c r="E149" i="63"/>
  <c r="D29" i="63"/>
  <c r="D209" i="63"/>
  <c r="D5" i="63"/>
  <c r="D185" i="63"/>
  <c r="E101" i="63"/>
  <c r="E41" i="63"/>
  <c r="E65" i="63"/>
  <c r="D221" i="63"/>
  <c r="D53" i="63"/>
  <c r="C197" i="63"/>
  <c r="C29" i="63"/>
  <c r="E209" i="63"/>
  <c r="G40" i="63"/>
  <c r="C5" i="63"/>
  <c r="D113" i="63"/>
  <c r="C221" i="63"/>
  <c r="E53" i="63"/>
  <c r="D197" i="63"/>
  <c r="D149" i="63"/>
  <c r="G160" i="63"/>
  <c r="G136" i="63"/>
  <c r="D101" i="63"/>
  <c r="E185" i="63"/>
  <c r="G64" i="63"/>
  <c r="E113" i="63"/>
  <c r="E221" i="63"/>
  <c r="C53" i="63"/>
  <c r="D125" i="63"/>
  <c r="C209" i="63"/>
  <c r="C101" i="63"/>
  <c r="D173" i="63"/>
  <c r="D136" i="63"/>
  <c r="G24" i="46"/>
  <c r="H19" i="47" a="1"/>
  <c r="H19" i="47" s="1"/>
  <c r="G24" i="47"/>
  <c r="G48" i="43"/>
  <c r="G46" i="43"/>
  <c r="G45" i="43"/>
  <c r="G29" i="46"/>
  <c r="G48" i="46"/>
  <c r="G45" i="46"/>
  <c r="G46" i="46"/>
  <c r="G45" i="38"/>
  <c r="G45" i="56"/>
  <c r="G48" i="56"/>
  <c r="G29" i="47"/>
  <c r="G48" i="47"/>
  <c r="G45" i="47"/>
  <c r="G46" i="47"/>
  <c r="G46" i="42"/>
  <c r="G45" i="42"/>
  <c r="G48" i="42"/>
  <c r="G46" i="40"/>
  <c r="G48" i="40"/>
  <c r="G45" i="40"/>
  <c r="G45" i="49"/>
  <c r="G46" i="49"/>
  <c r="G48" i="49"/>
  <c r="G45" i="52"/>
  <c r="G48" i="52"/>
  <c r="G46" i="52"/>
  <c r="G45" i="45"/>
  <c r="G48" i="45"/>
  <c r="G46" i="45"/>
  <c r="G46" i="44"/>
  <c r="G48" i="44"/>
  <c r="G45" i="44"/>
  <c r="G46" i="51"/>
  <c r="G45" i="51"/>
  <c r="G48" i="51"/>
  <c r="G48" i="50"/>
  <c r="G46" i="50"/>
  <c r="G45" i="50"/>
  <c r="G46" i="53"/>
  <c r="G45" i="53"/>
  <c r="G48" i="54"/>
  <c r="G45" i="54"/>
  <c r="G46" i="54"/>
  <c r="G31" i="48"/>
  <c r="G46" i="48"/>
  <c r="G48" i="48"/>
  <c r="G45" i="48"/>
  <c r="G48" i="55"/>
  <c r="G45" i="55"/>
  <c r="G46" i="55"/>
  <c r="G45" i="41"/>
  <c r="G46" i="41"/>
  <c r="G48" i="41"/>
  <c r="G46" i="35"/>
  <c r="G45" i="35"/>
  <c r="G48" i="35"/>
  <c r="G30" i="51"/>
  <c r="G20" i="51"/>
  <c r="G18" i="51" s="1" a="1"/>
  <c r="G18" i="51" s="1"/>
  <c r="G47" i="51"/>
  <c r="G47" i="45"/>
  <c r="G47" i="54"/>
  <c r="G47" i="47"/>
  <c r="G47" i="40"/>
  <c r="G47" i="49"/>
  <c r="G47" i="46"/>
  <c r="G47" i="55"/>
  <c r="G48" i="38"/>
  <c r="G47" i="38"/>
  <c r="G46" i="38"/>
  <c r="G47" i="50"/>
  <c r="G24" i="48"/>
  <c r="G47" i="48"/>
  <c r="G47" i="44"/>
  <c r="G47" i="43"/>
  <c r="G47" i="52"/>
  <c r="G13" i="41"/>
  <c r="G47" i="41"/>
  <c r="G47" i="56"/>
  <c r="G46" i="56"/>
  <c r="G47" i="42"/>
  <c r="G47" i="35"/>
  <c r="G47" i="53"/>
  <c r="F14" i="44"/>
  <c r="H19" i="48" a="1"/>
  <c r="H19" i="48" s="1"/>
  <c r="H18" i="48" a="1"/>
  <c r="H18" i="48" s="1"/>
  <c r="H8" i="48" a="1"/>
  <c r="H8" i="48" s="1"/>
  <c r="G22" i="38"/>
  <c r="F58" i="45"/>
  <c r="G31" i="43"/>
  <c r="G30" i="43"/>
  <c r="G31" i="40"/>
  <c r="G30" i="40"/>
  <c r="G30" i="49"/>
  <c r="G31" i="49"/>
  <c r="G30" i="56"/>
  <c r="G31" i="56"/>
  <c r="G30" i="35"/>
  <c r="G31" i="35"/>
  <c r="G30" i="50"/>
  <c r="G31" i="50"/>
  <c r="G31" i="38"/>
  <c r="G30" i="38"/>
  <c r="G31" i="52"/>
  <c r="G30" i="52"/>
  <c r="G30" i="45"/>
  <c r="G31" i="45"/>
  <c r="G31" i="47"/>
  <c r="G30" i="47"/>
  <c r="G31" i="44"/>
  <c r="G30" i="44"/>
  <c r="G30" i="41"/>
  <c r="G31" i="41"/>
  <c r="G30" i="46"/>
  <c r="G31" i="46"/>
  <c r="G31" i="42"/>
  <c r="G30" i="42"/>
  <c r="G30" i="48"/>
  <c r="G30" i="53"/>
  <c r="G31" i="53"/>
  <c r="G30" i="55"/>
  <c r="G31" i="55"/>
  <c r="G30" i="54"/>
  <c r="G31" i="54"/>
  <c r="G40" i="51"/>
  <c r="G31" i="51"/>
  <c r="G40" i="40"/>
  <c r="G20" i="40"/>
  <c r="G40" i="49"/>
  <c r="G20" i="49"/>
  <c r="G40" i="56"/>
  <c r="G20" i="56"/>
  <c r="G40" i="35"/>
  <c r="G20" i="35"/>
  <c r="G40" i="44"/>
  <c r="G20" i="44"/>
  <c r="G40" i="55"/>
  <c r="G20" i="55"/>
  <c r="G40" i="38"/>
  <c r="G20" i="38"/>
  <c r="G40" i="52"/>
  <c r="G20" i="52"/>
  <c r="G40" i="50"/>
  <c r="G20" i="50"/>
  <c r="G40" i="45"/>
  <c r="G20" i="45"/>
  <c r="G40" i="47"/>
  <c r="G20" i="47"/>
  <c r="G40" i="41"/>
  <c r="G20" i="41"/>
  <c r="G40" i="42"/>
  <c r="G20" i="42"/>
  <c r="G40" i="46"/>
  <c r="G20" i="46"/>
  <c r="G40" i="48"/>
  <c r="G20" i="48"/>
  <c r="G40" i="53"/>
  <c r="G20" i="53"/>
  <c r="G40" i="43"/>
  <c r="G20" i="43"/>
  <c r="G40" i="54"/>
  <c r="G20" i="54"/>
  <c r="G57" i="43"/>
  <c r="F26" i="41"/>
  <c r="F58" i="43"/>
  <c r="F26" i="50"/>
  <c r="F26" i="56"/>
  <c r="F58" i="40"/>
  <c r="F26" i="38"/>
  <c r="F26" i="52"/>
  <c r="F26" i="47"/>
  <c r="F26" i="45"/>
  <c r="F26" i="48"/>
  <c r="F26" i="55"/>
  <c r="F26" i="54"/>
  <c r="F26" i="49"/>
  <c r="F26" i="42"/>
  <c r="F26" i="51"/>
  <c r="F26" i="35"/>
  <c r="F26" i="40"/>
  <c r="F26" i="53"/>
  <c r="F26" i="46"/>
  <c r="F26" i="43"/>
  <c r="F26" i="44"/>
  <c r="F58" i="44"/>
  <c r="F49" i="43"/>
  <c r="F42" i="55"/>
  <c r="F14" i="50"/>
  <c r="F58" i="50"/>
  <c r="F42" i="47"/>
  <c r="F42" i="53"/>
  <c r="F42" i="50"/>
  <c r="F14" i="45"/>
  <c r="F36" i="40"/>
  <c r="F42" i="40"/>
  <c r="F42" i="56"/>
  <c r="F49" i="55"/>
  <c r="F49" i="45"/>
  <c r="F36" i="42"/>
  <c r="F36" i="45"/>
  <c r="F49" i="35"/>
  <c r="F42" i="41"/>
  <c r="F42" i="48"/>
  <c r="F36" i="48"/>
  <c r="F36" i="56"/>
  <c r="F42" i="42"/>
  <c r="F36" i="44"/>
  <c r="F36" i="49"/>
  <c r="F49" i="51"/>
  <c r="F36" i="50"/>
  <c r="F56" i="49"/>
  <c r="F58" i="49" s="1"/>
  <c r="F14" i="49"/>
  <c r="G38" i="42"/>
  <c r="G41" i="42"/>
  <c r="G13" i="42"/>
  <c r="G32" i="42"/>
  <c r="G34" i="42"/>
  <c r="G33" i="42"/>
  <c r="G35" i="42"/>
  <c r="G23" i="42"/>
  <c r="G29" i="42"/>
  <c r="G25" i="42"/>
  <c r="G39" i="42"/>
  <c r="G57" i="42"/>
  <c r="G28" i="42"/>
  <c r="G22" i="42"/>
  <c r="G12" i="42"/>
  <c r="F49" i="53"/>
  <c r="H9" i="56" a="1"/>
  <c r="H9" i="56" s="1"/>
  <c r="H18" i="56" a="1"/>
  <c r="H18" i="56" s="1"/>
  <c r="H19" i="56" a="1"/>
  <c r="H19" i="56" s="1"/>
  <c r="H8" i="56" a="1"/>
  <c r="H8" i="56" s="1"/>
  <c r="F49" i="46"/>
  <c r="F36" i="52"/>
  <c r="F42" i="54"/>
  <c r="G23" i="53"/>
  <c r="G24" i="53"/>
  <c r="G32" i="53"/>
  <c r="G41" i="53"/>
  <c r="G28" i="53"/>
  <c r="G22" i="53"/>
  <c r="G33" i="53"/>
  <c r="G13" i="53"/>
  <c r="G38" i="53"/>
  <c r="G34" i="53"/>
  <c r="G25" i="53"/>
  <c r="G12" i="53"/>
  <c r="G56" i="53" s="1"/>
  <c r="G39" i="53"/>
  <c r="G35" i="53"/>
  <c r="G57" i="53"/>
  <c r="G29" i="53"/>
  <c r="F36" i="43"/>
  <c r="F42" i="45"/>
  <c r="F49" i="49"/>
  <c r="F56" i="41"/>
  <c r="F58" i="41" s="1"/>
  <c r="F14" i="41"/>
  <c r="F56" i="56"/>
  <c r="F58" i="56" s="1"/>
  <c r="F14" i="56"/>
  <c r="F49" i="48"/>
  <c r="G29" i="41"/>
  <c r="G57" i="41"/>
  <c r="G38" i="41"/>
  <c r="G25" i="41"/>
  <c r="G33" i="41"/>
  <c r="G34" i="41"/>
  <c r="G39" i="41"/>
  <c r="G28" i="41"/>
  <c r="G23" i="41"/>
  <c r="G35" i="41"/>
  <c r="G41" i="41"/>
  <c r="G24" i="41"/>
  <c r="G32" i="41"/>
  <c r="G12" i="41"/>
  <c r="G22" i="41"/>
  <c r="F42" i="38"/>
  <c r="H19" i="55" a="1"/>
  <c r="H19" i="55" s="1"/>
  <c r="H9" i="55" a="1"/>
  <c r="H9" i="55" s="1"/>
  <c r="H8" i="55" a="1"/>
  <c r="H8" i="55" s="1"/>
  <c r="H18" i="55" a="1"/>
  <c r="H18" i="55" s="1"/>
  <c r="H18" i="54" a="1"/>
  <c r="H18" i="54" s="1"/>
  <c r="H19" i="54" a="1"/>
  <c r="H19" i="54" s="1"/>
  <c r="H9" i="54" a="1"/>
  <c r="H9" i="54" s="1"/>
  <c r="H8" i="54" a="1"/>
  <c r="H8" i="54" s="1"/>
  <c r="H8" i="38" a="1"/>
  <c r="H8" i="38" s="1"/>
  <c r="H19" i="38" a="1"/>
  <c r="H19" i="38" s="1"/>
  <c r="H18" i="38" a="1"/>
  <c r="H18" i="38" s="1"/>
  <c r="H9" i="38" a="1"/>
  <c r="H9" i="38" s="1"/>
  <c r="H9" i="50" a="1"/>
  <c r="H9" i="50" s="1"/>
  <c r="H18" i="50" a="1"/>
  <c r="H18" i="50" s="1"/>
  <c r="H8" i="50" a="1"/>
  <c r="H8" i="50" s="1"/>
  <c r="H19" i="50" a="1"/>
  <c r="H19" i="50" s="1"/>
  <c r="F42" i="46"/>
  <c r="F49" i="52"/>
  <c r="G29" i="56"/>
  <c r="G32" i="56"/>
  <c r="G22" i="56"/>
  <c r="G24" i="56"/>
  <c r="G33" i="56"/>
  <c r="G57" i="56"/>
  <c r="G13" i="56"/>
  <c r="G41" i="56"/>
  <c r="G38" i="56"/>
  <c r="G35" i="56"/>
  <c r="G23" i="56"/>
  <c r="G34" i="56"/>
  <c r="G12" i="56"/>
  <c r="G39" i="56"/>
  <c r="G28" i="56"/>
  <c r="G25" i="56"/>
  <c r="F14" i="51"/>
  <c r="F56" i="51"/>
  <c r="F58" i="51" s="1"/>
  <c r="G32" i="47"/>
  <c r="G33" i="47"/>
  <c r="G13" i="47"/>
  <c r="G57" i="47"/>
  <c r="G23" i="47"/>
  <c r="G28" i="47"/>
  <c r="G41" i="47"/>
  <c r="G25" i="47"/>
  <c r="G38" i="47"/>
  <c r="G22" i="47"/>
  <c r="G35" i="47"/>
  <c r="G39" i="47"/>
  <c r="G12" i="47"/>
  <c r="G56" i="47" s="1"/>
  <c r="G34" i="47"/>
  <c r="G13" i="54"/>
  <c r="G35" i="54"/>
  <c r="G22" i="54"/>
  <c r="G32" i="54"/>
  <c r="G25" i="54"/>
  <c r="G38" i="54"/>
  <c r="G29" i="54"/>
  <c r="G28" i="54"/>
  <c r="G39" i="54"/>
  <c r="G23" i="54"/>
  <c r="G41" i="54"/>
  <c r="G24" i="54"/>
  <c r="G34" i="54"/>
  <c r="G57" i="54"/>
  <c r="G12" i="54"/>
  <c r="G56" i="54" s="1"/>
  <c r="G33" i="54"/>
  <c r="F49" i="50"/>
  <c r="F56" i="53"/>
  <c r="F58" i="53" s="1"/>
  <c r="F14" i="53"/>
  <c r="F49" i="40"/>
  <c r="G39" i="40"/>
  <c r="G38" i="40"/>
  <c r="G22" i="40"/>
  <c r="G25" i="40"/>
  <c r="G13" i="40"/>
  <c r="G12" i="40"/>
  <c r="G29" i="40"/>
  <c r="G23" i="40"/>
  <c r="G28" i="40"/>
  <c r="G32" i="40"/>
  <c r="G41" i="40"/>
  <c r="G34" i="40"/>
  <c r="G33" i="40"/>
  <c r="G57" i="40"/>
  <c r="G24" i="40"/>
  <c r="G35" i="40"/>
  <c r="F36" i="38"/>
  <c r="H18" i="41" a="1"/>
  <c r="H18" i="41" s="1"/>
  <c r="H19" i="41" a="1"/>
  <c r="H19" i="41" s="1"/>
  <c r="H9" i="41" a="1"/>
  <c r="H9" i="41" s="1"/>
  <c r="H8" i="41" a="1"/>
  <c r="H8" i="41" s="1"/>
  <c r="H8" i="46" a="1"/>
  <c r="H8" i="46" s="1"/>
  <c r="H19" i="46" a="1"/>
  <c r="H19" i="46" s="1"/>
  <c r="H9" i="46" a="1"/>
  <c r="H9" i="46" s="1"/>
  <c r="H18" i="46" a="1"/>
  <c r="H18" i="46" s="1"/>
  <c r="F49" i="47"/>
  <c r="F42" i="44"/>
  <c r="F56" i="35"/>
  <c r="F58" i="35" s="1"/>
  <c r="G34" i="55"/>
  <c r="G22" i="55"/>
  <c r="G12" i="55"/>
  <c r="G41" i="55"/>
  <c r="G13" i="55"/>
  <c r="G25" i="55"/>
  <c r="G38" i="55"/>
  <c r="G29" i="55"/>
  <c r="G39" i="55"/>
  <c r="G35" i="55"/>
  <c r="G23" i="55"/>
  <c r="G24" i="55"/>
  <c r="G33" i="55"/>
  <c r="G28" i="55"/>
  <c r="G57" i="55"/>
  <c r="G32" i="55"/>
  <c r="F14" i="48"/>
  <c r="F56" i="48"/>
  <c r="F58" i="48" s="1"/>
  <c r="F49" i="38"/>
  <c r="H9" i="35" a="1"/>
  <c r="H9" i="35" s="1"/>
  <c r="H8" i="35" a="1"/>
  <c r="H8" i="35" s="1"/>
  <c r="H18" i="35" a="1"/>
  <c r="H18" i="35" s="1"/>
  <c r="H19" i="35" a="1"/>
  <c r="H19" i="35" s="1"/>
  <c r="F56" i="46"/>
  <c r="F58" i="46" s="1"/>
  <c r="F14" i="46"/>
  <c r="F14" i="52"/>
  <c r="F56" i="52"/>
  <c r="F58" i="52" s="1"/>
  <c r="G25" i="45"/>
  <c r="G22" i="45"/>
  <c r="G13" i="45"/>
  <c r="G38" i="45"/>
  <c r="G41" i="45"/>
  <c r="G32" i="45"/>
  <c r="G12" i="45"/>
  <c r="G39" i="45"/>
  <c r="G33" i="45"/>
  <c r="G23" i="45"/>
  <c r="G34" i="45"/>
  <c r="G35" i="45"/>
  <c r="G28" i="45"/>
  <c r="G24" i="45"/>
  <c r="G29" i="45"/>
  <c r="F36" i="54"/>
  <c r="I7" i="42"/>
  <c r="I7" i="53"/>
  <c r="I7" i="41"/>
  <c r="I55" i="50"/>
  <c r="I55" i="47"/>
  <c r="I55" i="51"/>
  <c r="I55" i="45"/>
  <c r="I55" i="44"/>
  <c r="I55" i="42"/>
  <c r="I7" i="50"/>
  <c r="I7" i="39"/>
  <c r="I7" i="49"/>
  <c r="I55" i="54"/>
  <c r="I55" i="43"/>
  <c r="I55" i="52"/>
  <c r="I55" i="38"/>
  <c r="I7" i="43"/>
  <c r="I55" i="40"/>
  <c r="AA47" i="30"/>
  <c r="I55" i="55"/>
  <c r="I7" i="56"/>
  <c r="I55" i="48"/>
  <c r="I7" i="54"/>
  <c r="I55" i="46"/>
  <c r="I7" i="35"/>
  <c r="I55" i="41"/>
  <c r="I7" i="45"/>
  <c r="I55" i="39"/>
  <c r="I7" i="55"/>
  <c r="I7" i="38"/>
  <c r="I55" i="53"/>
  <c r="I55" i="49"/>
  <c r="I7" i="40"/>
  <c r="I7" i="47"/>
  <c r="I7" i="44"/>
  <c r="I55" i="35"/>
  <c r="I55" i="56"/>
  <c r="I7" i="51"/>
  <c r="I7" i="48"/>
  <c r="I7" i="46"/>
  <c r="I7" i="52"/>
  <c r="F42" i="35"/>
  <c r="G23" i="38"/>
  <c r="G29" i="38"/>
  <c r="G34" i="38"/>
  <c r="G24" i="38"/>
  <c r="G32" i="38"/>
  <c r="G35" i="38"/>
  <c r="G38" i="38"/>
  <c r="G39" i="38"/>
  <c r="G33" i="38"/>
  <c r="G41" i="38"/>
  <c r="G13" i="38"/>
  <c r="G12" i="38"/>
  <c r="G28" i="38"/>
  <c r="G57" i="38"/>
  <c r="G25" i="38"/>
  <c r="F42" i="49"/>
  <c r="G39" i="43"/>
  <c r="G24" i="43"/>
  <c r="G32" i="43"/>
  <c r="G34" i="43"/>
  <c r="G29" i="43"/>
  <c r="G23" i="43"/>
  <c r="G13" i="43"/>
  <c r="G22" i="43"/>
  <c r="G12" i="43"/>
  <c r="G28" i="43"/>
  <c r="G25" i="43"/>
  <c r="G38" i="43"/>
  <c r="G41" i="43"/>
  <c r="G33" i="43"/>
  <c r="G35" i="43"/>
  <c r="G32" i="50"/>
  <c r="G33" i="50"/>
  <c r="G12" i="50"/>
  <c r="G56" i="50" s="1"/>
  <c r="G57" i="50"/>
  <c r="G22" i="50"/>
  <c r="G29" i="50"/>
  <c r="G38" i="50"/>
  <c r="G25" i="50"/>
  <c r="G35" i="50"/>
  <c r="G24" i="50"/>
  <c r="G23" i="50"/>
  <c r="G41" i="50"/>
  <c r="G13" i="50"/>
  <c r="G34" i="50"/>
  <c r="G39" i="50"/>
  <c r="G28" i="50"/>
  <c r="G39" i="48"/>
  <c r="G34" i="48"/>
  <c r="G13" i="48"/>
  <c r="G38" i="48"/>
  <c r="G32" i="48"/>
  <c r="G22" i="48"/>
  <c r="G23" i="48"/>
  <c r="G25" i="48"/>
  <c r="G12" i="48"/>
  <c r="G56" i="48" s="1"/>
  <c r="G57" i="48"/>
  <c r="G41" i="48"/>
  <c r="G35" i="48"/>
  <c r="G33" i="48"/>
  <c r="H9" i="48" a="1"/>
  <c r="H9" i="48" s="1"/>
  <c r="H9" i="53" a="1"/>
  <c r="H9" i="53" s="1"/>
  <c r="H8" i="53" a="1"/>
  <c r="H8" i="53" s="1"/>
  <c r="H18" i="53" a="1"/>
  <c r="H18" i="53" s="1"/>
  <c r="H19" i="53" a="1"/>
  <c r="H19" i="53" s="1"/>
  <c r="H9" i="44" a="1"/>
  <c r="H9" i="44" s="1"/>
  <c r="H19" i="44" a="1"/>
  <c r="H19" i="44" s="1"/>
  <c r="H18" i="44" a="1"/>
  <c r="H18" i="44" s="1"/>
  <c r="H8" i="44" a="1"/>
  <c r="H8" i="44" s="1"/>
  <c r="H8" i="47" a="1"/>
  <c r="H8" i="47" s="1"/>
  <c r="H18" i="47" a="1"/>
  <c r="H18" i="47" s="1"/>
  <c r="H9" i="47" a="1"/>
  <c r="H9" i="47" s="1"/>
  <c r="F42" i="52"/>
  <c r="F56" i="42"/>
  <c r="F58" i="42" s="1"/>
  <c r="F14" i="42"/>
  <c r="F49" i="42"/>
  <c r="F36" i="51"/>
  <c r="F42" i="51"/>
  <c r="F42" i="43"/>
  <c r="N49" i="30"/>
  <c r="O48" i="30"/>
  <c r="G33" i="44"/>
  <c r="G32" i="44"/>
  <c r="G35" i="44"/>
  <c r="G29" i="44"/>
  <c r="G12" i="44"/>
  <c r="G38" i="44"/>
  <c r="G23" i="44"/>
  <c r="G41" i="44"/>
  <c r="G39" i="44"/>
  <c r="G34" i="44"/>
  <c r="G28" i="44"/>
  <c r="G13" i="44"/>
  <c r="G57" i="44"/>
  <c r="G22" i="44"/>
  <c r="G24" i="44"/>
  <c r="G25" i="44"/>
  <c r="F49" i="41"/>
  <c r="G57" i="49"/>
  <c r="G35" i="49"/>
  <c r="G24" i="49"/>
  <c r="G23" i="49"/>
  <c r="G33" i="49"/>
  <c r="G29" i="49"/>
  <c r="G39" i="49"/>
  <c r="G41" i="49"/>
  <c r="G25" i="49"/>
  <c r="G22" i="49"/>
  <c r="G12" i="49"/>
  <c r="G38" i="49"/>
  <c r="G34" i="49"/>
  <c r="G28" i="49"/>
  <c r="G13" i="49"/>
  <c r="G32" i="49"/>
  <c r="H18" i="43" a="1"/>
  <c r="H18" i="43" s="1"/>
  <c r="H9" i="43" a="1"/>
  <c r="H9" i="43" s="1"/>
  <c r="H19" i="43" a="1"/>
  <c r="H19" i="43" s="1"/>
  <c r="H8" i="43" a="1"/>
  <c r="H8" i="43" s="1"/>
  <c r="H9" i="45" a="1"/>
  <c r="H9" i="45" s="1"/>
  <c r="H19" i="45" a="1"/>
  <c r="H19" i="45" s="1"/>
  <c r="H8" i="45" a="1"/>
  <c r="H8" i="45" s="1"/>
  <c r="H18" i="45" a="1"/>
  <c r="H18" i="45" s="1"/>
  <c r="G25" i="46"/>
  <c r="G32" i="46"/>
  <c r="G13" i="46"/>
  <c r="G41" i="46"/>
  <c r="G23" i="46"/>
  <c r="G12" i="46"/>
  <c r="G22" i="46"/>
  <c r="G39" i="46"/>
  <c r="G38" i="46"/>
  <c r="G28" i="46"/>
  <c r="G33" i="46"/>
  <c r="G35" i="46"/>
  <c r="G34" i="46"/>
  <c r="F56" i="54"/>
  <c r="F58" i="54" s="1"/>
  <c r="F14" i="54"/>
  <c r="F49" i="44"/>
  <c r="F36" i="35"/>
  <c r="F36" i="41"/>
  <c r="F49" i="56"/>
  <c r="F14" i="40"/>
  <c r="H8" i="52" a="1"/>
  <c r="H8" i="52" s="1"/>
  <c r="H9" i="52" a="1"/>
  <c r="H9" i="52" s="1"/>
  <c r="H19" i="52" a="1"/>
  <c r="H19" i="52" s="1"/>
  <c r="H18" i="52" a="1"/>
  <c r="H18" i="52" s="1"/>
  <c r="H9" i="42" a="1"/>
  <c r="H9" i="42" s="1"/>
  <c r="H8" i="42" a="1"/>
  <c r="H8" i="42" s="1"/>
  <c r="H24" i="42" s="1"/>
  <c r="H18" i="42" a="1"/>
  <c r="H18" i="42" s="1"/>
  <c r="H19" i="42" a="1"/>
  <c r="H19" i="42" s="1"/>
  <c r="F14" i="47"/>
  <c r="F56" i="47"/>
  <c r="F58" i="47" s="1"/>
  <c r="F49" i="54"/>
  <c r="G35" i="52"/>
  <c r="G57" i="52"/>
  <c r="G33" i="52"/>
  <c r="G39" i="52"/>
  <c r="G25" i="52"/>
  <c r="G22" i="52"/>
  <c r="G29" i="52"/>
  <c r="G24" i="52"/>
  <c r="G28" i="52"/>
  <c r="G34" i="52"/>
  <c r="G23" i="52"/>
  <c r="G13" i="52"/>
  <c r="G38" i="52"/>
  <c r="G12" i="52"/>
  <c r="G41" i="52"/>
  <c r="G32" i="52"/>
  <c r="G29" i="51"/>
  <c r="G57" i="51"/>
  <c r="G39" i="51"/>
  <c r="G25" i="51"/>
  <c r="G28" i="51"/>
  <c r="G12" i="51"/>
  <c r="G13" i="51"/>
  <c r="G38" i="51"/>
  <c r="G24" i="51"/>
  <c r="G41" i="51"/>
  <c r="G23" i="51"/>
  <c r="G34" i="51"/>
  <c r="G32" i="51"/>
  <c r="G22" i="51"/>
  <c r="G33" i="51"/>
  <c r="G35" i="51"/>
  <c r="F36" i="53"/>
  <c r="F36" i="55"/>
  <c r="F14" i="55"/>
  <c r="F56" i="55"/>
  <c r="F58" i="55" s="1"/>
  <c r="F56" i="38"/>
  <c r="F58" i="38" s="1"/>
  <c r="F14" i="38"/>
  <c r="H9" i="40" a="1"/>
  <c r="H9" i="40" s="1"/>
  <c r="H8" i="40" a="1"/>
  <c r="H8" i="40" s="1"/>
  <c r="H19" i="40" a="1"/>
  <c r="H19" i="40" s="1"/>
  <c r="H18" i="40" a="1"/>
  <c r="H18" i="40" s="1"/>
  <c r="H9" i="51" a="1"/>
  <c r="H9" i="51" s="1"/>
  <c r="H19" i="51" a="1"/>
  <c r="H19" i="51" s="1"/>
  <c r="H8" i="51" a="1"/>
  <c r="H8" i="51" s="1"/>
  <c r="H18" i="49" a="1"/>
  <c r="H18" i="49" s="1"/>
  <c r="H9" i="49" a="1"/>
  <c r="H9" i="49" s="1"/>
  <c r="H19" i="49" a="1"/>
  <c r="H19" i="49" s="1"/>
  <c r="H8" i="49" a="1"/>
  <c r="H8" i="49" s="1"/>
  <c r="F36" i="46"/>
  <c r="F36" i="47"/>
  <c r="G57" i="35"/>
  <c r="G38" i="35"/>
  <c r="G25" i="35"/>
  <c r="G39" i="35"/>
  <c r="G23" i="35"/>
  <c r="G33" i="35"/>
  <c r="G34" i="35"/>
  <c r="G22" i="35"/>
  <c r="G32" i="35"/>
  <c r="G12" i="35"/>
  <c r="G29" i="35"/>
  <c r="G13" i="35"/>
  <c r="G41" i="35"/>
  <c r="G28" i="35"/>
  <c r="G24" i="35"/>
  <c r="G35" i="35"/>
  <c r="F14" i="43"/>
  <c r="F14" i="35"/>
  <c r="C102" i="63" a="1"/>
  <c r="G209" i="63" a="1"/>
  <c r="E30" i="63" a="1"/>
  <c r="E174" i="63" a="1"/>
  <c r="G149" i="63" a="1"/>
  <c r="F185" i="63" a="1"/>
  <c r="G5" i="63" a="1"/>
  <c r="G185" i="63" a="1"/>
  <c r="E138" i="63" a="1"/>
  <c r="D6" i="63" a="1"/>
  <c r="F113" i="63" a="1"/>
  <c r="E126" i="63" a="1"/>
  <c r="D186" i="63" a="1"/>
  <c r="E6" i="63" a="1"/>
  <c r="F125" i="63" a="1"/>
  <c r="C78" i="63" a="1"/>
  <c r="G41" i="63" a="1"/>
  <c r="C18" i="63" a="1"/>
  <c r="C162" i="63" a="1"/>
  <c r="G173" i="63" a="1"/>
  <c r="D66" i="63" a="1"/>
  <c r="D126" i="63" a="1"/>
  <c r="F77" i="63" a="1"/>
  <c r="D30" i="63" a="1"/>
  <c r="C210" i="63" a="1"/>
  <c r="G17" i="63" a="1"/>
  <c r="D42" i="63" a="1"/>
  <c r="D18" i="63" a="1"/>
  <c r="F209" i="63" a="1"/>
  <c r="G53" i="63" a="1"/>
  <c r="E198" i="63" a="1"/>
  <c r="E18" i="63" a="1"/>
  <c r="C42" i="63" a="1"/>
  <c r="C174" i="63" a="1"/>
  <c r="D137" i="63" a="1"/>
  <c r="G65" i="63" a="1"/>
  <c r="C30" i="63" a="1"/>
  <c r="G101" i="63" a="1"/>
  <c r="F149" i="63" a="1"/>
  <c r="E150" i="63" a="1"/>
  <c r="E90" i="63" a="1"/>
  <c r="F173" i="63" a="1"/>
  <c r="E102" i="63" a="1"/>
  <c r="C54" i="63" a="1"/>
  <c r="F53" i="63" a="1"/>
  <c r="G113" i="63" a="1"/>
  <c r="E222" i="63" a="1"/>
  <c r="C66" i="63" a="1"/>
  <c r="D174" i="63" a="1"/>
  <c r="D150" i="63" a="1"/>
  <c r="C6" i="63" a="1"/>
  <c r="G221" i="63" a="1"/>
  <c r="C222" i="63" a="1"/>
  <c r="E186" i="63" a="1"/>
  <c r="G89" i="63" a="1"/>
  <c r="E162" i="63" a="1"/>
  <c r="C90" i="63" a="1"/>
  <c r="G137" i="63" a="1"/>
  <c r="C138" i="63" a="1"/>
  <c r="D78" i="63" a="1"/>
  <c r="C150" i="63" a="1"/>
  <c r="E54" i="63" a="1"/>
  <c r="F197" i="63" a="1"/>
  <c r="F17" i="63" a="1"/>
  <c r="C198" i="63" a="1"/>
  <c r="G161" i="63" a="1"/>
  <c r="E114" i="63" a="1"/>
  <c r="F5" i="63" a="1"/>
  <c r="D54" i="63" a="1"/>
  <c r="C114" i="63" a="1"/>
  <c r="F41" i="63" a="1"/>
  <c r="D114" i="63" a="1"/>
  <c r="F89" i="63" a="1"/>
  <c r="E210" i="63" a="1"/>
  <c r="F29" i="63" a="1"/>
  <c r="F137" i="63" a="1"/>
  <c r="D210" i="63" a="1"/>
  <c r="D90" i="63" a="1"/>
  <c r="D162" i="63" a="1"/>
  <c r="G125" i="63" a="1"/>
  <c r="D198" i="63" a="1"/>
  <c r="E66" i="63" a="1"/>
  <c r="G29" i="63" a="1"/>
  <c r="F221" i="63" a="1"/>
  <c r="F65" i="63" a="1"/>
  <c r="G77" i="63" a="1"/>
  <c r="E42" i="63" a="1"/>
  <c r="G197" i="63" a="1"/>
  <c r="C186" i="63" a="1"/>
  <c r="E78" i="63" a="1"/>
  <c r="D222" i="63" a="1"/>
  <c r="D102" i="63" a="1"/>
  <c r="F101" i="63" a="1"/>
  <c r="F161" i="63" a="1"/>
  <c r="C126" i="63" a="1"/>
  <c r="H29" i="48" l="1"/>
  <c r="H28" i="48"/>
  <c r="F149" i="63"/>
  <c r="F17" i="63"/>
  <c r="F65" i="63"/>
  <c r="F53" i="63"/>
  <c r="F77" i="63"/>
  <c r="F29" i="63"/>
  <c r="F41" i="63"/>
  <c r="F89" i="63"/>
  <c r="F113" i="63"/>
  <c r="F101" i="63"/>
  <c r="F173" i="63"/>
  <c r="F137" i="63"/>
  <c r="F161" i="63"/>
  <c r="F5" i="63"/>
  <c r="F125" i="63"/>
  <c r="F185" i="63"/>
  <c r="F209" i="63"/>
  <c r="F197" i="63"/>
  <c r="F221" i="63"/>
  <c r="C138" i="63"/>
  <c r="C54" i="63"/>
  <c r="C102" i="63"/>
  <c r="C6" i="63"/>
  <c r="D90" i="63"/>
  <c r="C150" i="63"/>
  <c r="D137" i="63"/>
  <c r="E42" i="63"/>
  <c r="D42" i="63"/>
  <c r="E54" i="63"/>
  <c r="G125" i="63"/>
  <c r="C66" i="63"/>
  <c r="G197" i="63"/>
  <c r="G185" i="63"/>
  <c r="G209" i="63"/>
  <c r="D150" i="63"/>
  <c r="E186" i="63"/>
  <c r="C126" i="63"/>
  <c r="E138" i="63"/>
  <c r="C42" i="63"/>
  <c r="D66" i="63"/>
  <c r="E90" i="63"/>
  <c r="G17" i="63"/>
  <c r="D186" i="63"/>
  <c r="C210" i="63"/>
  <c r="G101" i="63"/>
  <c r="G5" i="63"/>
  <c r="D18" i="63"/>
  <c r="D54" i="63"/>
  <c r="E66" i="63"/>
  <c r="C90" i="63"/>
  <c r="D198" i="63"/>
  <c r="G29" i="63"/>
  <c r="E210" i="63"/>
  <c r="G113" i="63"/>
  <c r="E102" i="63"/>
  <c r="D162" i="63"/>
  <c r="D78" i="63"/>
  <c r="G221" i="63"/>
  <c r="G77" i="63"/>
  <c r="C30" i="63"/>
  <c r="D222" i="63"/>
  <c r="C198" i="63"/>
  <c r="D210" i="63"/>
  <c r="G41" i="63"/>
  <c r="C114" i="63"/>
  <c r="G89" i="63"/>
  <c r="E18" i="63"/>
  <c r="G137" i="63"/>
  <c r="E126" i="63"/>
  <c r="C18" i="63"/>
  <c r="G161" i="63"/>
  <c r="E162" i="63"/>
  <c r="C78" i="63"/>
  <c r="E174" i="63"/>
  <c r="E222" i="63"/>
  <c r="G173" i="63"/>
  <c r="D114" i="63"/>
  <c r="E78" i="63"/>
  <c r="G65" i="63"/>
  <c r="D174" i="63"/>
  <c r="G53" i="63"/>
  <c r="E6" i="63"/>
  <c r="E30" i="63"/>
  <c r="C222" i="63"/>
  <c r="E198" i="63"/>
  <c r="E114" i="63"/>
  <c r="D126" i="63"/>
  <c r="C162" i="63"/>
  <c r="D102" i="63"/>
  <c r="C174" i="63"/>
  <c r="G149" i="63"/>
  <c r="D6" i="63"/>
  <c r="D30" i="63"/>
  <c r="E150" i="63"/>
  <c r="C186" i="63"/>
  <c r="H24" i="47"/>
  <c r="I19" i="47" a="1"/>
  <c r="I19" i="47" s="1"/>
  <c r="H24" i="46"/>
  <c r="H46" i="42"/>
  <c r="H48" i="42"/>
  <c r="H44" i="42"/>
  <c r="H44" i="56"/>
  <c r="H48" i="56"/>
  <c r="H29" i="46"/>
  <c r="H44" i="46"/>
  <c r="H46" i="46"/>
  <c r="H48" i="46"/>
  <c r="H57" i="41"/>
  <c r="H48" i="41"/>
  <c r="H44" i="41"/>
  <c r="H46" i="41"/>
  <c r="H46" i="55"/>
  <c r="H48" i="55"/>
  <c r="H44" i="55"/>
  <c r="H48" i="49"/>
  <c r="H46" i="49"/>
  <c r="H44" i="49"/>
  <c r="H48" i="40"/>
  <c r="H44" i="40"/>
  <c r="H46" i="40"/>
  <c r="H48" i="45"/>
  <c r="H44" i="45"/>
  <c r="H57" i="45"/>
  <c r="H46" i="45"/>
  <c r="H48" i="48"/>
  <c r="H46" i="48"/>
  <c r="H44" i="48"/>
  <c r="H44" i="38"/>
  <c r="H48" i="52"/>
  <c r="H46" i="52"/>
  <c r="H44" i="52"/>
  <c r="H46" i="53"/>
  <c r="H44" i="53"/>
  <c r="H44" i="54"/>
  <c r="H48" i="54"/>
  <c r="H46" i="54"/>
  <c r="H46" i="51"/>
  <c r="H48" i="51"/>
  <c r="H44" i="51"/>
  <c r="H46" i="43"/>
  <c r="H48" i="43"/>
  <c r="H44" i="43"/>
  <c r="H29" i="47"/>
  <c r="H46" i="47"/>
  <c r="H48" i="47"/>
  <c r="H44" i="47"/>
  <c r="H48" i="35"/>
  <c r="H46" i="35"/>
  <c r="H44" i="35"/>
  <c r="H48" i="50"/>
  <c r="H44" i="50"/>
  <c r="H46" i="50"/>
  <c r="H44" i="44"/>
  <c r="H46" i="44"/>
  <c r="H48" i="44"/>
  <c r="H20" i="51"/>
  <c r="H18" i="51" s="1" a="1"/>
  <c r="H18" i="51" s="1"/>
  <c r="H30" i="51"/>
  <c r="H47" i="47"/>
  <c r="H46" i="56"/>
  <c r="H47" i="56"/>
  <c r="H47" i="42"/>
  <c r="H47" i="44"/>
  <c r="H47" i="55"/>
  <c r="H47" i="40"/>
  <c r="H12" i="45"/>
  <c r="H47" i="45"/>
  <c r="H23" i="35"/>
  <c r="H47" i="35"/>
  <c r="H24" i="48"/>
  <c r="H47" i="48"/>
  <c r="H47" i="49"/>
  <c r="H48" i="38"/>
  <c r="H47" i="38"/>
  <c r="H24" i="54"/>
  <c r="H47" i="54"/>
  <c r="H47" i="51"/>
  <c r="H47" i="52"/>
  <c r="H47" i="43"/>
  <c r="H47" i="46"/>
  <c r="H47" i="50"/>
  <c r="H47" i="53"/>
  <c r="H47" i="41"/>
  <c r="G49" i="47"/>
  <c r="I19" i="48" a="1"/>
  <c r="I19" i="48" s="1"/>
  <c r="I18" i="48" a="1"/>
  <c r="I18" i="48" s="1"/>
  <c r="G26" i="47"/>
  <c r="H31" i="48"/>
  <c r="H30" i="52"/>
  <c r="H31" i="52"/>
  <c r="H30" i="50"/>
  <c r="H31" i="50"/>
  <c r="H20" i="56"/>
  <c r="H30" i="56"/>
  <c r="H31" i="56"/>
  <c r="H31" i="42"/>
  <c r="H30" i="42"/>
  <c r="H31" i="45"/>
  <c r="H30" i="45"/>
  <c r="H31" i="49"/>
  <c r="H30" i="49"/>
  <c r="H20" i="46"/>
  <c r="H30" i="46"/>
  <c r="H31" i="46"/>
  <c r="H30" i="55"/>
  <c r="H31" i="55"/>
  <c r="H31" i="40"/>
  <c r="H30" i="40"/>
  <c r="H30" i="53"/>
  <c r="H31" i="53"/>
  <c r="H30" i="41"/>
  <c r="H31" i="41"/>
  <c r="H20" i="43"/>
  <c r="H30" i="43"/>
  <c r="H31" i="43"/>
  <c r="H31" i="47"/>
  <c r="H30" i="47"/>
  <c r="H30" i="38"/>
  <c r="H31" i="38"/>
  <c r="H31" i="44"/>
  <c r="H30" i="44"/>
  <c r="H30" i="48"/>
  <c r="H30" i="35"/>
  <c r="H31" i="35"/>
  <c r="H31" i="54"/>
  <c r="H30" i="54"/>
  <c r="H40" i="51"/>
  <c r="H31" i="51"/>
  <c r="H40" i="42"/>
  <c r="H20" i="42"/>
  <c r="H40" i="40"/>
  <c r="H20" i="40"/>
  <c r="H40" i="53"/>
  <c r="H20" i="53"/>
  <c r="H40" i="41"/>
  <c r="H20" i="41"/>
  <c r="H40" i="47"/>
  <c r="H20" i="47"/>
  <c r="H40" i="38"/>
  <c r="H20" i="38"/>
  <c r="H40" i="49"/>
  <c r="H20" i="49"/>
  <c r="H40" i="44"/>
  <c r="H20" i="44"/>
  <c r="H40" i="48"/>
  <c r="H20" i="48"/>
  <c r="H40" i="35"/>
  <c r="H20" i="35"/>
  <c r="H40" i="54"/>
  <c r="H20" i="54"/>
  <c r="H40" i="52"/>
  <c r="H20" i="52"/>
  <c r="H40" i="50"/>
  <c r="H20" i="50"/>
  <c r="H40" i="45"/>
  <c r="H20" i="45"/>
  <c r="H40" i="55"/>
  <c r="H20" i="55"/>
  <c r="H57" i="43"/>
  <c r="H40" i="43"/>
  <c r="H40" i="56"/>
  <c r="H57" i="46"/>
  <c r="H40" i="46"/>
  <c r="G26" i="56"/>
  <c r="G26" i="48"/>
  <c r="G26" i="51"/>
  <c r="G26" i="54"/>
  <c r="G26" i="46"/>
  <c r="G26" i="45"/>
  <c r="G26" i="49"/>
  <c r="G26" i="44"/>
  <c r="G26" i="43"/>
  <c r="G26" i="40"/>
  <c r="G26" i="42"/>
  <c r="G26" i="35"/>
  <c r="G26" i="52"/>
  <c r="G26" i="50"/>
  <c r="G26" i="38"/>
  <c r="G26" i="55"/>
  <c r="G26" i="41"/>
  <c r="G26" i="53"/>
  <c r="G58" i="53"/>
  <c r="G49" i="44"/>
  <c r="G49" i="51"/>
  <c r="G49" i="38"/>
  <c r="G49" i="49"/>
  <c r="G36" i="44"/>
  <c r="G14" i="53"/>
  <c r="G14" i="48"/>
  <c r="G36" i="38"/>
  <c r="G42" i="56"/>
  <c r="G14" i="50"/>
  <c r="G49" i="45"/>
  <c r="G14" i="47"/>
  <c r="G42" i="42"/>
  <c r="G49" i="43"/>
  <c r="G36" i="45"/>
  <c r="G42" i="40"/>
  <c r="G42" i="53"/>
  <c r="G42" i="52"/>
  <c r="H32" i="52"/>
  <c r="G36" i="46"/>
  <c r="G42" i="44"/>
  <c r="G49" i="42"/>
  <c r="G42" i="48"/>
  <c r="G49" i="40"/>
  <c r="G58" i="54"/>
  <c r="G36" i="54"/>
  <c r="G42" i="47"/>
  <c r="H23" i="49"/>
  <c r="H13" i="49"/>
  <c r="H33" i="49"/>
  <c r="H24" i="49"/>
  <c r="H41" i="49"/>
  <c r="H35" i="49"/>
  <c r="H25" i="49"/>
  <c r="H28" i="49"/>
  <c r="H12" i="49"/>
  <c r="H56" i="49" s="1"/>
  <c r="H38" i="49"/>
  <c r="H29" i="49"/>
  <c r="H32" i="49"/>
  <c r="H34" i="49"/>
  <c r="H39" i="49"/>
  <c r="H57" i="49"/>
  <c r="H22" i="49"/>
  <c r="G42" i="35"/>
  <c r="G36" i="52"/>
  <c r="J7" i="46"/>
  <c r="J7" i="51"/>
  <c r="J55" i="39"/>
  <c r="AA48" i="30"/>
  <c r="J7" i="54"/>
  <c r="J55" i="54"/>
  <c r="J55" i="44"/>
  <c r="J7" i="39"/>
  <c r="J55" i="40"/>
  <c r="J55" i="47"/>
  <c r="J55" i="45"/>
  <c r="J55" i="53"/>
  <c r="J7" i="44"/>
  <c r="J55" i="51"/>
  <c r="J55" i="50"/>
  <c r="J7" i="35"/>
  <c r="J7" i="41"/>
  <c r="J7" i="52"/>
  <c r="J7" i="47"/>
  <c r="J7" i="40"/>
  <c r="J55" i="55"/>
  <c r="J55" i="49"/>
  <c r="J55" i="38"/>
  <c r="J7" i="45"/>
  <c r="J7" i="50"/>
  <c r="J19" i="50" s="1" a="1"/>
  <c r="J19" i="50" s="1"/>
  <c r="J7" i="48"/>
  <c r="J7" i="53"/>
  <c r="J7" i="43"/>
  <c r="J55" i="48"/>
  <c r="J7" i="38"/>
  <c r="J7" i="56"/>
  <c r="J55" i="43"/>
  <c r="J7" i="49"/>
  <c r="J55" i="41"/>
  <c r="J55" i="35"/>
  <c r="J55" i="46"/>
  <c r="J55" i="42"/>
  <c r="J55" i="52"/>
  <c r="J7" i="55"/>
  <c r="J7" i="42"/>
  <c r="J55" i="56"/>
  <c r="H57" i="48"/>
  <c r="H22" i="48"/>
  <c r="H38" i="48"/>
  <c r="H32" i="48"/>
  <c r="H25" i="48"/>
  <c r="H39" i="48"/>
  <c r="H13" i="48"/>
  <c r="H12" i="48"/>
  <c r="H34" i="48"/>
  <c r="H35" i="48"/>
  <c r="H33" i="48"/>
  <c r="H23" i="48"/>
  <c r="H41" i="48"/>
  <c r="G36" i="43"/>
  <c r="I9" i="48" a="1"/>
  <c r="I9" i="48" s="1"/>
  <c r="I8" i="48" a="1"/>
  <c r="I8" i="48" s="1"/>
  <c r="I8" i="54" a="1"/>
  <c r="I8" i="54" s="1"/>
  <c r="I39" i="54" s="1"/>
  <c r="I9" i="54" a="1"/>
  <c r="I9" i="54" s="1"/>
  <c r="I19" i="54" a="1"/>
  <c r="I19" i="54" s="1"/>
  <c r="I18" i="54" a="1"/>
  <c r="I18" i="54" s="1"/>
  <c r="H28" i="41"/>
  <c r="H34" i="41"/>
  <c r="H41" i="41"/>
  <c r="H25" i="41"/>
  <c r="H33" i="41"/>
  <c r="H24" i="41"/>
  <c r="H29" i="41"/>
  <c r="H12" i="41"/>
  <c r="H35" i="41"/>
  <c r="H39" i="41"/>
  <c r="H13" i="41"/>
  <c r="H22" i="41"/>
  <c r="H38" i="41"/>
  <c r="H32" i="41"/>
  <c r="H23" i="41"/>
  <c r="G42" i="54"/>
  <c r="G49" i="56"/>
  <c r="G42" i="41"/>
  <c r="G14" i="35"/>
  <c r="G56" i="35"/>
  <c r="G58" i="35" s="1"/>
  <c r="G49" i="52"/>
  <c r="H34" i="43"/>
  <c r="H29" i="43"/>
  <c r="H28" i="43"/>
  <c r="H13" i="43"/>
  <c r="H25" i="43"/>
  <c r="H35" i="43"/>
  <c r="H22" i="43"/>
  <c r="H38" i="43"/>
  <c r="H24" i="43"/>
  <c r="H12" i="43"/>
  <c r="H33" i="43"/>
  <c r="H23" i="43"/>
  <c r="H39" i="43"/>
  <c r="H32" i="43"/>
  <c r="H41" i="43"/>
  <c r="G42" i="49"/>
  <c r="N50" i="30"/>
  <c r="O49" i="30"/>
  <c r="G49" i="48"/>
  <c r="G14" i="43"/>
  <c r="G56" i="43"/>
  <c r="G58" i="43" s="1"/>
  <c r="G42" i="38"/>
  <c r="I19" i="51" a="1"/>
  <c r="I19" i="51" s="1"/>
  <c r="I8" i="51" a="1"/>
  <c r="I8" i="51" s="1"/>
  <c r="I39" i="51" s="1"/>
  <c r="I9" i="51" a="1"/>
  <c r="I9" i="51" s="1"/>
  <c r="I8" i="38" a="1"/>
  <c r="I8" i="38" s="1"/>
  <c r="I39" i="38" s="1"/>
  <c r="I18" i="38" a="1"/>
  <c r="I18" i="38" s="1"/>
  <c r="I19" i="38" a="1"/>
  <c r="I19" i="38" s="1"/>
  <c r="I9" i="38" a="1"/>
  <c r="I9" i="38" s="1"/>
  <c r="G56" i="40"/>
  <c r="G58" i="40" s="1"/>
  <c r="G14" i="40"/>
  <c r="G58" i="47"/>
  <c r="G56" i="56"/>
  <c r="G58" i="56" s="1"/>
  <c r="G14" i="56"/>
  <c r="H13" i="38"/>
  <c r="H41" i="38"/>
  <c r="H32" i="38"/>
  <c r="H24" i="38"/>
  <c r="H34" i="38"/>
  <c r="H29" i="38"/>
  <c r="H28" i="38"/>
  <c r="H25" i="38"/>
  <c r="H35" i="38"/>
  <c r="H33" i="38"/>
  <c r="H57" i="38"/>
  <c r="H22" i="38"/>
  <c r="H12" i="38"/>
  <c r="H38" i="38"/>
  <c r="H23" i="38"/>
  <c r="H39" i="38"/>
  <c r="G36" i="42"/>
  <c r="G56" i="52"/>
  <c r="G58" i="52" s="1"/>
  <c r="G14" i="52"/>
  <c r="H33" i="42"/>
  <c r="H32" i="42"/>
  <c r="H39" i="42"/>
  <c r="H29" i="42"/>
  <c r="H35" i="42"/>
  <c r="H13" i="42"/>
  <c r="H38" i="42"/>
  <c r="H28" i="42"/>
  <c r="H57" i="42"/>
  <c r="H22" i="42"/>
  <c r="H41" i="42"/>
  <c r="H23" i="42"/>
  <c r="H12" i="42"/>
  <c r="H34" i="42"/>
  <c r="H25" i="42"/>
  <c r="G42" i="46"/>
  <c r="G56" i="49"/>
  <c r="G58" i="49" s="1"/>
  <c r="G14" i="49"/>
  <c r="G42" i="50"/>
  <c r="G56" i="38"/>
  <c r="G58" i="38" s="1"/>
  <c r="G14" i="38"/>
  <c r="I19" i="55" a="1"/>
  <c r="I19" i="55" s="1"/>
  <c r="I8" i="55" a="1"/>
  <c r="I8" i="55" s="1"/>
  <c r="I39" i="55" s="1"/>
  <c r="I18" i="55" a="1"/>
  <c r="I18" i="55" s="1"/>
  <c r="I9" i="55" a="1"/>
  <c r="I9" i="55" s="1"/>
  <c r="I8" i="56" a="1"/>
  <c r="I8" i="56" s="1"/>
  <c r="I39" i="56" s="1"/>
  <c r="I18" i="56" a="1"/>
  <c r="I18" i="56" s="1"/>
  <c r="I19" i="56" a="1"/>
  <c r="I19" i="56" s="1"/>
  <c r="I9" i="56" a="1"/>
  <c r="I9" i="56" s="1"/>
  <c r="G49" i="55"/>
  <c r="H41" i="54"/>
  <c r="H25" i="54"/>
  <c r="H28" i="54"/>
  <c r="H22" i="54"/>
  <c r="H39" i="54"/>
  <c r="H33" i="54"/>
  <c r="H34" i="54"/>
  <c r="H12" i="54"/>
  <c r="H23" i="54"/>
  <c r="H38" i="54"/>
  <c r="H32" i="54"/>
  <c r="H29" i="54"/>
  <c r="H13" i="54"/>
  <c r="H35" i="54"/>
  <c r="H57" i="54"/>
  <c r="G36" i="53"/>
  <c r="H23" i="56"/>
  <c r="H28" i="56"/>
  <c r="H29" i="56"/>
  <c r="H24" i="56"/>
  <c r="H12" i="56"/>
  <c r="H56" i="56" s="1"/>
  <c r="H35" i="56"/>
  <c r="H22" i="56"/>
  <c r="H39" i="56"/>
  <c r="H33" i="56"/>
  <c r="H41" i="56"/>
  <c r="H57" i="56"/>
  <c r="H38" i="56"/>
  <c r="H34" i="56"/>
  <c r="H13" i="56"/>
  <c r="H25" i="56"/>
  <c r="H32" i="56"/>
  <c r="I19" i="49" a="1"/>
  <c r="I19" i="49" s="1"/>
  <c r="I18" i="49" a="1"/>
  <c r="I18" i="49" s="1"/>
  <c r="I9" i="49" a="1"/>
  <c r="I9" i="49" s="1"/>
  <c r="I8" i="49" a="1"/>
  <c r="I8" i="49" s="1"/>
  <c r="I39" i="49" s="1"/>
  <c r="H33" i="35"/>
  <c r="H57" i="35"/>
  <c r="H22" i="35"/>
  <c r="H25" i="35"/>
  <c r="H12" i="35"/>
  <c r="H34" i="35"/>
  <c r="H38" i="35"/>
  <c r="H28" i="35"/>
  <c r="H24" i="35"/>
  <c r="H13" i="35"/>
  <c r="H29" i="35"/>
  <c r="H32" i="35"/>
  <c r="H39" i="35"/>
  <c r="H41" i="35"/>
  <c r="H35" i="35"/>
  <c r="G56" i="55"/>
  <c r="G58" i="55" s="1"/>
  <c r="G14" i="55"/>
  <c r="G36" i="47"/>
  <c r="H22" i="50"/>
  <c r="H12" i="50"/>
  <c r="H34" i="50"/>
  <c r="H28" i="50"/>
  <c r="H57" i="50"/>
  <c r="H25" i="50"/>
  <c r="H29" i="50"/>
  <c r="H38" i="50"/>
  <c r="H39" i="50"/>
  <c r="H33" i="50"/>
  <c r="H32" i="50"/>
  <c r="H24" i="50"/>
  <c r="H23" i="50"/>
  <c r="H35" i="50"/>
  <c r="H41" i="50"/>
  <c r="H13" i="50"/>
  <c r="G36" i="41"/>
  <c r="G56" i="46"/>
  <c r="G58" i="46" s="1"/>
  <c r="G14" i="46"/>
  <c r="H32" i="53"/>
  <c r="H57" i="53"/>
  <c r="H13" i="53"/>
  <c r="H28" i="53"/>
  <c r="H38" i="53"/>
  <c r="H33" i="53"/>
  <c r="H12" i="53"/>
  <c r="H22" i="53"/>
  <c r="H34" i="53"/>
  <c r="H29" i="53"/>
  <c r="H39" i="53"/>
  <c r="H25" i="53"/>
  <c r="H35" i="53"/>
  <c r="H23" i="53"/>
  <c r="H24" i="53"/>
  <c r="H41" i="53"/>
  <c r="I8" i="44" a="1"/>
  <c r="I8" i="44" s="1"/>
  <c r="I39" i="44" s="1"/>
  <c r="I9" i="44" a="1"/>
  <c r="I9" i="44" s="1"/>
  <c r="I19" i="44" a="1"/>
  <c r="I19" i="44" s="1"/>
  <c r="I18" i="44" a="1"/>
  <c r="I18" i="44" s="1"/>
  <c r="I8" i="45" a="1"/>
  <c r="I8" i="45" s="1"/>
  <c r="I39" i="45" s="1"/>
  <c r="I19" i="45" a="1"/>
  <c r="I19" i="45" s="1"/>
  <c r="I18" i="45" a="1"/>
  <c r="I18" i="45" s="1"/>
  <c r="I9" i="45" a="1"/>
  <c r="I9" i="45" s="1"/>
  <c r="I18" i="41" a="1"/>
  <c r="I18" i="41" s="1"/>
  <c r="I19" i="41" a="1"/>
  <c r="I19" i="41" s="1"/>
  <c r="I9" i="41" a="1"/>
  <c r="I9" i="41" s="1"/>
  <c r="I8" i="41" a="1"/>
  <c r="I8" i="41" s="1"/>
  <c r="I39" i="41" s="1"/>
  <c r="G56" i="45"/>
  <c r="G58" i="45" s="1"/>
  <c r="G14" i="45"/>
  <c r="G56" i="41"/>
  <c r="G58" i="41" s="1"/>
  <c r="G14" i="41"/>
  <c r="G36" i="35"/>
  <c r="H25" i="40"/>
  <c r="H41" i="40"/>
  <c r="H12" i="40"/>
  <c r="H24" i="40"/>
  <c r="H35" i="40"/>
  <c r="H32" i="40"/>
  <c r="H28" i="40"/>
  <c r="H38" i="40"/>
  <c r="H39" i="40"/>
  <c r="H34" i="40"/>
  <c r="H13" i="40"/>
  <c r="H33" i="40"/>
  <c r="H57" i="40"/>
  <c r="H23" i="40"/>
  <c r="H29" i="40"/>
  <c r="H22" i="40"/>
  <c r="G42" i="51"/>
  <c r="H33" i="47"/>
  <c r="H12" i="47"/>
  <c r="H56" i="47" s="1"/>
  <c r="H32" i="47"/>
  <c r="H23" i="47"/>
  <c r="H57" i="47"/>
  <c r="H13" i="47"/>
  <c r="H41" i="47"/>
  <c r="H25" i="47"/>
  <c r="H22" i="47"/>
  <c r="H39" i="47"/>
  <c r="H34" i="47"/>
  <c r="H35" i="47"/>
  <c r="H28" i="47"/>
  <c r="H38" i="47"/>
  <c r="G36" i="48"/>
  <c r="I9" i="47" a="1"/>
  <c r="I9" i="47" s="1"/>
  <c r="I8" i="47" a="1"/>
  <c r="I8" i="47" s="1"/>
  <c r="I39" i="47" s="1"/>
  <c r="I18" i="47" a="1"/>
  <c r="I18" i="47" s="1"/>
  <c r="I19" i="50" a="1"/>
  <c r="I19" i="50" s="1"/>
  <c r="I8" i="50" a="1"/>
  <c r="I8" i="50" s="1"/>
  <c r="I39" i="50" s="1"/>
  <c r="I18" i="50" a="1"/>
  <c r="I18" i="50" s="1"/>
  <c r="I9" i="50" a="1"/>
  <c r="I9" i="50" s="1"/>
  <c r="I19" i="53" a="1"/>
  <c r="I19" i="53" s="1"/>
  <c r="I18" i="53" a="1"/>
  <c r="I18" i="53" s="1"/>
  <c r="I9" i="53" a="1"/>
  <c r="I9" i="53" s="1"/>
  <c r="I8" i="53" a="1"/>
  <c r="I8" i="53" s="1"/>
  <c r="I39" i="53" s="1"/>
  <c r="G36" i="55"/>
  <c r="G36" i="40"/>
  <c r="G14" i="54"/>
  <c r="G49" i="41"/>
  <c r="G49" i="35"/>
  <c r="G36" i="51"/>
  <c r="H38" i="45"/>
  <c r="H35" i="45"/>
  <c r="H33" i="45"/>
  <c r="H41" i="45"/>
  <c r="H28" i="45"/>
  <c r="H29" i="45"/>
  <c r="H39" i="45"/>
  <c r="H34" i="45"/>
  <c r="H25" i="45"/>
  <c r="H32" i="45"/>
  <c r="H24" i="45"/>
  <c r="H23" i="45"/>
  <c r="H13" i="45"/>
  <c r="H22" i="45"/>
  <c r="H35" i="44"/>
  <c r="H39" i="44"/>
  <c r="H24" i="44"/>
  <c r="H33" i="44"/>
  <c r="H41" i="44"/>
  <c r="H34" i="44"/>
  <c r="H57" i="44"/>
  <c r="H32" i="44"/>
  <c r="H12" i="44"/>
  <c r="H23" i="44"/>
  <c r="H38" i="44"/>
  <c r="H22" i="44"/>
  <c r="H29" i="44"/>
  <c r="H28" i="44"/>
  <c r="H13" i="44"/>
  <c r="H25" i="44"/>
  <c r="G49" i="50"/>
  <c r="G58" i="50"/>
  <c r="G42" i="43"/>
  <c r="I19" i="52" a="1"/>
  <c r="I19" i="52" s="1"/>
  <c r="I18" i="52" a="1"/>
  <c r="I18" i="52" s="1"/>
  <c r="I9" i="52" a="1"/>
  <c r="I9" i="52" s="1"/>
  <c r="I8" i="52" a="1"/>
  <c r="I8" i="52" s="1"/>
  <c r="I39" i="52" s="1"/>
  <c r="I18" i="40" a="1"/>
  <c r="I18" i="40" s="1"/>
  <c r="I19" i="40" a="1"/>
  <c r="I19" i="40" s="1"/>
  <c r="I8" i="40" a="1"/>
  <c r="I8" i="40" s="1"/>
  <c r="I39" i="40" s="1"/>
  <c r="I9" i="40" a="1"/>
  <c r="I9" i="40" s="1"/>
  <c r="I8" i="35" a="1"/>
  <c r="I8" i="35" s="1"/>
  <c r="I39" i="35" s="1"/>
  <c r="I9" i="35" a="1"/>
  <c r="I9" i="35" s="1"/>
  <c r="I18" i="35" a="1"/>
  <c r="I18" i="35" s="1"/>
  <c r="I19" i="35" a="1"/>
  <c r="I19" i="35" s="1"/>
  <c r="I18" i="43" a="1"/>
  <c r="I18" i="43" s="1"/>
  <c r="I9" i="43" a="1"/>
  <c r="I9" i="43" s="1"/>
  <c r="I19" i="43" a="1"/>
  <c r="I19" i="43" s="1"/>
  <c r="I8" i="43" a="1"/>
  <c r="I8" i="43" s="1"/>
  <c r="I39" i="43" s="1"/>
  <c r="I8" i="42" a="1"/>
  <c r="I8" i="42" s="1"/>
  <c r="I18" i="42" a="1"/>
  <c r="I18" i="42" s="1"/>
  <c r="I19" i="42" a="1"/>
  <c r="I19" i="42" s="1"/>
  <c r="I9" i="42" a="1"/>
  <c r="I9" i="42" s="1"/>
  <c r="G42" i="55"/>
  <c r="G49" i="54"/>
  <c r="G36" i="56"/>
  <c r="H28" i="51"/>
  <c r="H23" i="51"/>
  <c r="H32" i="51"/>
  <c r="H39" i="51"/>
  <c r="H22" i="51"/>
  <c r="H12" i="51"/>
  <c r="H35" i="51"/>
  <c r="H24" i="51"/>
  <c r="H33" i="51"/>
  <c r="H38" i="51"/>
  <c r="H13" i="51"/>
  <c r="H57" i="51"/>
  <c r="H29" i="51"/>
  <c r="H25" i="51"/>
  <c r="H41" i="51"/>
  <c r="H34" i="51"/>
  <c r="G14" i="51"/>
  <c r="G56" i="51"/>
  <c r="G58" i="51" s="1"/>
  <c r="H33" i="52"/>
  <c r="H57" i="52"/>
  <c r="H38" i="52"/>
  <c r="H13" i="52"/>
  <c r="H23" i="52"/>
  <c r="H24" i="52"/>
  <c r="H34" i="52"/>
  <c r="H35" i="52"/>
  <c r="H41" i="52"/>
  <c r="H12" i="52"/>
  <c r="H28" i="52"/>
  <c r="H29" i="52"/>
  <c r="H22" i="52"/>
  <c r="H39" i="52"/>
  <c r="H25" i="52"/>
  <c r="G49" i="46"/>
  <c r="G36" i="49"/>
  <c r="G56" i="44"/>
  <c r="G58" i="44" s="1"/>
  <c r="G14" i="44"/>
  <c r="G58" i="48"/>
  <c r="G36" i="50"/>
  <c r="I19" i="46" a="1"/>
  <c r="I19" i="46" s="1"/>
  <c r="I18" i="46" a="1"/>
  <c r="I18" i="46" s="1"/>
  <c r="I9" i="46" a="1"/>
  <c r="I9" i="46" s="1"/>
  <c r="I8" i="46" a="1"/>
  <c r="I8" i="46" s="1"/>
  <c r="I39" i="46" s="1"/>
  <c r="G42" i="45"/>
  <c r="H13" i="46"/>
  <c r="H23" i="46"/>
  <c r="H41" i="46"/>
  <c r="H39" i="46"/>
  <c r="H34" i="46"/>
  <c r="H35" i="46"/>
  <c r="H25" i="46"/>
  <c r="H28" i="46"/>
  <c r="H38" i="46"/>
  <c r="H33" i="46"/>
  <c r="H22" i="46"/>
  <c r="H12" i="46"/>
  <c r="H32" i="46"/>
  <c r="H23" i="55"/>
  <c r="H39" i="55"/>
  <c r="H28" i="55"/>
  <c r="H22" i="55"/>
  <c r="H41" i="55"/>
  <c r="H34" i="55"/>
  <c r="H57" i="55"/>
  <c r="H35" i="55"/>
  <c r="H12" i="55"/>
  <c r="H13" i="55"/>
  <c r="H33" i="55"/>
  <c r="H24" i="55"/>
  <c r="H38" i="55"/>
  <c r="H25" i="55"/>
  <c r="H29" i="55"/>
  <c r="H32" i="55"/>
  <c r="G49" i="53"/>
  <c r="G56" i="42"/>
  <c r="G58" i="42" s="1"/>
  <c r="G14" i="42"/>
  <c r="D223" i="63" a="1"/>
  <c r="F78" i="63" a="1"/>
  <c r="G138" i="63" a="1"/>
  <c r="C199" i="63" a="1"/>
  <c r="G174" i="63" a="1"/>
  <c r="F222" i="63" a="1"/>
  <c r="F162" i="63" a="1"/>
  <c r="G90" i="63" a="1"/>
  <c r="G66" i="63" a="1"/>
  <c r="D151" i="63" a="1"/>
  <c r="C139" i="63" a="1"/>
  <c r="E43" i="63" a="1"/>
  <c r="G126" i="63" a="1"/>
  <c r="F138" i="63" a="1"/>
  <c r="C103" i="63" a="1"/>
  <c r="E187" i="63" a="1"/>
  <c r="F90" i="63" a="1"/>
  <c r="E223" i="63" a="1"/>
  <c r="G210" i="63" a="1"/>
  <c r="F198" i="63" a="1"/>
  <c r="F54" i="63" a="1"/>
  <c r="G42" i="63" a="1"/>
  <c r="C19" i="63" a="1"/>
  <c r="E211" i="63" a="1"/>
  <c r="F30" i="63" a="1"/>
  <c r="G102" i="63" a="1"/>
  <c r="C223" i="63" a="1"/>
  <c r="G78" i="63" a="1"/>
  <c r="C163" i="63" a="1"/>
  <c r="C175" i="63" a="1"/>
  <c r="D115" i="63" a="1"/>
  <c r="E67" i="63" a="1"/>
  <c r="D31" i="63" a="1"/>
  <c r="G114" i="63" a="1"/>
  <c r="D211" i="63" a="1"/>
  <c r="F126" i="63" a="1"/>
  <c r="G150" i="63" a="1"/>
  <c r="F42" i="63" a="1"/>
  <c r="D79" i="63" a="1"/>
  <c r="G186" i="63" a="1"/>
  <c r="G162" i="63" a="1"/>
  <c r="G6" i="63" a="1"/>
  <c r="G222" i="63" a="1"/>
  <c r="E115" i="63" a="1"/>
  <c r="E163" i="63" a="1"/>
  <c r="C91" i="63" a="1"/>
  <c r="F150" i="63" a="1"/>
  <c r="F102" i="63" a="1"/>
  <c r="C211" i="63" a="1"/>
  <c r="D55" i="63" a="1"/>
  <c r="G18" i="63" a="1"/>
  <c r="C67" i="63" a="1"/>
  <c r="C115" i="63" a="1"/>
  <c r="G198" i="63" a="1"/>
  <c r="E139" i="63" a="1"/>
  <c r="E91" i="63" a="1"/>
  <c r="E79" i="63" a="1"/>
  <c r="E175" i="63" a="1"/>
  <c r="C55" i="63" a="1"/>
  <c r="F210" i="63" a="1"/>
  <c r="D138" i="63" a="1"/>
  <c r="E7" i="63" a="1"/>
  <c r="D7" i="63" a="1"/>
  <c r="C43" i="63" a="1"/>
  <c r="C187" i="63" a="1"/>
  <c r="F66" i="63" a="1"/>
  <c r="E127" i="63" a="1"/>
  <c r="D19" i="63" a="1"/>
  <c r="E31" i="63" a="1"/>
  <c r="D127" i="63" a="1"/>
  <c r="G30" i="63" a="1"/>
  <c r="G54" i="63" a="1"/>
  <c r="F114" i="63" a="1"/>
  <c r="D199" i="63" a="1"/>
  <c r="E19" i="63" a="1"/>
  <c r="E151" i="63" a="1"/>
  <c r="D187" i="63" a="1"/>
  <c r="C151" i="63" a="1"/>
  <c r="F174" i="63" a="1"/>
  <c r="C31" i="63" a="1"/>
  <c r="F186" i="63" a="1"/>
  <c r="D175" i="63" a="1"/>
  <c r="C127" i="63" a="1"/>
  <c r="D103" i="63" a="1"/>
  <c r="E103" i="63" a="1"/>
  <c r="E55" i="63" a="1"/>
  <c r="F6" i="63" a="1"/>
  <c r="C7" i="63" a="1"/>
  <c r="D91" i="63" a="1"/>
  <c r="F18" i="63" a="1"/>
  <c r="E199" i="63" a="1"/>
  <c r="C79" i="63" a="1"/>
  <c r="D67" i="63" a="1"/>
  <c r="D163" i="63" a="1"/>
  <c r="D43" i="63" a="1"/>
  <c r="I39" i="48" l="1"/>
  <c r="I29" i="48"/>
  <c r="I28" i="48"/>
  <c r="I24" i="42"/>
  <c r="I39" i="42"/>
  <c r="F102" i="63"/>
  <c r="F186" i="63"/>
  <c r="F42" i="63"/>
  <c r="F114" i="63"/>
  <c r="F54" i="63"/>
  <c r="F30" i="63"/>
  <c r="F90" i="63"/>
  <c r="F18" i="63"/>
  <c r="F222" i="63"/>
  <c r="F66" i="63"/>
  <c r="F78" i="63"/>
  <c r="F174" i="63"/>
  <c r="F162" i="63"/>
  <c r="F198" i="63"/>
  <c r="F138" i="63"/>
  <c r="F150" i="63"/>
  <c r="F6" i="63"/>
  <c r="F210" i="63"/>
  <c r="F126" i="63"/>
  <c r="D55" i="63"/>
  <c r="D19" i="63"/>
  <c r="E127" i="63"/>
  <c r="C199" i="63"/>
  <c r="E91" i="63"/>
  <c r="G162" i="63"/>
  <c r="G138" i="63"/>
  <c r="E19" i="63"/>
  <c r="G198" i="63"/>
  <c r="E7" i="63"/>
  <c r="C163" i="63"/>
  <c r="D151" i="63"/>
  <c r="D79" i="63"/>
  <c r="G174" i="63"/>
  <c r="E199" i="63"/>
  <c r="G42" i="63"/>
  <c r="E223" i="63"/>
  <c r="G186" i="63"/>
  <c r="E55" i="63"/>
  <c r="E43" i="63"/>
  <c r="D7" i="63"/>
  <c r="C151" i="63"/>
  <c r="E79" i="63"/>
  <c r="D223" i="63"/>
  <c r="D187" i="63"/>
  <c r="G90" i="63"/>
  <c r="E163" i="63"/>
  <c r="C91" i="63"/>
  <c r="D43" i="63"/>
  <c r="D163" i="63"/>
  <c r="G78" i="63"/>
  <c r="E151" i="63"/>
  <c r="G18" i="63"/>
  <c r="C79" i="63"/>
  <c r="E211" i="63"/>
  <c r="C223" i="63"/>
  <c r="E187" i="63"/>
  <c r="E103" i="63"/>
  <c r="C175" i="63"/>
  <c r="D103" i="63"/>
  <c r="C31" i="63"/>
  <c r="D67" i="63"/>
  <c r="G6" i="63"/>
  <c r="D211" i="63"/>
  <c r="G54" i="63"/>
  <c r="G30" i="63"/>
  <c r="D138" i="63"/>
  <c r="G102" i="63"/>
  <c r="C43" i="63"/>
  <c r="D91" i="63"/>
  <c r="C55" i="63"/>
  <c r="G66" i="63"/>
  <c r="C103" i="63"/>
  <c r="E67" i="63"/>
  <c r="C127" i="63"/>
  <c r="G210" i="63"/>
  <c r="C211" i="63"/>
  <c r="C139" i="63"/>
  <c r="C187" i="63"/>
  <c r="C7" i="63"/>
  <c r="C19" i="63"/>
  <c r="D175" i="63"/>
  <c r="E31" i="63"/>
  <c r="E139" i="63"/>
  <c r="C115" i="63"/>
  <c r="D115" i="63"/>
  <c r="E175" i="63"/>
  <c r="D31" i="63"/>
  <c r="C67" i="63"/>
  <c r="G150" i="63"/>
  <c r="D127" i="63"/>
  <c r="D199" i="63"/>
  <c r="G222" i="63"/>
  <c r="G126" i="63"/>
  <c r="E115" i="63"/>
  <c r="G114" i="63"/>
  <c r="I24" i="46"/>
  <c r="I24" i="47"/>
  <c r="J19" i="47" a="1"/>
  <c r="J19" i="47" s="1"/>
  <c r="I48" i="35"/>
  <c r="I45" i="35"/>
  <c r="I46" i="35"/>
  <c r="I48" i="41"/>
  <c r="I57" i="41"/>
  <c r="I45" i="41"/>
  <c r="I46" i="41"/>
  <c r="I48" i="49"/>
  <c r="I45" i="49"/>
  <c r="I46" i="49"/>
  <c r="I48" i="56"/>
  <c r="I45" i="56"/>
  <c r="I20" i="51"/>
  <c r="I46" i="51"/>
  <c r="I48" i="51"/>
  <c r="I45" i="51"/>
  <c r="I45" i="54"/>
  <c r="I48" i="54"/>
  <c r="I46" i="54"/>
  <c r="I48" i="48"/>
  <c r="I45" i="48"/>
  <c r="I46" i="48"/>
  <c r="I48" i="44"/>
  <c r="I46" i="44"/>
  <c r="I45" i="44"/>
  <c r="I29" i="47"/>
  <c r="I46" i="47"/>
  <c r="I45" i="47"/>
  <c r="I48" i="47"/>
  <c r="I46" i="55"/>
  <c r="I48" i="55"/>
  <c r="I45" i="55"/>
  <c r="I46" i="53"/>
  <c r="I45" i="53"/>
  <c r="I46" i="40"/>
  <c r="I48" i="40"/>
  <c r="I45" i="40"/>
  <c r="I46" i="52"/>
  <c r="I45" i="52"/>
  <c r="I48" i="52"/>
  <c r="I45" i="43"/>
  <c r="I46" i="43"/>
  <c r="I48" i="43"/>
  <c r="I45" i="50"/>
  <c r="I48" i="50"/>
  <c r="I46" i="50"/>
  <c r="I45" i="42"/>
  <c r="I46" i="42"/>
  <c r="I48" i="42"/>
  <c r="I29" i="46"/>
  <c r="I45" i="46"/>
  <c r="I48" i="46"/>
  <c r="I46" i="46"/>
  <c r="I45" i="45"/>
  <c r="I48" i="45"/>
  <c r="I45" i="38"/>
  <c r="I18" i="51" a="1"/>
  <c r="I18" i="51" s="1"/>
  <c r="I30" i="51"/>
  <c r="I47" i="46"/>
  <c r="I47" i="42"/>
  <c r="I47" i="35"/>
  <c r="I47" i="49"/>
  <c r="I47" i="44"/>
  <c r="I47" i="43"/>
  <c r="I47" i="40"/>
  <c r="I47" i="47"/>
  <c r="I48" i="38"/>
  <c r="I47" i="38"/>
  <c r="I46" i="38"/>
  <c r="I47" i="56"/>
  <c r="I46" i="56"/>
  <c r="I47" i="51"/>
  <c r="I47" i="53"/>
  <c r="I47" i="52"/>
  <c r="I47" i="45"/>
  <c r="I47" i="54"/>
  <c r="I47" i="41"/>
  <c r="I24" i="48"/>
  <c r="I47" i="48"/>
  <c r="I47" i="50"/>
  <c r="I47" i="55"/>
  <c r="H58" i="56"/>
  <c r="J19" i="54" a="1"/>
  <c r="J19" i="54" s="1"/>
  <c r="J18" i="54" a="1"/>
  <c r="J18" i="54" s="1"/>
  <c r="J19" i="48" a="1"/>
  <c r="J19" i="48" s="1"/>
  <c r="J18" i="48" a="1"/>
  <c r="J18" i="48" s="1"/>
  <c r="H26" i="56"/>
  <c r="H26" i="42"/>
  <c r="I31" i="48"/>
  <c r="I31" i="42"/>
  <c r="I30" i="42"/>
  <c r="I20" i="43"/>
  <c r="I30" i="43"/>
  <c r="I31" i="43"/>
  <c r="I30" i="55"/>
  <c r="I31" i="55"/>
  <c r="I30" i="38"/>
  <c r="I31" i="38"/>
  <c r="I30" i="35"/>
  <c r="I31" i="35"/>
  <c r="I30" i="40"/>
  <c r="I31" i="40"/>
  <c r="I31" i="50"/>
  <c r="I30" i="50"/>
  <c r="I31" i="54"/>
  <c r="I30" i="54"/>
  <c r="I20" i="46"/>
  <c r="I30" i="46"/>
  <c r="I31" i="46"/>
  <c r="I30" i="48"/>
  <c r="I30" i="53"/>
  <c r="I31" i="53"/>
  <c r="I31" i="45"/>
  <c r="I30" i="45"/>
  <c r="I30" i="52"/>
  <c r="I31" i="52"/>
  <c r="I31" i="47"/>
  <c r="I30" i="47"/>
  <c r="I20" i="41"/>
  <c r="I31" i="41"/>
  <c r="I30" i="41"/>
  <c r="I20" i="56"/>
  <c r="I30" i="56"/>
  <c r="I31" i="56"/>
  <c r="I30" i="49"/>
  <c r="I31" i="49"/>
  <c r="I31" i="44"/>
  <c r="I30" i="44"/>
  <c r="I40" i="51"/>
  <c r="I31" i="51"/>
  <c r="I40" i="53"/>
  <c r="I20" i="53"/>
  <c r="I40" i="45"/>
  <c r="I20" i="45"/>
  <c r="I40" i="48"/>
  <c r="I20" i="48"/>
  <c r="I40" i="52"/>
  <c r="I20" i="52"/>
  <c r="I40" i="47"/>
  <c r="I20" i="47"/>
  <c r="I40" i="49"/>
  <c r="I20" i="49"/>
  <c r="I40" i="44"/>
  <c r="I20" i="44"/>
  <c r="I40" i="55"/>
  <c r="I20" i="55"/>
  <c r="I40" i="35"/>
  <c r="I20" i="35"/>
  <c r="I40" i="40"/>
  <c r="I20" i="40"/>
  <c r="I40" i="50"/>
  <c r="I20" i="50"/>
  <c r="I40" i="38"/>
  <c r="I20" i="38"/>
  <c r="I40" i="42"/>
  <c r="I20" i="42"/>
  <c r="I40" i="54"/>
  <c r="I20" i="54"/>
  <c r="I40" i="41"/>
  <c r="I40" i="56"/>
  <c r="I57" i="43"/>
  <c r="I40" i="43"/>
  <c r="I57" i="46"/>
  <c r="I40" i="46"/>
  <c r="H26" i="45"/>
  <c r="H26" i="40"/>
  <c r="H26" i="49"/>
  <c r="H26" i="46"/>
  <c r="H26" i="52"/>
  <c r="H26" i="55"/>
  <c r="H26" i="38"/>
  <c r="H26" i="41"/>
  <c r="H26" i="44"/>
  <c r="H26" i="35"/>
  <c r="H26" i="43"/>
  <c r="H58" i="47"/>
  <c r="H26" i="50"/>
  <c r="H26" i="54"/>
  <c r="H26" i="48"/>
  <c r="H26" i="53"/>
  <c r="H26" i="47"/>
  <c r="H26" i="51"/>
  <c r="H49" i="54"/>
  <c r="H49" i="49"/>
  <c r="H42" i="48"/>
  <c r="H42" i="52"/>
  <c r="H42" i="40"/>
  <c r="H42" i="46"/>
  <c r="H49" i="42"/>
  <c r="H36" i="41"/>
  <c r="H49" i="53"/>
  <c r="H36" i="51"/>
  <c r="H42" i="54"/>
  <c r="H36" i="49"/>
  <c r="H36" i="52"/>
  <c r="I9" i="39"/>
  <c r="H36" i="44"/>
  <c r="H42" i="41"/>
  <c r="I34" i="46"/>
  <c r="I25" i="46"/>
  <c r="I23" i="46"/>
  <c r="I13" i="46"/>
  <c r="I41" i="46"/>
  <c r="I38" i="46"/>
  <c r="I32" i="46"/>
  <c r="I35" i="46"/>
  <c r="I28" i="46"/>
  <c r="I12" i="46"/>
  <c r="I56" i="46" s="1"/>
  <c r="I33" i="46"/>
  <c r="I22" i="46"/>
  <c r="H56" i="52"/>
  <c r="H58" i="52" s="1"/>
  <c r="H14" i="52"/>
  <c r="H49" i="52"/>
  <c r="H49" i="55"/>
  <c r="H56" i="46"/>
  <c r="H58" i="46" s="1"/>
  <c r="H14" i="46"/>
  <c r="H42" i="51"/>
  <c r="I23" i="40"/>
  <c r="I22" i="40"/>
  <c r="I41" i="40"/>
  <c r="I34" i="40"/>
  <c r="I25" i="40"/>
  <c r="I33" i="40"/>
  <c r="I57" i="40"/>
  <c r="I29" i="40"/>
  <c r="I28" i="40"/>
  <c r="I38" i="40"/>
  <c r="I32" i="40"/>
  <c r="I24" i="40"/>
  <c r="I12" i="40"/>
  <c r="I13" i="40"/>
  <c r="I35" i="40"/>
  <c r="H56" i="35"/>
  <c r="H58" i="35" s="1"/>
  <c r="H14" i="35"/>
  <c r="I38" i="49"/>
  <c r="I12" i="49"/>
  <c r="I22" i="49"/>
  <c r="I29" i="49"/>
  <c r="I34" i="49"/>
  <c r="I35" i="49"/>
  <c r="I23" i="49"/>
  <c r="I24" i="49"/>
  <c r="I41" i="49"/>
  <c r="I25" i="49"/>
  <c r="I13" i="49"/>
  <c r="I32" i="49"/>
  <c r="I57" i="49"/>
  <c r="I33" i="49"/>
  <c r="I28" i="49"/>
  <c r="H42" i="56"/>
  <c r="H36" i="42"/>
  <c r="I38" i="54"/>
  <c r="I29" i="54"/>
  <c r="I32" i="54"/>
  <c r="I28" i="54"/>
  <c r="I33" i="54"/>
  <c r="I24" i="54"/>
  <c r="I25" i="54"/>
  <c r="I35" i="54"/>
  <c r="I13" i="54"/>
  <c r="I57" i="54"/>
  <c r="I34" i="54"/>
  <c r="I23" i="54"/>
  <c r="I22" i="54"/>
  <c r="I12" i="54"/>
  <c r="I41" i="54"/>
  <c r="J19" i="44" a="1"/>
  <c r="J19" i="44" s="1"/>
  <c r="J8" i="44" a="1"/>
  <c r="J8" i="44" s="1"/>
  <c r="J39" i="44" s="1"/>
  <c r="J18" i="44" a="1"/>
  <c r="J18" i="44" s="1"/>
  <c r="J9" i="44" a="1"/>
  <c r="J9" i="44" s="1"/>
  <c r="J8" i="54" a="1"/>
  <c r="J8" i="54" s="1"/>
  <c r="J39" i="54" s="1"/>
  <c r="J9" i="54" a="1"/>
  <c r="J9" i="54" s="1"/>
  <c r="H14" i="49"/>
  <c r="H42" i="44"/>
  <c r="H49" i="45"/>
  <c r="H56" i="45"/>
  <c r="H58" i="45" s="1"/>
  <c r="H14" i="45"/>
  <c r="I34" i="45"/>
  <c r="I28" i="45"/>
  <c r="I22" i="45"/>
  <c r="I32" i="45"/>
  <c r="I12" i="45"/>
  <c r="I56" i="45" s="1"/>
  <c r="I29" i="45"/>
  <c r="I35" i="45"/>
  <c r="I41" i="45"/>
  <c r="I24" i="45"/>
  <c r="I25" i="45"/>
  <c r="I13" i="45"/>
  <c r="I38" i="45"/>
  <c r="I23" i="45"/>
  <c r="I33" i="45"/>
  <c r="H49" i="50"/>
  <c r="H36" i="50"/>
  <c r="H36" i="54"/>
  <c r="H14" i="42"/>
  <c r="H56" i="42"/>
  <c r="H58" i="42" s="1"/>
  <c r="H42" i="42"/>
  <c r="I38" i="38"/>
  <c r="I41" i="38"/>
  <c r="I57" i="38"/>
  <c r="I25" i="38"/>
  <c r="I13" i="38"/>
  <c r="I33" i="38"/>
  <c r="I24" i="38"/>
  <c r="I35" i="38"/>
  <c r="I34" i="38"/>
  <c r="I12" i="38"/>
  <c r="I32" i="38"/>
  <c r="I28" i="38"/>
  <c r="I22" i="38"/>
  <c r="I23" i="38"/>
  <c r="I29" i="38"/>
  <c r="H42" i="43"/>
  <c r="J8" i="43" a="1"/>
  <c r="J8" i="43" s="1"/>
  <c r="J39" i="43" s="1"/>
  <c r="J18" i="43" a="1"/>
  <c r="J18" i="43" s="1"/>
  <c r="J9" i="43" a="1"/>
  <c r="J9" i="43" s="1"/>
  <c r="J19" i="43" a="1"/>
  <c r="J19" i="43" s="1"/>
  <c r="J8" i="40" a="1"/>
  <c r="J8" i="40" s="1"/>
  <c r="J39" i="40" s="1"/>
  <c r="J18" i="40" a="1"/>
  <c r="J18" i="40" s="1"/>
  <c r="J9" i="40" a="1"/>
  <c r="J9" i="40" s="1"/>
  <c r="J19" i="40" a="1"/>
  <c r="J19" i="40" s="1"/>
  <c r="H58" i="49"/>
  <c r="I12" i="41"/>
  <c r="I33" i="41"/>
  <c r="I29" i="41"/>
  <c r="I24" i="41"/>
  <c r="I41" i="41"/>
  <c r="I28" i="41"/>
  <c r="I23" i="41"/>
  <c r="I38" i="41"/>
  <c r="I34" i="41"/>
  <c r="I35" i="41"/>
  <c r="I13" i="41"/>
  <c r="I22" i="41"/>
  <c r="I25" i="41"/>
  <c r="I32" i="41"/>
  <c r="I12" i="48"/>
  <c r="I56" i="48" s="1"/>
  <c r="I35" i="48"/>
  <c r="I22" i="48"/>
  <c r="I41" i="48"/>
  <c r="I23" i="48"/>
  <c r="I25" i="48"/>
  <c r="I38" i="48"/>
  <c r="I32" i="48"/>
  <c r="I33" i="48"/>
  <c r="I13" i="48"/>
  <c r="I34" i="48"/>
  <c r="I57" i="48"/>
  <c r="J18" i="53" a="1"/>
  <c r="J18" i="53" s="1"/>
  <c r="J8" i="53" a="1"/>
  <c r="J8" i="53" s="1"/>
  <c r="J39" i="53" s="1"/>
  <c r="J19" i="53" a="1"/>
  <c r="J19" i="53" s="1"/>
  <c r="J9" i="53" a="1"/>
  <c r="J9" i="53" s="1"/>
  <c r="J18" i="47" a="1"/>
  <c r="J18" i="47" s="1"/>
  <c r="J8" i="47" a="1"/>
  <c r="J8" i="47" s="1"/>
  <c r="J39" i="47" s="1"/>
  <c r="J9" i="47" a="1"/>
  <c r="J9" i="47" s="1"/>
  <c r="H42" i="49"/>
  <c r="H14" i="55"/>
  <c r="H56" i="55"/>
  <c r="H58" i="55" s="1"/>
  <c r="H36" i="55"/>
  <c r="H49" i="46"/>
  <c r="I19" i="39"/>
  <c r="I57" i="52"/>
  <c r="I34" i="52"/>
  <c r="I13" i="52"/>
  <c r="I22" i="52"/>
  <c r="I23" i="52"/>
  <c r="I33" i="52"/>
  <c r="I41" i="52"/>
  <c r="I12" i="52"/>
  <c r="I56" i="52" s="1"/>
  <c r="I29" i="52"/>
  <c r="I25" i="52"/>
  <c r="I24" i="52"/>
  <c r="I32" i="52"/>
  <c r="I35" i="52"/>
  <c r="I38" i="52"/>
  <c r="I28" i="52"/>
  <c r="I35" i="50"/>
  <c r="I28" i="50"/>
  <c r="I34" i="50"/>
  <c r="I29" i="50"/>
  <c r="I32" i="50"/>
  <c r="I25" i="50"/>
  <c r="I23" i="50"/>
  <c r="I41" i="50"/>
  <c r="I12" i="50"/>
  <c r="I13" i="50"/>
  <c r="I24" i="50"/>
  <c r="I22" i="50"/>
  <c r="I57" i="50"/>
  <c r="I33" i="50"/>
  <c r="I38" i="50"/>
  <c r="H49" i="40"/>
  <c r="H56" i="53"/>
  <c r="H58" i="53" s="1"/>
  <c r="H14" i="53"/>
  <c r="H42" i="50"/>
  <c r="H14" i="50"/>
  <c r="H56" i="50"/>
  <c r="H58" i="50" s="1"/>
  <c r="H14" i="56"/>
  <c r="I28" i="56"/>
  <c r="I32" i="56"/>
  <c r="I25" i="56"/>
  <c r="I41" i="56"/>
  <c r="I33" i="56"/>
  <c r="I29" i="56"/>
  <c r="I22" i="56"/>
  <c r="I12" i="56"/>
  <c r="I35" i="56"/>
  <c r="I34" i="56"/>
  <c r="I38" i="56"/>
  <c r="I13" i="56"/>
  <c r="I57" i="56"/>
  <c r="I24" i="56"/>
  <c r="I23" i="56"/>
  <c r="H49" i="38"/>
  <c r="K55" i="44"/>
  <c r="K7" i="47"/>
  <c r="K7" i="46"/>
  <c r="K55" i="38"/>
  <c r="K7" i="49"/>
  <c r="K55" i="54"/>
  <c r="K55" i="35"/>
  <c r="K7" i="45"/>
  <c r="K7" i="42"/>
  <c r="K55" i="47"/>
  <c r="K55" i="56"/>
  <c r="K7" i="50"/>
  <c r="K19" i="50" s="1" a="1"/>
  <c r="K19" i="50" s="1"/>
  <c r="K7" i="41"/>
  <c r="K7" i="55"/>
  <c r="K7" i="39"/>
  <c r="K55" i="51"/>
  <c r="K7" i="54"/>
  <c r="K55" i="50"/>
  <c r="K7" i="38"/>
  <c r="K7" i="44"/>
  <c r="K7" i="51"/>
  <c r="K55" i="46"/>
  <c r="K7" i="48"/>
  <c r="K7" i="52"/>
  <c r="K55" i="42"/>
  <c r="K55" i="55"/>
  <c r="AA49" i="30"/>
  <c r="K55" i="45"/>
  <c r="K7" i="56"/>
  <c r="K7" i="35"/>
  <c r="K55" i="52"/>
  <c r="K55" i="39"/>
  <c r="K55" i="53"/>
  <c r="K7" i="40"/>
  <c r="K55" i="43"/>
  <c r="K7" i="43"/>
  <c r="K55" i="49"/>
  <c r="K55" i="40"/>
  <c r="K55" i="41"/>
  <c r="K55" i="48"/>
  <c r="K7" i="53"/>
  <c r="J9" i="48" a="1"/>
  <c r="J9" i="48" s="1"/>
  <c r="J8" i="48" a="1"/>
  <c r="J8" i="48" s="1"/>
  <c r="J8" i="52" a="1"/>
  <c r="J8" i="52" s="1"/>
  <c r="J39" i="52" s="1"/>
  <c r="J9" i="52" a="1"/>
  <c r="J9" i="52" s="1"/>
  <c r="J19" i="52" a="1"/>
  <c r="J19" i="52" s="1"/>
  <c r="J18" i="52" a="1"/>
  <c r="J18" i="52" s="1"/>
  <c r="J9" i="51" a="1"/>
  <c r="J9" i="51" s="1"/>
  <c r="J19" i="51" a="1"/>
  <c r="J19" i="51" s="1"/>
  <c r="J8" i="51" a="1"/>
  <c r="J8" i="51" s="1"/>
  <c r="J39" i="51" s="1"/>
  <c r="H14" i="51"/>
  <c r="H56" i="51"/>
  <c r="H58" i="51" s="1"/>
  <c r="H56" i="44"/>
  <c r="H58" i="44" s="1"/>
  <c r="H14" i="44"/>
  <c r="H42" i="45"/>
  <c r="H14" i="47"/>
  <c r="H49" i="47"/>
  <c r="H56" i="40"/>
  <c r="H58" i="40" s="1"/>
  <c r="H14" i="40"/>
  <c r="H36" i="35"/>
  <c r="H49" i="56"/>
  <c r="H42" i="38"/>
  <c r="H36" i="38"/>
  <c r="I38" i="51"/>
  <c r="I13" i="51"/>
  <c r="I25" i="51"/>
  <c r="I12" i="51"/>
  <c r="I28" i="51"/>
  <c r="I32" i="51"/>
  <c r="I22" i="51"/>
  <c r="I57" i="51"/>
  <c r="I23" i="51"/>
  <c r="I41" i="51"/>
  <c r="I24" i="51"/>
  <c r="I29" i="51"/>
  <c r="I34" i="51"/>
  <c r="I35" i="51"/>
  <c r="I33" i="51"/>
  <c r="O50" i="30"/>
  <c r="N51" i="30"/>
  <c r="J18" i="49" a="1"/>
  <c r="J18" i="49" s="1"/>
  <c r="J8" i="49" a="1"/>
  <c r="J8" i="49" s="1"/>
  <c r="J39" i="49" s="1"/>
  <c r="J19" i="49" a="1"/>
  <c r="J19" i="49" s="1"/>
  <c r="J9" i="49" a="1"/>
  <c r="J9" i="49" s="1"/>
  <c r="J9" i="50" a="1"/>
  <c r="J9" i="50" s="1"/>
  <c r="J8" i="50" a="1"/>
  <c r="J8" i="50" s="1"/>
  <c r="J18" i="50" a="1"/>
  <c r="J18" i="50" s="1"/>
  <c r="J8" i="41" a="1"/>
  <c r="J8" i="41" s="1"/>
  <c r="J39" i="41" s="1"/>
  <c r="J19" i="41" a="1"/>
  <c r="J19" i="41" s="1"/>
  <c r="J18" i="41" a="1"/>
  <c r="J18" i="41" s="1"/>
  <c r="J9" i="41" a="1"/>
  <c r="J9" i="41" s="1"/>
  <c r="J19" i="46" a="1"/>
  <c r="J19" i="46" s="1"/>
  <c r="J9" i="46" a="1"/>
  <c r="J9" i="46" s="1"/>
  <c r="J18" i="46" a="1"/>
  <c r="J18" i="46" s="1"/>
  <c r="J8" i="46" a="1"/>
  <c r="J8" i="46" s="1"/>
  <c r="J39" i="46" s="1"/>
  <c r="H49" i="44"/>
  <c r="H36" i="45"/>
  <c r="I12" i="53"/>
  <c r="I22" i="53"/>
  <c r="I29" i="53"/>
  <c r="I33" i="53"/>
  <c r="I57" i="53"/>
  <c r="I38" i="53"/>
  <c r="I41" i="53"/>
  <c r="I24" i="53"/>
  <c r="I32" i="53"/>
  <c r="I34" i="53"/>
  <c r="I35" i="53"/>
  <c r="I28" i="53"/>
  <c r="I23" i="53"/>
  <c r="I13" i="53"/>
  <c r="I25" i="53"/>
  <c r="I23" i="44"/>
  <c r="I13" i="44"/>
  <c r="I38" i="44"/>
  <c r="I34" i="44"/>
  <c r="I32" i="44"/>
  <c r="I24" i="44"/>
  <c r="I25" i="44"/>
  <c r="I28" i="44"/>
  <c r="I57" i="44"/>
  <c r="I29" i="44"/>
  <c r="I35" i="44"/>
  <c r="I33" i="44"/>
  <c r="I41" i="44"/>
  <c r="I12" i="44"/>
  <c r="I22" i="44"/>
  <c r="H42" i="35"/>
  <c r="H14" i="38"/>
  <c r="H56" i="38"/>
  <c r="H58" i="38" s="1"/>
  <c r="H56" i="41"/>
  <c r="H58" i="41" s="1"/>
  <c r="H14" i="41"/>
  <c r="H36" i="48"/>
  <c r="H49" i="48"/>
  <c r="J8" i="42" a="1"/>
  <c r="J8" i="42" s="1"/>
  <c r="J19" i="42" a="1"/>
  <c r="J19" i="42" s="1"/>
  <c r="J9" i="42" a="1"/>
  <c r="J9" i="42" s="1"/>
  <c r="J18" i="42" a="1"/>
  <c r="J18" i="42" s="1"/>
  <c r="J9" i="45" a="1"/>
  <c r="J9" i="45" s="1"/>
  <c r="J8" i="45" a="1"/>
  <c r="J8" i="45" s="1"/>
  <c r="J39" i="45" s="1"/>
  <c r="J18" i="45" a="1"/>
  <c r="J18" i="45" s="1"/>
  <c r="J19" i="45" a="1"/>
  <c r="J19" i="45" s="1"/>
  <c r="J8" i="35" a="1"/>
  <c r="J8" i="35" s="1"/>
  <c r="J39" i="35" s="1"/>
  <c r="J18" i="35" a="1"/>
  <c r="J18" i="35" s="1"/>
  <c r="J19" i="35" a="1"/>
  <c r="J19" i="35" s="1"/>
  <c r="J9" i="35" a="1"/>
  <c r="J9" i="35" s="1"/>
  <c r="H42" i="55"/>
  <c r="H36" i="46"/>
  <c r="I22" i="42"/>
  <c r="I38" i="42"/>
  <c r="I28" i="42"/>
  <c r="I13" i="42"/>
  <c r="I23" i="42"/>
  <c r="I41" i="42"/>
  <c r="I25" i="42"/>
  <c r="I33" i="42"/>
  <c r="I32" i="42"/>
  <c r="I35" i="42"/>
  <c r="I34" i="42"/>
  <c r="I12" i="42"/>
  <c r="I57" i="42"/>
  <c r="I29" i="42"/>
  <c r="I32" i="35"/>
  <c r="I35" i="35"/>
  <c r="I25" i="35"/>
  <c r="I24" i="35"/>
  <c r="I57" i="35"/>
  <c r="I34" i="35"/>
  <c r="I28" i="35"/>
  <c r="I38" i="35"/>
  <c r="I41" i="35"/>
  <c r="I33" i="35"/>
  <c r="I8" i="39"/>
  <c r="I23" i="35"/>
  <c r="I22" i="35"/>
  <c r="I13" i="35"/>
  <c r="I29" i="35"/>
  <c r="I12" i="35"/>
  <c r="I34" i="47"/>
  <c r="I23" i="47"/>
  <c r="I32" i="47"/>
  <c r="I13" i="47"/>
  <c r="I33" i="47"/>
  <c r="I35" i="47"/>
  <c r="I22" i="47"/>
  <c r="I38" i="47"/>
  <c r="I41" i="47"/>
  <c r="I12" i="47"/>
  <c r="I25" i="47"/>
  <c r="I28" i="47"/>
  <c r="I57" i="47"/>
  <c r="H36" i="47"/>
  <c r="H36" i="40"/>
  <c r="H42" i="53"/>
  <c r="H49" i="35"/>
  <c r="H36" i="56"/>
  <c r="I34" i="55"/>
  <c r="I13" i="55"/>
  <c r="I25" i="55"/>
  <c r="I35" i="55"/>
  <c r="I12" i="55"/>
  <c r="I28" i="55"/>
  <c r="I22" i="55"/>
  <c r="I38" i="55"/>
  <c r="I33" i="55"/>
  <c r="I29" i="55"/>
  <c r="I24" i="55"/>
  <c r="I57" i="55"/>
  <c r="I32" i="55"/>
  <c r="I23" i="55"/>
  <c r="I41" i="55"/>
  <c r="H49" i="43"/>
  <c r="J9" i="55" a="1"/>
  <c r="J9" i="55" s="1"/>
  <c r="J18" i="55" a="1"/>
  <c r="J18" i="55" s="1"/>
  <c r="J8" i="55" a="1"/>
  <c r="J8" i="55" s="1"/>
  <c r="J39" i="55" s="1"/>
  <c r="J19" i="55" a="1"/>
  <c r="J19" i="55" s="1"/>
  <c r="J18" i="56" a="1"/>
  <c r="J18" i="56" s="1"/>
  <c r="J9" i="56" a="1"/>
  <c r="J9" i="56" s="1"/>
  <c r="J19" i="56" a="1"/>
  <c r="J19" i="56" s="1"/>
  <c r="J8" i="56" a="1"/>
  <c r="J8" i="56" s="1"/>
  <c r="J39" i="56" s="1"/>
  <c r="H49" i="51"/>
  <c r="I34" i="43"/>
  <c r="I13" i="43"/>
  <c r="I28" i="43"/>
  <c r="I41" i="43"/>
  <c r="I35" i="43"/>
  <c r="I38" i="43"/>
  <c r="I32" i="43"/>
  <c r="I24" i="43"/>
  <c r="I23" i="43"/>
  <c r="I33" i="43"/>
  <c r="I29" i="43"/>
  <c r="I25" i="43"/>
  <c r="I22" i="43"/>
  <c r="I12" i="43"/>
  <c r="I56" i="43" s="1"/>
  <c r="H42" i="47"/>
  <c r="H36" i="53"/>
  <c r="H56" i="54"/>
  <c r="H58" i="54" s="1"/>
  <c r="H14" i="54"/>
  <c r="H56" i="43"/>
  <c r="H58" i="43" s="1"/>
  <c r="H14" i="43"/>
  <c r="H36" i="43"/>
  <c r="H49" i="41"/>
  <c r="H14" i="48"/>
  <c r="H56" i="48"/>
  <c r="H58" i="48" s="1"/>
  <c r="J19" i="38" a="1"/>
  <c r="J19" i="38" s="1"/>
  <c r="J8" i="38" a="1"/>
  <c r="J8" i="38" s="1"/>
  <c r="J39" i="38" s="1"/>
  <c r="J18" i="38" a="1"/>
  <c r="J18" i="38" s="1"/>
  <c r="J9" i="38" a="1"/>
  <c r="J9" i="38" s="1"/>
  <c r="D104" i="63" a="1"/>
  <c r="C235" i="63" a="1"/>
  <c r="D56" i="63" a="1"/>
  <c r="D176" i="63" a="1"/>
  <c r="G175" i="63" a="1"/>
  <c r="G7" i="63" a="1"/>
  <c r="G19" i="63" a="1"/>
  <c r="E224" i="63" a="1"/>
  <c r="E56" i="63" a="1"/>
  <c r="E92" i="63" a="1"/>
  <c r="E80" i="63" a="1"/>
  <c r="F163" i="63" a="1"/>
  <c r="G127" i="63" a="1"/>
  <c r="D116" i="63" a="1"/>
  <c r="C164" i="63" a="1"/>
  <c r="C200" i="63" a="1"/>
  <c r="E20" i="63" a="1"/>
  <c r="D188" i="63" a="1"/>
  <c r="F91" i="63" a="1"/>
  <c r="G67" i="63" a="1"/>
  <c r="C176" i="63" a="1"/>
  <c r="C188" i="63" a="1"/>
  <c r="G211" i="63" a="1"/>
  <c r="F151" i="63" a="1"/>
  <c r="G115" i="63" a="1"/>
  <c r="F115" i="63" a="1"/>
  <c r="E176" i="63" a="1"/>
  <c r="F127" i="63" a="1"/>
  <c r="F55" i="63" a="1"/>
  <c r="F223" i="63" a="1"/>
  <c r="F67" i="63" a="1"/>
  <c r="E116" i="63" a="1"/>
  <c r="F175" i="63" a="1"/>
  <c r="D44" i="63" a="1"/>
  <c r="E68" i="63" a="1"/>
  <c r="C116" i="63" a="1"/>
  <c r="F187" i="63" a="1"/>
  <c r="G139" i="63" a="1"/>
  <c r="G163" i="63" a="1"/>
  <c r="E188" i="63" a="1"/>
  <c r="D139" i="63" a="1"/>
  <c r="E8" i="63" a="1"/>
  <c r="D212" i="63" a="1"/>
  <c r="E32" i="63" a="1"/>
  <c r="G187" i="63" a="1"/>
  <c r="C32" i="63" a="1"/>
  <c r="D200" i="63" a="1"/>
  <c r="C212" i="63" a="1"/>
  <c r="D8" i="63" a="1"/>
  <c r="D128" i="63" a="1"/>
  <c r="G91" i="63" a="1"/>
  <c r="F211" i="63" a="1"/>
  <c r="C152" i="63" a="1"/>
  <c r="F139" i="63" a="1"/>
  <c r="G31" i="63" a="1"/>
  <c r="C80" i="63" a="1"/>
  <c r="C104" i="63" a="1"/>
  <c r="F31" i="63" a="1"/>
  <c r="G223" i="63" a="1"/>
  <c r="F19" i="63" a="1"/>
  <c r="G55" i="63" a="1"/>
  <c r="E140" i="63" a="1"/>
  <c r="C56" i="63" a="1"/>
  <c r="C44" i="63" a="1"/>
  <c r="F7" i="63" a="1"/>
  <c r="C128" i="63" a="1"/>
  <c r="E104" i="63" a="1"/>
  <c r="E44" i="63" a="1"/>
  <c r="G151" i="63" a="1"/>
  <c r="E164" i="63" a="1"/>
  <c r="C20" i="63" a="1"/>
  <c r="G103" i="63" a="1"/>
  <c r="F79" i="63" a="1"/>
  <c r="D164" i="63" a="1"/>
  <c r="D92" i="63" a="1"/>
  <c r="C224" i="63" a="1"/>
  <c r="D20" i="63" a="1"/>
  <c r="C92" i="63" a="1"/>
  <c r="E212" i="63" a="1"/>
  <c r="D152" i="63" a="1"/>
  <c r="D32" i="63" a="1"/>
  <c r="G199" i="63" a="1"/>
  <c r="C68" i="63" a="1"/>
  <c r="D224" i="63" a="1"/>
  <c r="D68" i="63" a="1"/>
  <c r="E235" i="63" a="1"/>
  <c r="E128" i="63" a="1"/>
  <c r="E200" i="63" a="1"/>
  <c r="D80" i="63" a="1"/>
  <c r="C8" i="63" a="1"/>
  <c r="C140" i="63" a="1"/>
  <c r="E152" i="63" a="1"/>
  <c r="F199" i="63" a="1"/>
  <c r="G79" i="63" a="1"/>
  <c r="F103" i="63" a="1"/>
  <c r="G43" i="63" a="1"/>
  <c r="F43" i="63" a="1"/>
  <c r="J39" i="48" l="1"/>
  <c r="J28" i="48"/>
  <c r="J39" i="50"/>
  <c r="J24" i="50"/>
  <c r="J29" i="50"/>
  <c r="J24" i="42"/>
  <c r="J39" i="42"/>
  <c r="F151" i="63"/>
  <c r="F163" i="63"/>
  <c r="F199" i="63"/>
  <c r="F67" i="63"/>
  <c r="F55" i="63"/>
  <c r="F43" i="63"/>
  <c r="F31" i="63"/>
  <c r="F79" i="63"/>
  <c r="F175" i="63"/>
  <c r="F187" i="63"/>
  <c r="F19" i="63"/>
  <c r="F127" i="63"/>
  <c r="F103" i="63"/>
  <c r="F223" i="63"/>
  <c r="F91" i="63"/>
  <c r="F115" i="63"/>
  <c r="F7" i="63"/>
  <c r="F139" i="63"/>
  <c r="F211" i="63"/>
  <c r="C224" i="63"/>
  <c r="D80" i="63"/>
  <c r="G67" i="63"/>
  <c r="C92" i="63"/>
  <c r="D152" i="63"/>
  <c r="E140" i="63"/>
  <c r="C104" i="63"/>
  <c r="G31" i="63"/>
  <c r="C20" i="63"/>
  <c r="G187" i="63"/>
  <c r="D188" i="63"/>
  <c r="D224" i="63"/>
  <c r="E224" i="63"/>
  <c r="C200" i="63"/>
  <c r="C80" i="63"/>
  <c r="D92" i="63"/>
  <c r="E152" i="63"/>
  <c r="D104" i="63"/>
  <c r="E56" i="63"/>
  <c r="G79" i="63"/>
  <c r="C188" i="63"/>
  <c r="E188" i="63"/>
  <c r="G7" i="63"/>
  <c r="E200" i="63"/>
  <c r="G43" i="63"/>
  <c r="D200" i="63"/>
  <c r="G199" i="63"/>
  <c r="C152" i="63"/>
  <c r="D164" i="63"/>
  <c r="E104" i="63"/>
  <c r="G55" i="63"/>
  <c r="D44" i="63"/>
  <c r="E92" i="63"/>
  <c r="E164" i="63"/>
  <c r="G211" i="63"/>
  <c r="E176" i="63"/>
  <c r="D56" i="63"/>
  <c r="D68" i="63"/>
  <c r="D139" i="63"/>
  <c r="G103" i="63"/>
  <c r="C212" i="63"/>
  <c r="E8" i="63"/>
  <c r="C176" i="63"/>
  <c r="C56" i="63"/>
  <c r="C68" i="63"/>
  <c r="G91" i="63"/>
  <c r="D8" i="63"/>
  <c r="E44" i="63"/>
  <c r="D32" i="63"/>
  <c r="E128" i="63"/>
  <c r="C164" i="63"/>
  <c r="G151" i="63"/>
  <c r="G163" i="63"/>
  <c r="D176" i="63"/>
  <c r="E20" i="63"/>
  <c r="E68" i="63"/>
  <c r="G19" i="63"/>
  <c r="C8" i="63"/>
  <c r="C44" i="63"/>
  <c r="G175" i="63"/>
  <c r="E32" i="63"/>
  <c r="C128" i="63"/>
  <c r="G139" i="63"/>
  <c r="C116" i="63"/>
  <c r="D116" i="63"/>
  <c r="G115" i="63"/>
  <c r="E212" i="63"/>
  <c r="D212" i="63"/>
  <c r="E80" i="63"/>
  <c r="C32" i="63"/>
  <c r="D128" i="63"/>
  <c r="C140" i="63"/>
  <c r="D20" i="63"/>
  <c r="G223" i="63"/>
  <c r="G127" i="63"/>
  <c r="E116" i="63"/>
  <c r="J24" i="46"/>
  <c r="J24" i="47"/>
  <c r="I18" i="39"/>
  <c r="K19" i="46" a="1"/>
  <c r="K19" i="46" s="1"/>
  <c r="K19" i="47" a="1"/>
  <c r="K19" i="47" s="1"/>
  <c r="C235" i="63"/>
  <c r="E235" i="63"/>
  <c r="J45" i="56"/>
  <c r="J48" i="56"/>
  <c r="J45" i="53"/>
  <c r="J46" i="53"/>
  <c r="J45" i="43"/>
  <c r="J48" i="43"/>
  <c r="J46" i="43"/>
  <c r="J48" i="44"/>
  <c r="J45" i="44"/>
  <c r="J46" i="44"/>
  <c r="J46" i="52"/>
  <c r="J48" i="52"/>
  <c r="J45" i="52"/>
  <c r="J45" i="35"/>
  <c r="J46" i="35"/>
  <c r="J48" i="35"/>
  <c r="J48" i="42"/>
  <c r="J46" i="42"/>
  <c r="J45" i="42"/>
  <c r="J46" i="49"/>
  <c r="J45" i="49"/>
  <c r="J48" i="49"/>
  <c r="J45" i="48"/>
  <c r="J48" i="48"/>
  <c r="J46" i="48"/>
  <c r="J46" i="41"/>
  <c r="J45" i="41"/>
  <c r="J48" i="41"/>
  <c r="J48" i="51"/>
  <c r="J46" i="51"/>
  <c r="J45" i="51"/>
  <c r="J45" i="38"/>
  <c r="J29" i="46"/>
  <c r="J48" i="46"/>
  <c r="J46" i="46"/>
  <c r="J45" i="46"/>
  <c r="J29" i="47"/>
  <c r="J46" i="47"/>
  <c r="J45" i="47"/>
  <c r="J48" i="47"/>
  <c r="J45" i="40"/>
  <c r="J46" i="40"/>
  <c r="J48" i="40"/>
  <c r="J45" i="55"/>
  <c r="J46" i="55"/>
  <c r="J48" i="55"/>
  <c r="J57" i="45"/>
  <c r="J46" i="45"/>
  <c r="J48" i="45"/>
  <c r="J45" i="45"/>
  <c r="J48" i="54"/>
  <c r="J46" i="54"/>
  <c r="J45" i="54"/>
  <c r="J45" i="50"/>
  <c r="J48" i="50"/>
  <c r="J46" i="50"/>
  <c r="J30" i="51"/>
  <c r="J20" i="51"/>
  <c r="J18" i="51" s="1" a="1"/>
  <c r="J18" i="51" s="1"/>
  <c r="J46" i="38"/>
  <c r="J48" i="38"/>
  <c r="J47" i="38"/>
  <c r="J47" i="44"/>
  <c r="J47" i="35"/>
  <c r="J47" i="42"/>
  <c r="J47" i="49"/>
  <c r="K19" i="35" a="1"/>
  <c r="K19" i="35" s="1"/>
  <c r="K18" i="35" a="1"/>
  <c r="K18" i="35" s="1"/>
  <c r="J47" i="40"/>
  <c r="J47" i="41"/>
  <c r="J47" i="52"/>
  <c r="J47" i="56"/>
  <c r="J46" i="56"/>
  <c r="J47" i="46"/>
  <c r="J24" i="48"/>
  <c r="J47" i="48"/>
  <c r="J47" i="53"/>
  <c r="J47" i="55"/>
  <c r="J47" i="51"/>
  <c r="J47" i="45"/>
  <c r="J47" i="50"/>
  <c r="J47" i="43"/>
  <c r="J47" i="54"/>
  <c r="J47" i="47"/>
  <c r="J31" i="48"/>
  <c r="I58" i="46"/>
  <c r="I58" i="43"/>
  <c r="J24" i="54"/>
  <c r="J25" i="54"/>
  <c r="K19" i="48" a="1"/>
  <c r="K19" i="48" s="1"/>
  <c r="K18" i="48" a="1"/>
  <c r="K18" i="48" s="1"/>
  <c r="I41" i="39"/>
  <c r="I20" i="39"/>
  <c r="I26" i="41"/>
  <c r="I26" i="38"/>
  <c r="I40" i="39"/>
  <c r="I31" i="39"/>
  <c r="I30" i="39"/>
  <c r="J31" i="45"/>
  <c r="J30" i="45"/>
  <c r="J31" i="42"/>
  <c r="J30" i="42"/>
  <c r="J30" i="35"/>
  <c r="J31" i="35"/>
  <c r="J30" i="43"/>
  <c r="J31" i="43"/>
  <c r="J30" i="44"/>
  <c r="J31" i="44"/>
  <c r="J30" i="55"/>
  <c r="J31" i="55"/>
  <c r="J30" i="52"/>
  <c r="J31" i="52"/>
  <c r="J30" i="53"/>
  <c r="J31" i="53"/>
  <c r="J30" i="49"/>
  <c r="J31" i="49"/>
  <c r="J30" i="48"/>
  <c r="J30" i="38"/>
  <c r="J31" i="38"/>
  <c r="J31" i="41"/>
  <c r="J30" i="41"/>
  <c r="J30" i="54"/>
  <c r="J31" i="54"/>
  <c r="J31" i="46"/>
  <c r="J30" i="46"/>
  <c r="J31" i="47"/>
  <c r="J30" i="47"/>
  <c r="J30" i="40"/>
  <c r="J31" i="40"/>
  <c r="J31" i="56"/>
  <c r="J30" i="56"/>
  <c r="J31" i="50"/>
  <c r="J30" i="50"/>
  <c r="J40" i="51"/>
  <c r="J31" i="51"/>
  <c r="J40" i="45"/>
  <c r="J20" i="45"/>
  <c r="J40" i="49"/>
  <c r="J20" i="49"/>
  <c r="J40" i="48"/>
  <c r="J20" i="48"/>
  <c r="J40" i="41"/>
  <c r="J20" i="41"/>
  <c r="J40" i="54"/>
  <c r="J20" i="54"/>
  <c r="J40" i="38"/>
  <c r="J20" i="38"/>
  <c r="J40" i="46"/>
  <c r="J20" i="46"/>
  <c r="J40" i="47"/>
  <c r="J20" i="47"/>
  <c r="J40" i="40"/>
  <c r="J20" i="40"/>
  <c r="J40" i="50"/>
  <c r="J20" i="50"/>
  <c r="J40" i="35"/>
  <c r="J20" i="35"/>
  <c r="J40" i="42"/>
  <c r="J20" i="42"/>
  <c r="J40" i="43"/>
  <c r="J20" i="43"/>
  <c r="J40" i="44"/>
  <c r="J20" i="44"/>
  <c r="J40" i="56"/>
  <c r="J20" i="56"/>
  <c r="J40" i="55"/>
  <c r="J20" i="55"/>
  <c r="J40" i="52"/>
  <c r="J20" i="52"/>
  <c r="J40" i="53"/>
  <c r="J20" i="53"/>
  <c r="J57" i="43"/>
  <c r="J12" i="45"/>
  <c r="J56" i="45" s="1"/>
  <c r="J57" i="46"/>
  <c r="I26" i="48"/>
  <c r="I26" i="54"/>
  <c r="I26" i="46"/>
  <c r="I26" i="43"/>
  <c r="I26" i="55"/>
  <c r="I45" i="39"/>
  <c r="I39" i="39"/>
  <c r="I25" i="39"/>
  <c r="I26" i="44"/>
  <c r="I46" i="39"/>
  <c r="I26" i="35"/>
  <c r="I33" i="39"/>
  <c r="I23" i="39"/>
  <c r="I38" i="39"/>
  <c r="H28" i="27" s="1"/>
  <c r="H11" i="27" s="1"/>
  <c r="I11" i="27" s="1"/>
  <c r="I26" i="50"/>
  <c r="I26" i="45"/>
  <c r="I35" i="39"/>
  <c r="I26" i="52"/>
  <c r="I34" i="39"/>
  <c r="I29" i="39"/>
  <c r="I32" i="39"/>
  <c r="I26" i="56"/>
  <c r="I26" i="47"/>
  <c r="I26" i="42"/>
  <c r="I48" i="39"/>
  <c r="I24" i="39"/>
  <c r="I28" i="39"/>
  <c r="I26" i="53"/>
  <c r="I47" i="39"/>
  <c r="I44" i="39"/>
  <c r="I26" i="49"/>
  <c r="I26" i="40"/>
  <c r="I26" i="51"/>
  <c r="I14" i="48"/>
  <c r="I36" i="48"/>
  <c r="I36" i="53"/>
  <c r="I14" i="52"/>
  <c r="I42" i="56"/>
  <c r="I49" i="55"/>
  <c r="I49" i="52"/>
  <c r="I36" i="49"/>
  <c r="I49" i="48"/>
  <c r="I42" i="42"/>
  <c r="I49" i="46"/>
  <c r="I14" i="46"/>
  <c r="I58" i="48"/>
  <c r="I42" i="47"/>
  <c r="I42" i="40"/>
  <c r="I42" i="38"/>
  <c r="I36" i="51"/>
  <c r="I49" i="49"/>
  <c r="I42" i="46"/>
  <c r="I49" i="43"/>
  <c r="I49" i="53"/>
  <c r="I36" i="46"/>
  <c r="I36" i="55"/>
  <c r="J9" i="39"/>
  <c r="K18" i="38" a="1"/>
  <c r="K18" i="38" s="1"/>
  <c r="K19" i="38" a="1"/>
  <c r="K19" i="38" s="1"/>
  <c r="K9" i="38" a="1"/>
  <c r="K9" i="38" s="1"/>
  <c r="K8" i="38" a="1"/>
  <c r="K8" i="38" s="1"/>
  <c r="K39" i="38" s="1"/>
  <c r="K8" i="46" a="1"/>
  <c r="K8" i="46" s="1"/>
  <c r="K39" i="46" s="1"/>
  <c r="K18" i="46" a="1"/>
  <c r="K18" i="46" s="1"/>
  <c r="K9" i="46" a="1"/>
  <c r="K9" i="46" s="1"/>
  <c r="I36" i="56"/>
  <c r="J12" i="40"/>
  <c r="J56" i="40" s="1"/>
  <c r="J33" i="40"/>
  <c r="J28" i="40"/>
  <c r="J57" i="40"/>
  <c r="J38" i="40"/>
  <c r="J32" i="40"/>
  <c r="J29" i="40"/>
  <c r="J35" i="40"/>
  <c r="J25" i="40"/>
  <c r="J34" i="40"/>
  <c r="J24" i="40"/>
  <c r="J13" i="40"/>
  <c r="J41" i="40"/>
  <c r="J22" i="40"/>
  <c r="J23" i="40"/>
  <c r="I42" i="54"/>
  <c r="J23" i="56"/>
  <c r="J12" i="56"/>
  <c r="J41" i="56"/>
  <c r="J22" i="56"/>
  <c r="J28" i="56"/>
  <c r="J32" i="56"/>
  <c r="J33" i="56"/>
  <c r="J38" i="56"/>
  <c r="J24" i="56"/>
  <c r="J57" i="56"/>
  <c r="J29" i="56"/>
  <c r="J34" i="56"/>
  <c r="J35" i="56"/>
  <c r="J25" i="56"/>
  <c r="J13" i="56"/>
  <c r="I36" i="47"/>
  <c r="I49" i="47"/>
  <c r="J19" i="39"/>
  <c r="I14" i="44"/>
  <c r="I56" i="44"/>
  <c r="I58" i="44" s="1"/>
  <c r="I36" i="44"/>
  <c r="I49" i="44"/>
  <c r="I42" i="53"/>
  <c r="J25" i="49"/>
  <c r="J32" i="49"/>
  <c r="J38" i="49"/>
  <c r="J28" i="49"/>
  <c r="J22" i="49"/>
  <c r="J12" i="49"/>
  <c r="J34" i="49"/>
  <c r="J13" i="49"/>
  <c r="J29" i="49"/>
  <c r="J35" i="49"/>
  <c r="J33" i="49"/>
  <c r="J24" i="49"/>
  <c r="J57" i="49"/>
  <c r="J23" i="49"/>
  <c r="J41" i="49"/>
  <c r="I42" i="51"/>
  <c r="K8" i="40" a="1"/>
  <c r="K8" i="40" s="1"/>
  <c r="K39" i="40" s="1"/>
  <c r="K18" i="40" a="1"/>
  <c r="K18" i="40" s="1"/>
  <c r="K19" i="40" a="1"/>
  <c r="K19" i="40" s="1"/>
  <c r="K9" i="40" a="1"/>
  <c r="K9" i="40" s="1"/>
  <c r="K9" i="47" a="1"/>
  <c r="K9" i="47" s="1"/>
  <c r="K8" i="47" a="1"/>
  <c r="K8" i="47" s="1"/>
  <c r="K39" i="47" s="1"/>
  <c r="K18" i="47" a="1"/>
  <c r="K18" i="47" s="1"/>
  <c r="I49" i="56"/>
  <c r="I42" i="48"/>
  <c r="I36" i="41"/>
  <c r="I56" i="41"/>
  <c r="I58" i="41" s="1"/>
  <c r="I14" i="41"/>
  <c r="I49" i="38"/>
  <c r="J23" i="44"/>
  <c r="J38" i="44"/>
  <c r="J33" i="44"/>
  <c r="J35" i="44"/>
  <c r="J29" i="44"/>
  <c r="J34" i="44"/>
  <c r="J57" i="44"/>
  <c r="J12" i="44"/>
  <c r="J13" i="44"/>
  <c r="J22" i="44"/>
  <c r="J24" i="44"/>
  <c r="J41" i="44"/>
  <c r="J32" i="44"/>
  <c r="J28" i="44"/>
  <c r="J25" i="44"/>
  <c r="I42" i="49"/>
  <c r="I36" i="40"/>
  <c r="I49" i="35"/>
  <c r="I42" i="44"/>
  <c r="J28" i="41"/>
  <c r="J33" i="41"/>
  <c r="J13" i="41"/>
  <c r="J38" i="41"/>
  <c r="J34" i="41"/>
  <c r="J57" i="41"/>
  <c r="J12" i="41"/>
  <c r="J25" i="41"/>
  <c r="J32" i="41"/>
  <c r="J35" i="41"/>
  <c r="J24" i="41"/>
  <c r="J29" i="41"/>
  <c r="J41" i="41"/>
  <c r="J23" i="41"/>
  <c r="J22" i="41"/>
  <c r="K8" i="53" a="1"/>
  <c r="K8" i="53" s="1"/>
  <c r="K39" i="53" s="1"/>
  <c r="K19" i="53" a="1"/>
  <c r="K19" i="53" s="1"/>
  <c r="K18" i="53" a="1"/>
  <c r="K18" i="53" s="1"/>
  <c r="K9" i="53" a="1"/>
  <c r="K9" i="53" s="1"/>
  <c r="K19" i="54" a="1"/>
  <c r="K19" i="54" s="1"/>
  <c r="K8" i="54" a="1"/>
  <c r="K8" i="54" s="1"/>
  <c r="K39" i="54" s="1"/>
  <c r="K18" i="54" a="1"/>
  <c r="K18" i="54" s="1"/>
  <c r="K9" i="54" a="1"/>
  <c r="K9" i="54" s="1"/>
  <c r="K9" i="42" a="1"/>
  <c r="K9" i="42" s="1"/>
  <c r="K19" i="42" a="1"/>
  <c r="K19" i="42" s="1"/>
  <c r="K8" i="42" a="1"/>
  <c r="K8" i="42" s="1"/>
  <c r="K18" i="42" a="1"/>
  <c r="K18" i="42" s="1"/>
  <c r="I36" i="52"/>
  <c r="J23" i="53"/>
  <c r="J57" i="53"/>
  <c r="J34" i="53"/>
  <c r="J22" i="53"/>
  <c r="J24" i="53"/>
  <c r="J25" i="53"/>
  <c r="J33" i="53"/>
  <c r="J32" i="53"/>
  <c r="J35" i="53"/>
  <c r="J41" i="53"/>
  <c r="J38" i="53"/>
  <c r="J29" i="53"/>
  <c r="J12" i="53"/>
  <c r="J28" i="53"/>
  <c r="J13" i="53"/>
  <c r="I42" i="45"/>
  <c r="I14" i="45"/>
  <c r="I58" i="45"/>
  <c r="I14" i="43"/>
  <c r="I56" i="55"/>
  <c r="I58" i="55" s="1"/>
  <c r="I14" i="55"/>
  <c r="I14" i="35"/>
  <c r="I56" i="35"/>
  <c r="I58" i="35" s="1"/>
  <c r="I12" i="39"/>
  <c r="I56" i="42"/>
  <c r="I58" i="42" s="1"/>
  <c r="I14" i="42"/>
  <c r="J25" i="35"/>
  <c r="J23" i="35"/>
  <c r="J28" i="35"/>
  <c r="J12" i="35"/>
  <c r="J32" i="35"/>
  <c r="J13" i="35"/>
  <c r="J34" i="35"/>
  <c r="J41" i="35"/>
  <c r="J8" i="39"/>
  <c r="J22" i="35"/>
  <c r="J24" i="35"/>
  <c r="J35" i="35"/>
  <c r="J33" i="35"/>
  <c r="J29" i="35"/>
  <c r="J57" i="35"/>
  <c r="J38" i="35"/>
  <c r="J25" i="42"/>
  <c r="J38" i="42"/>
  <c r="J32" i="42"/>
  <c r="J57" i="42"/>
  <c r="J23" i="42"/>
  <c r="J41" i="42"/>
  <c r="J12" i="42"/>
  <c r="J29" i="42"/>
  <c r="J22" i="42"/>
  <c r="J34" i="42"/>
  <c r="J28" i="42"/>
  <c r="J13" i="42"/>
  <c r="J33" i="42"/>
  <c r="J35" i="42"/>
  <c r="J35" i="46"/>
  <c r="J25" i="46"/>
  <c r="J12" i="46"/>
  <c r="J41" i="46"/>
  <c r="J38" i="46"/>
  <c r="J13" i="46"/>
  <c r="J22" i="46"/>
  <c r="J34" i="46"/>
  <c r="J33" i="46"/>
  <c r="J28" i="46"/>
  <c r="J23" i="46"/>
  <c r="J32" i="46"/>
  <c r="O51" i="30"/>
  <c r="N52" i="30"/>
  <c r="K18" i="52" a="1"/>
  <c r="K18" i="52" s="1"/>
  <c r="K9" i="52" a="1"/>
  <c r="K9" i="52" s="1"/>
  <c r="K8" i="52" a="1"/>
  <c r="K8" i="52" s="1"/>
  <c r="K39" i="52" s="1"/>
  <c r="K19" i="52" a="1"/>
  <c r="K19" i="52" s="1"/>
  <c r="K18" i="45" a="1"/>
  <c r="K18" i="45" s="1"/>
  <c r="K9" i="45" a="1"/>
  <c r="K9" i="45" s="1"/>
  <c r="K8" i="45" a="1"/>
  <c r="K8" i="45" s="1"/>
  <c r="K39" i="45" s="1"/>
  <c r="K19" i="45" a="1"/>
  <c r="K19" i="45" s="1"/>
  <c r="I36" i="43"/>
  <c r="I49" i="42"/>
  <c r="L55" i="50"/>
  <c r="L7" i="42"/>
  <c r="L55" i="45"/>
  <c r="L7" i="49"/>
  <c r="L55" i="38"/>
  <c r="L7" i="53"/>
  <c r="L7" i="54"/>
  <c r="L55" i="41"/>
  <c r="L55" i="47"/>
  <c r="L7" i="39"/>
  <c r="L55" i="40"/>
  <c r="L7" i="47"/>
  <c r="L55" i="53"/>
  <c r="L7" i="45"/>
  <c r="L55" i="52"/>
  <c r="L7" i="55"/>
  <c r="L7" i="44"/>
  <c r="L55" i="49"/>
  <c r="L55" i="56"/>
  <c r="L55" i="54"/>
  <c r="L7" i="51"/>
  <c r="L55" i="55"/>
  <c r="L7" i="35"/>
  <c r="L7" i="50"/>
  <c r="L7" i="38"/>
  <c r="L7" i="52"/>
  <c r="L7" i="43"/>
  <c r="L55" i="51"/>
  <c r="L55" i="39"/>
  <c r="L55" i="35"/>
  <c r="L7" i="46"/>
  <c r="L7" i="41"/>
  <c r="L55" i="43"/>
  <c r="L55" i="42"/>
  <c r="L55" i="44"/>
  <c r="L55" i="46"/>
  <c r="L7" i="40"/>
  <c r="L55" i="48"/>
  <c r="AA50" i="30"/>
  <c r="L7" i="56"/>
  <c r="L7" i="48"/>
  <c r="J38" i="52"/>
  <c r="J13" i="52"/>
  <c r="J33" i="52"/>
  <c r="J12" i="52"/>
  <c r="J56" i="52" s="1"/>
  <c r="J25" i="52"/>
  <c r="J24" i="52"/>
  <c r="J34" i="52"/>
  <c r="J29" i="52"/>
  <c r="J23" i="52"/>
  <c r="J32" i="52"/>
  <c r="J22" i="52"/>
  <c r="J28" i="52"/>
  <c r="J41" i="52"/>
  <c r="J35" i="52"/>
  <c r="J57" i="52"/>
  <c r="K9" i="48" a="1"/>
  <c r="K9" i="48" s="1"/>
  <c r="K8" i="48" a="1"/>
  <c r="K8" i="48" s="1"/>
  <c r="K39" i="48" s="1"/>
  <c r="I56" i="50"/>
  <c r="I58" i="50" s="1"/>
  <c r="I14" i="50"/>
  <c r="I36" i="50"/>
  <c r="I42" i="52"/>
  <c r="I58" i="52"/>
  <c r="J34" i="43"/>
  <c r="J28" i="43"/>
  <c r="J41" i="43"/>
  <c r="J24" i="43"/>
  <c r="J12" i="43"/>
  <c r="J29" i="43"/>
  <c r="J35" i="43"/>
  <c r="J22" i="43"/>
  <c r="J25" i="43"/>
  <c r="J23" i="43"/>
  <c r="J32" i="43"/>
  <c r="J38" i="43"/>
  <c r="J13" i="43"/>
  <c r="J33" i="43"/>
  <c r="I36" i="38"/>
  <c r="J57" i="54"/>
  <c r="J12" i="54"/>
  <c r="J22" i="54"/>
  <c r="J32" i="54"/>
  <c r="J33" i="54"/>
  <c r="J38" i="54"/>
  <c r="J13" i="54"/>
  <c r="J35" i="54"/>
  <c r="J23" i="54"/>
  <c r="J28" i="54"/>
  <c r="J29" i="54"/>
  <c r="J34" i="54"/>
  <c r="J41" i="54"/>
  <c r="I56" i="40"/>
  <c r="I58" i="40" s="1"/>
  <c r="I14" i="40"/>
  <c r="J25" i="38"/>
  <c r="J12" i="38"/>
  <c r="J28" i="38"/>
  <c r="J29" i="38"/>
  <c r="J35" i="38"/>
  <c r="J34" i="38"/>
  <c r="J22" i="38"/>
  <c r="J23" i="38"/>
  <c r="J33" i="38"/>
  <c r="J38" i="38"/>
  <c r="J57" i="38"/>
  <c r="J24" i="38"/>
  <c r="J13" i="38"/>
  <c r="J41" i="38"/>
  <c r="J32" i="38"/>
  <c r="I13" i="39"/>
  <c r="I42" i="35"/>
  <c r="I36" i="42"/>
  <c r="J28" i="50"/>
  <c r="J23" i="50"/>
  <c r="J12" i="50"/>
  <c r="J38" i="50"/>
  <c r="J33" i="50"/>
  <c r="J41" i="50"/>
  <c r="J32" i="50"/>
  <c r="J25" i="50"/>
  <c r="J57" i="50"/>
  <c r="J34" i="50"/>
  <c r="J13" i="50"/>
  <c r="J35" i="50"/>
  <c r="J22" i="50"/>
  <c r="J41" i="51"/>
  <c r="J38" i="51"/>
  <c r="J23" i="51"/>
  <c r="J29" i="51"/>
  <c r="J32" i="51"/>
  <c r="J25" i="51"/>
  <c r="J33" i="51"/>
  <c r="J35" i="51"/>
  <c r="J13" i="51"/>
  <c r="J57" i="51"/>
  <c r="J24" i="51"/>
  <c r="J28" i="51"/>
  <c r="J12" i="51"/>
  <c r="J22" i="51"/>
  <c r="J34" i="51"/>
  <c r="K9" i="35" a="1"/>
  <c r="K9" i="35" s="1"/>
  <c r="K8" i="35" a="1"/>
  <c r="K8" i="35" s="1"/>
  <c r="K19" i="55" a="1"/>
  <c r="K19" i="55" s="1"/>
  <c r="K8" i="55" a="1"/>
  <c r="K8" i="55" s="1"/>
  <c r="K39" i="55" s="1"/>
  <c r="K18" i="55" a="1"/>
  <c r="K18" i="55" s="1"/>
  <c r="K9" i="55" a="1"/>
  <c r="K9" i="55" s="1"/>
  <c r="I42" i="50"/>
  <c r="J34" i="47"/>
  <c r="J28" i="47"/>
  <c r="J32" i="47"/>
  <c r="J22" i="47"/>
  <c r="J33" i="47"/>
  <c r="J41" i="47"/>
  <c r="J23" i="47"/>
  <c r="J35" i="47"/>
  <c r="J38" i="47"/>
  <c r="J13" i="47"/>
  <c r="J12" i="47"/>
  <c r="J56" i="47" s="1"/>
  <c r="J57" i="47"/>
  <c r="J25" i="47"/>
  <c r="I42" i="43"/>
  <c r="J33" i="55"/>
  <c r="J28" i="55"/>
  <c r="J35" i="55"/>
  <c r="J41" i="55"/>
  <c r="J23" i="55"/>
  <c r="J22" i="55"/>
  <c r="J38" i="55"/>
  <c r="J57" i="55"/>
  <c r="J34" i="55"/>
  <c r="J32" i="55"/>
  <c r="J13" i="55"/>
  <c r="J24" i="55"/>
  <c r="J29" i="55"/>
  <c r="J12" i="55"/>
  <c r="J25" i="55"/>
  <c r="I42" i="55"/>
  <c r="I56" i="47"/>
  <c r="I58" i="47" s="1"/>
  <c r="I14" i="47"/>
  <c r="I36" i="35"/>
  <c r="J13" i="45"/>
  <c r="J25" i="45"/>
  <c r="J29" i="45"/>
  <c r="J34" i="45"/>
  <c r="J41" i="45"/>
  <c r="J24" i="45"/>
  <c r="J28" i="45"/>
  <c r="J32" i="45"/>
  <c r="J35" i="45"/>
  <c r="J38" i="45"/>
  <c r="J22" i="45"/>
  <c r="J33" i="45"/>
  <c r="J23" i="45"/>
  <c r="I49" i="51"/>
  <c r="I56" i="51"/>
  <c r="I58" i="51" s="1"/>
  <c r="I14" i="51"/>
  <c r="J25" i="48"/>
  <c r="J22" i="48"/>
  <c r="J13" i="48"/>
  <c r="J32" i="48"/>
  <c r="J35" i="48"/>
  <c r="J41" i="48"/>
  <c r="J23" i="48"/>
  <c r="J12" i="48"/>
  <c r="J29" i="48"/>
  <c r="J57" i="48"/>
  <c r="J38" i="48"/>
  <c r="J34" i="48"/>
  <c r="J33" i="48"/>
  <c r="K8" i="56" a="1"/>
  <c r="K8" i="56" s="1"/>
  <c r="K39" i="56" s="1"/>
  <c r="K9" i="56" a="1"/>
  <c r="K9" i="56" s="1"/>
  <c r="K19" i="56" a="1"/>
  <c r="K19" i="56" s="1"/>
  <c r="K18" i="56" a="1"/>
  <c r="K18" i="56" s="1"/>
  <c r="K19" i="51" a="1"/>
  <c r="K19" i="51" s="1"/>
  <c r="K8" i="51" a="1"/>
  <c r="K8" i="51" s="1"/>
  <c r="K39" i="51" s="1"/>
  <c r="K9" i="51" a="1"/>
  <c r="K9" i="51" s="1"/>
  <c r="K19" i="41" a="1"/>
  <c r="K19" i="41" s="1"/>
  <c r="K8" i="41" a="1"/>
  <c r="K8" i="41" s="1"/>
  <c r="K39" i="41" s="1"/>
  <c r="K18" i="41" a="1"/>
  <c r="K18" i="41" s="1"/>
  <c r="K9" i="41" a="1"/>
  <c r="K9" i="41" s="1"/>
  <c r="K19" i="49" a="1"/>
  <c r="K19" i="49" s="1"/>
  <c r="K9" i="49" a="1"/>
  <c r="K9" i="49" s="1"/>
  <c r="K18" i="49" a="1"/>
  <c r="K18" i="49" s="1"/>
  <c r="K8" i="49" a="1"/>
  <c r="K8" i="49" s="1"/>
  <c r="K39" i="49" s="1"/>
  <c r="I49" i="50"/>
  <c r="I49" i="41"/>
  <c r="I42" i="41"/>
  <c r="I56" i="38"/>
  <c r="I58" i="38" s="1"/>
  <c r="I14" i="38"/>
  <c r="I49" i="45"/>
  <c r="I49" i="54"/>
  <c r="I49" i="40"/>
  <c r="I56" i="53"/>
  <c r="I58" i="53" s="1"/>
  <c r="I14" i="53"/>
  <c r="K8" i="43" a="1"/>
  <c r="K8" i="43" s="1"/>
  <c r="K39" i="43" s="1"/>
  <c r="K9" i="43" a="1"/>
  <c r="K9" i="43" s="1"/>
  <c r="K18" i="43" a="1"/>
  <c r="K18" i="43" s="1"/>
  <c r="K19" i="43" a="1"/>
  <c r="K19" i="43" s="1"/>
  <c r="K19" i="44" a="1"/>
  <c r="K19" i="44" s="1"/>
  <c r="K8" i="44" a="1"/>
  <c r="K8" i="44" s="1"/>
  <c r="K39" i="44" s="1"/>
  <c r="K9" i="44" a="1"/>
  <c r="K9" i="44" s="1"/>
  <c r="K18" i="44" a="1"/>
  <c r="K18" i="44" s="1"/>
  <c r="K18" i="50" a="1"/>
  <c r="K18" i="50" s="1"/>
  <c r="K8" i="50" a="1"/>
  <c r="K8" i="50" s="1"/>
  <c r="K9" i="50" a="1"/>
  <c r="K9" i="50" s="1"/>
  <c r="I56" i="56"/>
  <c r="I58" i="56" s="1"/>
  <c r="I14" i="56"/>
  <c r="I36" i="45"/>
  <c r="I56" i="54"/>
  <c r="I58" i="54" s="1"/>
  <c r="I14" i="54"/>
  <c r="I36" i="54"/>
  <c r="I56" i="49"/>
  <c r="I58" i="49" s="1"/>
  <c r="I14" i="49"/>
  <c r="E129" i="63" a="1"/>
  <c r="D235" i="63" a="1"/>
  <c r="C153" i="63" a="1"/>
  <c r="D201" i="63" a="1"/>
  <c r="D9" i="63" a="1"/>
  <c r="F104" i="63" a="1"/>
  <c r="C201" i="63" a="1"/>
  <c r="G32" i="63" a="1"/>
  <c r="G80" i="63" a="1"/>
  <c r="E201" i="63" a="1"/>
  <c r="C21" i="63" a="1"/>
  <c r="F20" i="63" a="1"/>
  <c r="E93" i="63" a="1"/>
  <c r="E21" i="63" a="1"/>
  <c r="G200" i="63" a="1"/>
  <c r="F32" i="63" a="1"/>
  <c r="F200" i="63" a="1"/>
  <c r="C9" i="63" a="1"/>
  <c r="F152" i="63" a="1"/>
  <c r="E45" i="63" a="1"/>
  <c r="D225" i="63" a="1"/>
  <c r="E236" i="63" a="1"/>
  <c r="C57" i="63" a="1"/>
  <c r="E165" i="63" a="1"/>
  <c r="G68" i="63" a="1"/>
  <c r="C225" i="63" a="1"/>
  <c r="C141" i="63" a="1"/>
  <c r="E105" i="63" a="1"/>
  <c r="E117" i="63" a="1"/>
  <c r="C81" i="63" a="1"/>
  <c r="D81" i="63" a="1"/>
  <c r="G140" i="63" a="1"/>
  <c r="D165" i="63" a="1"/>
  <c r="E225" i="63" a="1"/>
  <c r="D69" i="63" a="1"/>
  <c r="E189" i="63" a="1"/>
  <c r="F44" i="63" a="1"/>
  <c r="G224" i="63" a="1"/>
  <c r="F164" i="63" a="1"/>
  <c r="F188" i="63" a="1"/>
  <c r="F80" i="63" a="1"/>
  <c r="F128" i="63" a="1"/>
  <c r="G152" i="63" a="1"/>
  <c r="E213" i="63" a="1"/>
  <c r="D189" i="63" a="1"/>
  <c r="D177" i="63" a="1"/>
  <c r="D33" i="63" a="1"/>
  <c r="E9" i="63" a="1"/>
  <c r="C69" i="63" a="1"/>
  <c r="D213" i="63" a="1"/>
  <c r="D117" i="63" a="1"/>
  <c r="G20" i="63" a="1"/>
  <c r="G235" i="63" a="1"/>
  <c r="G56" i="63" a="1"/>
  <c r="G8" i="63" a="1"/>
  <c r="D21" i="63" a="1"/>
  <c r="G188" i="63" a="1"/>
  <c r="F212" i="63" a="1"/>
  <c r="D57" i="63" a="1"/>
  <c r="D45" i="63" a="1"/>
  <c r="G92" i="63" a="1"/>
  <c r="C236" i="63" a="1"/>
  <c r="C165" i="63" a="1"/>
  <c r="E141" i="63" a="1"/>
  <c r="E153" i="63" a="1"/>
  <c r="F92" i="63" a="1"/>
  <c r="G128" i="63" a="1"/>
  <c r="G44" i="63" a="1"/>
  <c r="G116" i="63" a="1"/>
  <c r="C189" i="63" a="1"/>
  <c r="C45" i="63" a="1"/>
  <c r="E57" i="63" a="1"/>
  <c r="C129" i="63" a="1"/>
  <c r="F140" i="63" a="1"/>
  <c r="D93" i="63" a="1"/>
  <c r="F224" i="63" a="1"/>
  <c r="C33" i="63" a="1"/>
  <c r="D153" i="63" a="1"/>
  <c r="E177" i="63" a="1"/>
  <c r="C105" i="63" a="1"/>
  <c r="G164" i="63" a="1"/>
  <c r="C177" i="63" a="1"/>
  <c r="F116" i="63" a="1"/>
  <c r="G176" i="63" a="1"/>
  <c r="C117" i="63" a="1"/>
  <c r="G212" i="63" a="1"/>
  <c r="E33" i="63" a="1"/>
  <c r="D129" i="63" a="1"/>
  <c r="E81" i="63" a="1"/>
  <c r="D105" i="63" a="1"/>
  <c r="D140" i="63" a="1"/>
  <c r="C93" i="63" a="1"/>
  <c r="E69" i="63" a="1"/>
  <c r="G104" i="63" a="1"/>
  <c r="C213" i="63" a="1"/>
  <c r="F176" i="63" a="1"/>
  <c r="F8" i="63" a="1"/>
  <c r="F56" i="63" a="1"/>
  <c r="F68" i="63" a="1"/>
  <c r="K39" i="35" l="1"/>
  <c r="K25" i="35"/>
  <c r="I57" i="39"/>
  <c r="K39" i="50"/>
  <c r="K24" i="50"/>
  <c r="K29" i="50"/>
  <c r="K24" i="42"/>
  <c r="K39" i="42"/>
  <c r="F140" i="63"/>
  <c r="F44" i="63"/>
  <c r="F128" i="63"/>
  <c r="F80" i="63"/>
  <c r="F8" i="63"/>
  <c r="F176" i="63"/>
  <c r="F212" i="63"/>
  <c r="F116" i="63"/>
  <c r="F200" i="63"/>
  <c r="F56" i="63"/>
  <c r="F224" i="63"/>
  <c r="F32" i="63"/>
  <c r="F92" i="63"/>
  <c r="F68" i="63"/>
  <c r="F104" i="63"/>
  <c r="F164" i="63"/>
  <c r="F152" i="63"/>
  <c r="F188" i="63"/>
  <c r="F20" i="63"/>
  <c r="D69" i="63"/>
  <c r="E33" i="63"/>
  <c r="C9" i="63"/>
  <c r="C81" i="63"/>
  <c r="C189" i="63"/>
  <c r="D105" i="63"/>
  <c r="D225" i="63"/>
  <c r="E105" i="63"/>
  <c r="E213" i="63"/>
  <c r="C57" i="63"/>
  <c r="C33" i="63"/>
  <c r="C69" i="63"/>
  <c r="C129" i="63"/>
  <c r="G224" i="63"/>
  <c r="G56" i="63"/>
  <c r="E189" i="63"/>
  <c r="C105" i="63"/>
  <c r="G188" i="63"/>
  <c r="E93" i="63"/>
  <c r="E69" i="63"/>
  <c r="D129" i="63"/>
  <c r="C141" i="63"/>
  <c r="G80" i="63"/>
  <c r="C117" i="63"/>
  <c r="D81" i="63"/>
  <c r="D45" i="63"/>
  <c r="G32" i="63"/>
  <c r="D235" i="63"/>
  <c r="D153" i="63"/>
  <c r="E57" i="63"/>
  <c r="E141" i="63"/>
  <c r="E165" i="63"/>
  <c r="G8" i="63"/>
  <c r="G176" i="63"/>
  <c r="C45" i="63"/>
  <c r="D177" i="63"/>
  <c r="D93" i="63"/>
  <c r="G104" i="63"/>
  <c r="C153" i="63"/>
  <c r="D57" i="63"/>
  <c r="E129" i="63"/>
  <c r="D213" i="63"/>
  <c r="C165" i="63"/>
  <c r="G44" i="63"/>
  <c r="E45" i="63"/>
  <c r="E177" i="63"/>
  <c r="E21" i="63"/>
  <c r="G128" i="63"/>
  <c r="C93" i="63"/>
  <c r="G92" i="63"/>
  <c r="D201" i="63"/>
  <c r="C177" i="63"/>
  <c r="D21" i="63"/>
  <c r="G20" i="63"/>
  <c r="C225" i="63"/>
  <c r="D9" i="63"/>
  <c r="E153" i="63"/>
  <c r="C201" i="63"/>
  <c r="G164" i="63"/>
  <c r="D165" i="63"/>
  <c r="G68" i="63"/>
  <c r="C21" i="63"/>
  <c r="G212" i="63"/>
  <c r="D117" i="63"/>
  <c r="G116" i="63"/>
  <c r="E9" i="63"/>
  <c r="D33" i="63"/>
  <c r="C213" i="63"/>
  <c r="G200" i="63"/>
  <c r="E201" i="63"/>
  <c r="G140" i="63"/>
  <c r="G152" i="63"/>
  <c r="E81" i="63"/>
  <c r="D189" i="63"/>
  <c r="E225" i="63"/>
  <c r="E117" i="63"/>
  <c r="D140" i="63"/>
  <c r="L19" i="47" a="1"/>
  <c r="L19" i="47" s="1"/>
  <c r="K24" i="47"/>
  <c r="K24" i="46"/>
  <c r="L19" i="46" a="1"/>
  <c r="L19" i="46" s="1"/>
  <c r="J18" i="39"/>
  <c r="G235" i="63"/>
  <c r="C236" i="63"/>
  <c r="E236" i="63"/>
  <c r="K45" i="48"/>
  <c r="K48" i="48"/>
  <c r="K46" i="48"/>
  <c r="K46" i="41"/>
  <c r="K45" i="41"/>
  <c r="K48" i="41"/>
  <c r="K48" i="50"/>
  <c r="K46" i="50"/>
  <c r="K45" i="50"/>
  <c r="K45" i="35"/>
  <c r="K48" i="35"/>
  <c r="K46" i="35"/>
  <c r="K46" i="45"/>
  <c r="K57" i="45"/>
  <c r="K45" i="45"/>
  <c r="K48" i="45"/>
  <c r="K46" i="54"/>
  <c r="K45" i="54"/>
  <c r="K48" i="54"/>
  <c r="K57" i="43"/>
  <c r="K48" i="43"/>
  <c r="K46" i="43"/>
  <c r="K45" i="43"/>
  <c r="K48" i="55"/>
  <c r="K46" i="55"/>
  <c r="K45" i="55"/>
  <c r="K45" i="56"/>
  <c r="K48" i="56"/>
  <c r="K45" i="44"/>
  <c r="K48" i="44"/>
  <c r="K46" i="44"/>
  <c r="K46" i="49"/>
  <c r="K48" i="49"/>
  <c r="K45" i="49"/>
  <c r="K29" i="47"/>
  <c r="K48" i="47"/>
  <c r="K46" i="47"/>
  <c r="K45" i="47"/>
  <c r="K46" i="42"/>
  <c r="K48" i="42"/>
  <c r="K45" i="42"/>
  <c r="K45" i="52"/>
  <c r="K48" i="52"/>
  <c r="K46" i="52"/>
  <c r="K29" i="46"/>
  <c r="K46" i="46"/>
  <c r="K57" i="46"/>
  <c r="K45" i="46"/>
  <c r="K48" i="46"/>
  <c r="K48" i="51"/>
  <c r="K46" i="51"/>
  <c r="K45" i="51"/>
  <c r="K45" i="53"/>
  <c r="K46" i="53"/>
  <c r="K45" i="38"/>
  <c r="K45" i="40"/>
  <c r="K48" i="40"/>
  <c r="K46" i="40"/>
  <c r="K30" i="51"/>
  <c r="K20" i="51"/>
  <c r="K18" i="51" s="1" a="1"/>
  <c r="K18" i="51" s="1"/>
  <c r="K47" i="35"/>
  <c r="K47" i="50"/>
  <c r="K47" i="52"/>
  <c r="K47" i="46"/>
  <c r="K47" i="43"/>
  <c r="K47" i="54"/>
  <c r="K47" i="41"/>
  <c r="K47" i="56"/>
  <c r="K46" i="56"/>
  <c r="K24" i="48"/>
  <c r="K47" i="48"/>
  <c r="K47" i="40"/>
  <c r="K47" i="38"/>
  <c r="K48" i="38"/>
  <c r="K46" i="38"/>
  <c r="K47" i="49"/>
  <c r="K47" i="45"/>
  <c r="K47" i="42"/>
  <c r="K47" i="44"/>
  <c r="K47" i="51"/>
  <c r="K47" i="55"/>
  <c r="K47" i="47"/>
  <c r="K47" i="53"/>
  <c r="O11" i="27"/>
  <c r="P11" i="27"/>
  <c r="J20" i="39"/>
  <c r="J30" i="39"/>
  <c r="J40" i="39"/>
  <c r="J26" i="41"/>
  <c r="J41" i="39"/>
  <c r="I42" i="39"/>
  <c r="L19" i="48" a="1"/>
  <c r="L19" i="48" s="1"/>
  <c r="L18" i="48" a="1"/>
  <c r="L18" i="48" s="1"/>
  <c r="K31" i="48"/>
  <c r="J45" i="39"/>
  <c r="K30" i="35"/>
  <c r="K31" i="35"/>
  <c r="J31" i="39"/>
  <c r="K30" i="50"/>
  <c r="K31" i="50"/>
  <c r="K30" i="48"/>
  <c r="K31" i="47"/>
  <c r="K30" i="47"/>
  <c r="K20" i="43"/>
  <c r="K31" i="43"/>
  <c r="K30" i="43"/>
  <c r="K30" i="52"/>
  <c r="K31" i="52"/>
  <c r="K30" i="42"/>
  <c r="K31" i="42"/>
  <c r="K20" i="46"/>
  <c r="K31" i="46"/>
  <c r="K30" i="46"/>
  <c r="K30" i="49"/>
  <c r="K31" i="49"/>
  <c r="K30" i="54"/>
  <c r="K31" i="54"/>
  <c r="K31" i="53"/>
  <c r="K30" i="53"/>
  <c r="K20" i="38"/>
  <c r="K31" i="38"/>
  <c r="K30" i="38"/>
  <c r="K30" i="44"/>
  <c r="K31" i="44"/>
  <c r="K31" i="41"/>
  <c r="K30" i="41"/>
  <c r="K30" i="55"/>
  <c r="K31" i="55"/>
  <c r="K20" i="56"/>
  <c r="K31" i="56"/>
  <c r="K30" i="56"/>
  <c r="K20" i="45"/>
  <c r="K31" i="45"/>
  <c r="K30" i="45"/>
  <c r="K30" i="40"/>
  <c r="K31" i="40"/>
  <c r="K40" i="51"/>
  <c r="K31" i="51"/>
  <c r="K40" i="35"/>
  <c r="K20" i="35"/>
  <c r="K40" i="50"/>
  <c r="K20" i="50"/>
  <c r="K40" i="48"/>
  <c r="K40" i="47"/>
  <c r="K20" i="47"/>
  <c r="K40" i="52"/>
  <c r="K20" i="52"/>
  <c r="K40" i="42"/>
  <c r="K20" i="42"/>
  <c r="K40" i="53"/>
  <c r="K20" i="53"/>
  <c r="K40" i="41"/>
  <c r="K20" i="41"/>
  <c r="K40" i="55"/>
  <c r="K20" i="55"/>
  <c r="K40" i="44"/>
  <c r="K20" i="44"/>
  <c r="K40" i="40"/>
  <c r="K20" i="40"/>
  <c r="K40" i="49"/>
  <c r="K20" i="49"/>
  <c r="K40" i="54"/>
  <c r="K20" i="54"/>
  <c r="K40" i="46"/>
  <c r="K40" i="43"/>
  <c r="K57" i="38"/>
  <c r="K40" i="38"/>
  <c r="K40" i="56"/>
  <c r="K12" i="45"/>
  <c r="K56" i="45" s="1"/>
  <c r="K40" i="45"/>
  <c r="J44" i="39"/>
  <c r="J26" i="55"/>
  <c r="J26" i="45"/>
  <c r="K19" i="39"/>
  <c r="J28" i="39"/>
  <c r="J25" i="39"/>
  <c r="J26" i="52"/>
  <c r="J26" i="49"/>
  <c r="J26" i="48"/>
  <c r="J39" i="39"/>
  <c r="J48" i="39"/>
  <c r="J26" i="50"/>
  <c r="J26" i="42"/>
  <c r="J24" i="39"/>
  <c r="J32" i="39"/>
  <c r="J26" i="56"/>
  <c r="J29" i="39"/>
  <c r="J26" i="38"/>
  <c r="J26" i="54"/>
  <c r="J26" i="53"/>
  <c r="J26" i="44"/>
  <c r="J23" i="39"/>
  <c r="J34" i="39"/>
  <c r="J35" i="39"/>
  <c r="J46" i="39"/>
  <c r="J26" i="35"/>
  <c r="J26" i="47"/>
  <c r="J47" i="39"/>
  <c r="J38" i="39"/>
  <c r="H29" i="27" s="1"/>
  <c r="H12" i="27" s="1"/>
  <c r="I12" i="27" s="1"/>
  <c r="O12" i="27" s="1"/>
  <c r="J26" i="46"/>
  <c r="J33" i="39"/>
  <c r="J26" i="43"/>
  <c r="J26" i="40"/>
  <c r="J26" i="51"/>
  <c r="J49" i="44"/>
  <c r="J14" i="40"/>
  <c r="J42" i="43"/>
  <c r="J49" i="43"/>
  <c r="J49" i="41"/>
  <c r="J36" i="53"/>
  <c r="J49" i="51"/>
  <c r="J42" i="51"/>
  <c r="J36" i="47"/>
  <c r="J42" i="50"/>
  <c r="J36" i="52"/>
  <c r="J14" i="52"/>
  <c r="J58" i="47"/>
  <c r="J49" i="47"/>
  <c r="J42" i="38"/>
  <c r="J49" i="40"/>
  <c r="J42" i="45"/>
  <c r="J49" i="56"/>
  <c r="J42" i="42"/>
  <c r="J36" i="41"/>
  <c r="J42" i="54"/>
  <c r="J36" i="46"/>
  <c r="J42" i="48"/>
  <c r="J14" i="47"/>
  <c r="K9" i="39"/>
  <c r="J36" i="50"/>
  <c r="J42" i="56"/>
  <c r="K23" i="44"/>
  <c r="K24" i="44"/>
  <c r="K12" i="44"/>
  <c r="K56" i="44" s="1"/>
  <c r="K57" i="44"/>
  <c r="K41" i="44"/>
  <c r="K33" i="44"/>
  <c r="K29" i="44"/>
  <c r="K34" i="44"/>
  <c r="K38" i="44"/>
  <c r="K32" i="44"/>
  <c r="K13" i="44"/>
  <c r="K22" i="44"/>
  <c r="K35" i="44"/>
  <c r="K28" i="44"/>
  <c r="K34" i="50"/>
  <c r="K28" i="50"/>
  <c r="K23" i="50"/>
  <c r="K38" i="50"/>
  <c r="K32" i="50"/>
  <c r="K13" i="50"/>
  <c r="K41" i="50"/>
  <c r="K22" i="50"/>
  <c r="K35" i="50"/>
  <c r="K33" i="50"/>
  <c r="K12" i="50"/>
  <c r="K56" i="50" s="1"/>
  <c r="K57" i="50"/>
  <c r="K32" i="43"/>
  <c r="K29" i="43"/>
  <c r="K24" i="43"/>
  <c r="K28" i="43"/>
  <c r="K23" i="43"/>
  <c r="K41" i="43"/>
  <c r="K34" i="43"/>
  <c r="K22" i="43"/>
  <c r="K35" i="43"/>
  <c r="K33" i="43"/>
  <c r="K13" i="43"/>
  <c r="K38" i="43"/>
  <c r="K12" i="43"/>
  <c r="K56" i="43" s="1"/>
  <c r="J36" i="45"/>
  <c r="K8" i="39"/>
  <c r="K38" i="35"/>
  <c r="K32" i="35"/>
  <c r="K57" i="35"/>
  <c r="K24" i="35"/>
  <c r="K13" i="35"/>
  <c r="K34" i="35"/>
  <c r="K33" i="35"/>
  <c r="K29" i="35"/>
  <c r="K28" i="35"/>
  <c r="K23" i="35"/>
  <c r="K35" i="35"/>
  <c r="K41" i="35"/>
  <c r="K22" i="35"/>
  <c r="K12" i="35"/>
  <c r="J56" i="38"/>
  <c r="J58" i="38" s="1"/>
  <c r="J14" i="38"/>
  <c r="J56" i="54"/>
  <c r="J58" i="54" s="1"/>
  <c r="J14" i="54"/>
  <c r="J56" i="43"/>
  <c r="J58" i="43" s="1"/>
  <c r="J14" i="43"/>
  <c r="J36" i="43"/>
  <c r="L18" i="40" a="1"/>
  <c r="L18" i="40" s="1"/>
  <c r="L19" i="40" a="1"/>
  <c r="L19" i="40" s="1"/>
  <c r="L8" i="40" a="1"/>
  <c r="L8" i="40" s="1"/>
  <c r="L39" i="40" s="1"/>
  <c r="L9" i="40" a="1"/>
  <c r="L9" i="40" s="1"/>
  <c r="L19" i="51" a="1"/>
  <c r="L19" i="51" s="1"/>
  <c r="L8" i="51" a="1"/>
  <c r="L8" i="51" s="1"/>
  <c r="L39" i="51" s="1"/>
  <c r="L9" i="51" a="1"/>
  <c r="L9" i="51" s="1"/>
  <c r="M55" i="52"/>
  <c r="M55" i="39"/>
  <c r="M7" i="55"/>
  <c r="M7" i="43"/>
  <c r="M55" i="47"/>
  <c r="M55" i="41"/>
  <c r="M55" i="56"/>
  <c r="M55" i="45"/>
  <c r="M7" i="56"/>
  <c r="M7" i="42"/>
  <c r="M7" i="50"/>
  <c r="M7" i="40"/>
  <c r="AA51" i="30"/>
  <c r="M7" i="51"/>
  <c r="M55" i="55"/>
  <c r="M7" i="44"/>
  <c r="M7" i="46"/>
  <c r="M55" i="46"/>
  <c r="M7" i="45"/>
  <c r="M55" i="49"/>
  <c r="M7" i="38"/>
  <c r="M55" i="50"/>
  <c r="M55" i="48"/>
  <c r="M7" i="54"/>
  <c r="M7" i="39"/>
  <c r="M7" i="49"/>
  <c r="M55" i="54"/>
  <c r="M55" i="38"/>
  <c r="M55" i="51"/>
  <c r="M55" i="40"/>
  <c r="M55" i="43"/>
  <c r="M55" i="35"/>
  <c r="M55" i="42"/>
  <c r="M7" i="47"/>
  <c r="M55" i="53"/>
  <c r="M55" i="44"/>
  <c r="M7" i="52"/>
  <c r="M7" i="41"/>
  <c r="M7" i="48"/>
  <c r="M7" i="53"/>
  <c r="M7" i="35"/>
  <c r="J56" i="46"/>
  <c r="J58" i="46" s="1"/>
  <c r="J14" i="46"/>
  <c r="J13" i="39"/>
  <c r="J14" i="35"/>
  <c r="J42" i="41"/>
  <c r="K34" i="40"/>
  <c r="K24" i="40"/>
  <c r="K22" i="40"/>
  <c r="K13" i="40"/>
  <c r="K29" i="40"/>
  <c r="K32" i="40"/>
  <c r="K35" i="40"/>
  <c r="K41" i="40"/>
  <c r="K38" i="40"/>
  <c r="K33" i="40"/>
  <c r="K12" i="40"/>
  <c r="K56" i="40" s="1"/>
  <c r="K57" i="40"/>
  <c r="K28" i="40"/>
  <c r="K23" i="40"/>
  <c r="K41" i="48"/>
  <c r="K32" i="48"/>
  <c r="K12" i="48"/>
  <c r="K56" i="48" s="1"/>
  <c r="K33" i="48"/>
  <c r="K35" i="48"/>
  <c r="K34" i="48"/>
  <c r="K23" i="48"/>
  <c r="K38" i="48"/>
  <c r="K22" i="48"/>
  <c r="K57" i="48"/>
  <c r="K13" i="48"/>
  <c r="K29" i="48"/>
  <c r="K28" i="48"/>
  <c r="L18" i="47" a="1"/>
  <c r="L18" i="47" s="1"/>
  <c r="L8" i="47" a="1"/>
  <c r="L8" i="47" s="1"/>
  <c r="L39" i="47" s="1"/>
  <c r="L9" i="47" a="1"/>
  <c r="L9" i="47" s="1"/>
  <c r="L8" i="49" a="1"/>
  <c r="L8" i="49" s="1"/>
  <c r="L39" i="49" s="1"/>
  <c r="L9" i="49" a="1"/>
  <c r="L9" i="49" s="1"/>
  <c r="L19" i="49" a="1"/>
  <c r="L19" i="49" s="1"/>
  <c r="L18" i="49" a="1"/>
  <c r="L18" i="49" s="1"/>
  <c r="K28" i="42"/>
  <c r="K35" i="42"/>
  <c r="K29" i="42"/>
  <c r="K57" i="42"/>
  <c r="K12" i="42"/>
  <c r="K56" i="42" s="1"/>
  <c r="K34" i="42"/>
  <c r="K32" i="42"/>
  <c r="K38" i="42"/>
  <c r="K13" i="42"/>
  <c r="K33" i="42"/>
  <c r="K23" i="42"/>
  <c r="K41" i="42"/>
  <c r="K22" i="42"/>
  <c r="J14" i="49"/>
  <c r="J56" i="49"/>
  <c r="J58" i="49" s="1"/>
  <c r="K28" i="41"/>
  <c r="K35" i="41"/>
  <c r="K57" i="41"/>
  <c r="K32" i="41"/>
  <c r="K24" i="41"/>
  <c r="K12" i="41"/>
  <c r="K56" i="41" s="1"/>
  <c r="K23" i="41"/>
  <c r="K29" i="41"/>
  <c r="K33" i="41"/>
  <c r="K13" i="41"/>
  <c r="K38" i="41"/>
  <c r="K34" i="41"/>
  <c r="K22" i="41"/>
  <c r="K41" i="41"/>
  <c r="J42" i="55"/>
  <c r="L19" i="43" a="1"/>
  <c r="L19" i="43" s="1"/>
  <c r="L8" i="43" a="1"/>
  <c r="L8" i="43" s="1"/>
  <c r="L39" i="43" s="1"/>
  <c r="L18" i="43" a="1"/>
  <c r="L18" i="43" s="1"/>
  <c r="L9" i="43" a="1"/>
  <c r="L9" i="43" s="1"/>
  <c r="J49" i="46"/>
  <c r="J14" i="42"/>
  <c r="J56" i="42"/>
  <c r="J58" i="42" s="1"/>
  <c r="J49" i="42"/>
  <c r="J56" i="41"/>
  <c r="J58" i="41" s="1"/>
  <c r="J14" i="41"/>
  <c r="K57" i="56"/>
  <c r="K24" i="56"/>
  <c r="K28" i="56"/>
  <c r="K38" i="56"/>
  <c r="K35" i="56"/>
  <c r="K23" i="56"/>
  <c r="K41" i="56"/>
  <c r="K13" i="56"/>
  <c r="K22" i="56"/>
  <c r="K33" i="56"/>
  <c r="K29" i="56"/>
  <c r="K12" i="56"/>
  <c r="K56" i="56" s="1"/>
  <c r="K34" i="56"/>
  <c r="K32" i="56"/>
  <c r="J58" i="45"/>
  <c r="J14" i="45"/>
  <c r="J14" i="55"/>
  <c r="J56" i="55"/>
  <c r="J58" i="55" s="1"/>
  <c r="J56" i="50"/>
  <c r="J58" i="50" s="1"/>
  <c r="J14" i="50"/>
  <c r="L19" i="52" a="1"/>
  <c r="L19" i="52" s="1"/>
  <c r="L8" i="52" a="1"/>
  <c r="L8" i="52" s="1"/>
  <c r="L39" i="52" s="1"/>
  <c r="L18" i="52" a="1"/>
  <c r="L18" i="52" s="1"/>
  <c r="L9" i="52" a="1"/>
  <c r="L9" i="52" s="1"/>
  <c r="L19" i="42" a="1"/>
  <c r="L19" i="42" s="1"/>
  <c r="L8" i="42" a="1"/>
  <c r="L8" i="42" s="1"/>
  <c r="L9" i="42" a="1"/>
  <c r="L9" i="42" s="1"/>
  <c r="L18" i="42" a="1"/>
  <c r="L18" i="42" s="1"/>
  <c r="K38" i="52"/>
  <c r="K13" i="52"/>
  <c r="K35" i="52"/>
  <c r="K22" i="52"/>
  <c r="K23" i="52"/>
  <c r="K33" i="52"/>
  <c r="K28" i="52"/>
  <c r="K24" i="52"/>
  <c r="K32" i="52"/>
  <c r="K34" i="52"/>
  <c r="K57" i="52"/>
  <c r="K29" i="52"/>
  <c r="K41" i="52"/>
  <c r="K12" i="52"/>
  <c r="K56" i="52" s="1"/>
  <c r="K12" i="53"/>
  <c r="K56" i="53" s="1"/>
  <c r="K41" i="53"/>
  <c r="K32" i="53"/>
  <c r="K34" i="53"/>
  <c r="K24" i="53"/>
  <c r="K22" i="53"/>
  <c r="K23" i="53"/>
  <c r="K57" i="53"/>
  <c r="K38" i="53"/>
  <c r="K29" i="53"/>
  <c r="K13" i="53"/>
  <c r="K35" i="53"/>
  <c r="K33" i="53"/>
  <c r="K28" i="53"/>
  <c r="K35" i="47"/>
  <c r="K57" i="47"/>
  <c r="K13" i="47"/>
  <c r="K12" i="47"/>
  <c r="K56" i="47" s="1"/>
  <c r="K28" i="47"/>
  <c r="K23" i="47"/>
  <c r="K22" i="47"/>
  <c r="K34" i="47"/>
  <c r="K41" i="47"/>
  <c r="K32" i="47"/>
  <c r="K33" i="47"/>
  <c r="K38" i="47"/>
  <c r="J56" i="56"/>
  <c r="J58" i="56" s="1"/>
  <c r="J14" i="56"/>
  <c r="K32" i="49"/>
  <c r="K38" i="49"/>
  <c r="K34" i="49"/>
  <c r="K33" i="49"/>
  <c r="K28" i="49"/>
  <c r="K12" i="49"/>
  <c r="K56" i="49" s="1"/>
  <c r="K35" i="49"/>
  <c r="K57" i="49"/>
  <c r="K41" i="49"/>
  <c r="K24" i="49"/>
  <c r="K13" i="49"/>
  <c r="K22" i="49"/>
  <c r="K29" i="49"/>
  <c r="K23" i="49"/>
  <c r="J49" i="48"/>
  <c r="J49" i="45"/>
  <c r="I36" i="39"/>
  <c r="J36" i="55"/>
  <c r="J58" i="52"/>
  <c r="L9" i="48" a="1"/>
  <c r="L9" i="48" s="1"/>
  <c r="L8" i="48" a="1"/>
  <c r="L8" i="48" s="1"/>
  <c r="L39" i="48" s="1"/>
  <c r="L9" i="38" a="1"/>
  <c r="L9" i="38" s="1"/>
  <c r="L8" i="38" a="1"/>
  <c r="L8" i="38" s="1"/>
  <c r="L39" i="38" s="1"/>
  <c r="L19" i="38" a="1"/>
  <c r="L19" i="38" s="1"/>
  <c r="L18" i="38" a="1"/>
  <c r="L18" i="38" s="1"/>
  <c r="L18" i="44" a="1"/>
  <c r="L18" i="44" s="1"/>
  <c r="L19" i="44" a="1"/>
  <c r="L19" i="44" s="1"/>
  <c r="L8" i="44" a="1"/>
  <c r="L8" i="44" s="1"/>
  <c r="L39" i="44" s="1"/>
  <c r="L9" i="44" a="1"/>
  <c r="L9" i="44" s="1"/>
  <c r="J36" i="42"/>
  <c r="J56" i="35"/>
  <c r="J58" i="35" s="1"/>
  <c r="J12" i="39"/>
  <c r="J56" i="53"/>
  <c r="J58" i="53" s="1"/>
  <c r="J14" i="53"/>
  <c r="J56" i="44"/>
  <c r="J58" i="44" s="1"/>
  <c r="J14" i="44"/>
  <c r="J36" i="56"/>
  <c r="J36" i="40"/>
  <c r="K23" i="46"/>
  <c r="K41" i="46"/>
  <c r="K34" i="46"/>
  <c r="K32" i="46"/>
  <c r="K33" i="46"/>
  <c r="K35" i="46"/>
  <c r="K12" i="46"/>
  <c r="K56" i="46" s="1"/>
  <c r="K28" i="46"/>
  <c r="K13" i="46"/>
  <c r="K22" i="46"/>
  <c r="K38" i="46"/>
  <c r="K13" i="55"/>
  <c r="K34" i="55"/>
  <c r="K12" i="55"/>
  <c r="K56" i="55" s="1"/>
  <c r="K24" i="55"/>
  <c r="K41" i="55"/>
  <c r="K29" i="55"/>
  <c r="K35" i="55"/>
  <c r="K23" i="55"/>
  <c r="K38" i="55"/>
  <c r="K33" i="55"/>
  <c r="K22" i="55"/>
  <c r="K32" i="55"/>
  <c r="K57" i="55"/>
  <c r="K28" i="55"/>
  <c r="J56" i="51"/>
  <c r="J58" i="51" s="1"/>
  <c r="J14" i="51"/>
  <c r="J49" i="38"/>
  <c r="J36" i="54"/>
  <c r="L18" i="56" a="1"/>
  <c r="L18" i="56" s="1"/>
  <c r="L19" i="56" a="1"/>
  <c r="L19" i="56" s="1"/>
  <c r="L8" i="56" a="1"/>
  <c r="L8" i="56" s="1"/>
  <c r="L39" i="56" s="1"/>
  <c r="L9" i="56" a="1"/>
  <c r="L9" i="56" s="1"/>
  <c r="L18" i="41" a="1"/>
  <c r="L18" i="41" s="1"/>
  <c r="L19" i="41" a="1"/>
  <c r="L19" i="41" s="1"/>
  <c r="L8" i="41" a="1"/>
  <c r="L8" i="41" s="1"/>
  <c r="L39" i="41" s="1"/>
  <c r="L9" i="41" a="1"/>
  <c r="L9" i="41" s="1"/>
  <c r="L18" i="50" a="1"/>
  <c r="L18" i="50" s="1"/>
  <c r="L8" i="50" a="1"/>
  <c r="L8" i="50" s="1"/>
  <c r="L19" i="50" a="1"/>
  <c r="L19" i="50" s="1"/>
  <c r="L9" i="50" a="1"/>
  <c r="L9" i="50" s="1"/>
  <c r="L9" i="55" a="1"/>
  <c r="L9" i="55" s="1"/>
  <c r="L18" i="55" a="1"/>
  <c r="L18" i="55" s="1"/>
  <c r="L19" i="55" a="1"/>
  <c r="L19" i="55" s="1"/>
  <c r="L8" i="55" a="1"/>
  <c r="L8" i="55" s="1"/>
  <c r="L39" i="55" s="1"/>
  <c r="J22" i="39"/>
  <c r="J49" i="35"/>
  <c r="I49" i="39"/>
  <c r="J36" i="44"/>
  <c r="J42" i="49"/>
  <c r="J36" i="49"/>
  <c r="K35" i="51"/>
  <c r="K13" i="51"/>
  <c r="K24" i="51"/>
  <c r="K29" i="51"/>
  <c r="K28" i="51"/>
  <c r="K33" i="51"/>
  <c r="K41" i="51"/>
  <c r="K12" i="51"/>
  <c r="K56" i="51" s="1"/>
  <c r="K34" i="51"/>
  <c r="K38" i="51"/>
  <c r="K22" i="51"/>
  <c r="K32" i="51"/>
  <c r="K23" i="51"/>
  <c r="K57" i="51"/>
  <c r="J36" i="48"/>
  <c r="J36" i="51"/>
  <c r="J49" i="50"/>
  <c r="J49" i="54"/>
  <c r="L18" i="46" a="1"/>
  <c r="L18" i="46" s="1"/>
  <c r="L9" i="46" a="1"/>
  <c r="L9" i="46" s="1"/>
  <c r="L8" i="46" a="1"/>
  <c r="L8" i="46" s="1"/>
  <c r="L39" i="46" s="1"/>
  <c r="L9" i="35" a="1"/>
  <c r="L9" i="35" s="1"/>
  <c r="L18" i="35" a="1"/>
  <c r="L18" i="35" s="1"/>
  <c r="L8" i="35" a="1"/>
  <c r="L8" i="35" s="1"/>
  <c r="L19" i="35" a="1"/>
  <c r="L19" i="35" s="1"/>
  <c r="L19" i="54" a="1"/>
  <c r="L19" i="54" s="1"/>
  <c r="L8" i="54" a="1"/>
  <c r="L8" i="54" s="1"/>
  <c r="L39" i="54" s="1"/>
  <c r="L9" i="54" a="1"/>
  <c r="L9" i="54" s="1"/>
  <c r="L18" i="54" a="1"/>
  <c r="L18" i="54" s="1"/>
  <c r="J42" i="46"/>
  <c r="J42" i="35"/>
  <c r="J36" i="35"/>
  <c r="I56" i="39"/>
  <c r="I58" i="39" s="1"/>
  <c r="I14" i="39"/>
  <c r="J42" i="53"/>
  <c r="J49" i="53"/>
  <c r="K22" i="54"/>
  <c r="K34" i="54"/>
  <c r="K32" i="54"/>
  <c r="K57" i="54"/>
  <c r="K38" i="54"/>
  <c r="K28" i="54"/>
  <c r="K13" i="54"/>
  <c r="K29" i="54"/>
  <c r="K41" i="54"/>
  <c r="K12" i="54"/>
  <c r="K56" i="54" s="1"/>
  <c r="K24" i="54"/>
  <c r="K33" i="54"/>
  <c r="K35" i="54"/>
  <c r="K23" i="54"/>
  <c r="J49" i="49"/>
  <c r="J58" i="40"/>
  <c r="K38" i="38"/>
  <c r="K34" i="38"/>
  <c r="K13" i="38"/>
  <c r="K41" i="38"/>
  <c r="K33" i="38"/>
  <c r="K22" i="38"/>
  <c r="K23" i="38"/>
  <c r="K32" i="38"/>
  <c r="K12" i="38"/>
  <c r="K56" i="38" s="1"/>
  <c r="K24" i="38"/>
  <c r="K28" i="38"/>
  <c r="K35" i="38"/>
  <c r="K29" i="38"/>
  <c r="J56" i="48"/>
  <c r="J58" i="48" s="1"/>
  <c r="J14" i="48"/>
  <c r="J49" i="55"/>
  <c r="J42" i="47"/>
  <c r="J36" i="38"/>
  <c r="J42" i="52"/>
  <c r="J49" i="52"/>
  <c r="L18" i="45" a="1"/>
  <c r="L18" i="45" s="1"/>
  <c r="L8" i="45" a="1"/>
  <c r="L8" i="45" s="1"/>
  <c r="L39" i="45" s="1"/>
  <c r="L9" i="45" a="1"/>
  <c r="L9" i="45" s="1"/>
  <c r="L19" i="45" a="1"/>
  <c r="L19" i="45" s="1"/>
  <c r="L8" i="53" a="1"/>
  <c r="L8" i="53" s="1"/>
  <c r="L39" i="53" s="1"/>
  <c r="L19" i="53" a="1"/>
  <c r="L19" i="53" s="1"/>
  <c r="L9" i="53" a="1"/>
  <c r="L9" i="53" s="1"/>
  <c r="L18" i="53" a="1"/>
  <c r="L18" i="53" s="1"/>
  <c r="K22" i="45"/>
  <c r="K41" i="45"/>
  <c r="K28" i="45"/>
  <c r="K32" i="45"/>
  <c r="K33" i="45"/>
  <c r="K34" i="45"/>
  <c r="K29" i="45"/>
  <c r="K24" i="45"/>
  <c r="K38" i="45"/>
  <c r="K13" i="45"/>
  <c r="K23" i="45"/>
  <c r="K35" i="45"/>
  <c r="N53" i="30"/>
  <c r="O53" i="30" s="1"/>
  <c r="O52" i="30"/>
  <c r="J42" i="44"/>
  <c r="J42" i="40"/>
  <c r="D10" i="63" a="1"/>
  <c r="G129" i="63" a="1"/>
  <c r="E142" i="63" a="1"/>
  <c r="G69" i="63" a="1"/>
  <c r="D82" i="63" a="1"/>
  <c r="G141" i="63" a="1"/>
  <c r="G165" i="63" a="1"/>
  <c r="F69" i="63" a="1"/>
  <c r="F21" i="63" a="1"/>
  <c r="E58" i="63" a="1"/>
  <c r="D236" i="63" a="1"/>
  <c r="F153" i="63" a="1"/>
  <c r="G105" i="63" a="1"/>
  <c r="F201" i="63" a="1"/>
  <c r="F9" i="63" a="1"/>
  <c r="D178" i="63" a="1"/>
  <c r="D190" i="63" a="1"/>
  <c r="E166" i="63" a="1"/>
  <c r="E154" i="63" a="1"/>
  <c r="F117" i="63" a="1"/>
  <c r="D106" i="63" a="1"/>
  <c r="E202" i="63" a="1"/>
  <c r="E34" i="63" a="1"/>
  <c r="F93" i="63" a="1"/>
  <c r="E106" i="63" a="1"/>
  <c r="C10" i="63" a="1"/>
  <c r="G213" i="63" a="1"/>
  <c r="C94" i="63" a="1"/>
  <c r="C34" i="63" a="1"/>
  <c r="E46" i="63" a="1"/>
  <c r="F57" i="63" a="1"/>
  <c r="E70" i="63" a="1"/>
  <c r="E130" i="63" a="1"/>
  <c r="D226" i="63" a="1"/>
  <c r="G153" i="63" a="1"/>
  <c r="D94" i="63" a="1"/>
  <c r="F189" i="63" a="1"/>
  <c r="C214" i="63" a="1"/>
  <c r="D58" i="63" a="1"/>
  <c r="E118" i="63" a="1"/>
  <c r="E190" i="63" a="1"/>
  <c r="C130" i="63" a="1"/>
  <c r="D214" i="63" a="1"/>
  <c r="G33" i="63" a="1"/>
  <c r="D141" i="63" a="1"/>
  <c r="D130" i="63" a="1"/>
  <c r="F141" i="63" a="1"/>
  <c r="G117" i="63" a="1"/>
  <c r="G225" i="63" a="1"/>
  <c r="E82" i="63" a="1"/>
  <c r="E10" i="63" a="1"/>
  <c r="C237" i="63" a="1"/>
  <c r="F81" i="63" a="1"/>
  <c r="F177" i="63" a="1"/>
  <c r="C142" i="63" a="1"/>
  <c r="F225" i="63" a="1"/>
  <c r="C166" i="63" a="1"/>
  <c r="G236" i="63" a="1"/>
  <c r="C22" i="63" a="1"/>
  <c r="D166" i="63" a="1"/>
  <c r="G93" i="63" a="1"/>
  <c r="F165" i="63" a="1"/>
  <c r="D118" i="63" a="1"/>
  <c r="D202" i="63" a="1"/>
  <c r="C70" i="63" a="1"/>
  <c r="E178" i="63" a="1"/>
  <c r="C118" i="63" a="1"/>
  <c r="C190" i="63" a="1"/>
  <c r="F33" i="63" a="1"/>
  <c r="C58" i="63" a="1"/>
  <c r="E237" i="63" a="1"/>
  <c r="G81" i="63" a="1"/>
  <c r="G21" i="63" a="1"/>
  <c r="G57" i="63" a="1"/>
  <c r="D22" i="63" a="1"/>
  <c r="C106" i="63" a="1"/>
  <c r="C82" i="63" a="1"/>
  <c r="F236" i="63" a="1"/>
  <c r="E22" i="63" a="1"/>
  <c r="G9" i="63" a="1"/>
  <c r="F105" i="63" a="1"/>
  <c r="E226" i="63" a="1"/>
  <c r="D70" i="63" a="1"/>
  <c r="C46" i="63" a="1"/>
  <c r="D34" i="63" a="1"/>
  <c r="E214" i="63" a="1"/>
  <c r="C226" i="63" a="1"/>
  <c r="C154" i="63" a="1"/>
  <c r="D46" i="63" a="1"/>
  <c r="G201" i="63" a="1"/>
  <c r="D154" i="63" a="1"/>
  <c r="E94" i="63" a="1"/>
  <c r="G189" i="63" a="1"/>
  <c r="G45" i="63" a="1"/>
  <c r="G177" i="63" a="1"/>
  <c r="F213" i="63" a="1"/>
  <c r="C178" i="63" a="1"/>
  <c r="F129" i="63" a="1"/>
  <c r="C202" i="63" a="1"/>
  <c r="F45" i="63" a="1"/>
  <c r="J57" i="39" l="1"/>
  <c r="L39" i="35"/>
  <c r="L25" i="35"/>
  <c r="K58" i="43"/>
  <c r="L39" i="50"/>
  <c r="L29" i="50"/>
  <c r="L24" i="50"/>
  <c r="L24" i="42"/>
  <c r="L39" i="42"/>
  <c r="F129" i="63"/>
  <c r="F33" i="63"/>
  <c r="F153" i="63"/>
  <c r="F213" i="63"/>
  <c r="F45" i="63"/>
  <c r="F81" i="63"/>
  <c r="F141" i="63"/>
  <c r="F93" i="63"/>
  <c r="F165" i="63"/>
  <c r="F21" i="63"/>
  <c r="F9" i="63"/>
  <c r="F57" i="63"/>
  <c r="F225" i="63"/>
  <c r="F189" i="63"/>
  <c r="F201" i="63"/>
  <c r="F117" i="63"/>
  <c r="F105" i="63"/>
  <c r="F69" i="63"/>
  <c r="F177" i="63"/>
  <c r="F236" i="63"/>
  <c r="D34" i="63"/>
  <c r="E190" i="63"/>
  <c r="E82" i="63"/>
  <c r="C10" i="63"/>
  <c r="C202" i="63"/>
  <c r="G201" i="63"/>
  <c r="C226" i="63"/>
  <c r="G165" i="63"/>
  <c r="E166" i="63"/>
  <c r="E58" i="63"/>
  <c r="G21" i="63"/>
  <c r="G9" i="63"/>
  <c r="E94" i="63"/>
  <c r="D10" i="63"/>
  <c r="E202" i="63"/>
  <c r="C34" i="63"/>
  <c r="D46" i="63"/>
  <c r="C106" i="63"/>
  <c r="C142" i="63"/>
  <c r="G117" i="63"/>
  <c r="G93" i="63"/>
  <c r="C82" i="63"/>
  <c r="D202" i="63"/>
  <c r="E34" i="63"/>
  <c r="C118" i="63"/>
  <c r="D106" i="63"/>
  <c r="E142" i="63"/>
  <c r="D118" i="63"/>
  <c r="G105" i="63"/>
  <c r="D190" i="63"/>
  <c r="C70" i="63"/>
  <c r="G177" i="63"/>
  <c r="C46" i="63"/>
  <c r="G33" i="63"/>
  <c r="G153" i="63"/>
  <c r="E118" i="63"/>
  <c r="D141" i="63"/>
  <c r="E106" i="63"/>
  <c r="D178" i="63"/>
  <c r="E70" i="63"/>
  <c r="E46" i="63"/>
  <c r="D130" i="63"/>
  <c r="C22" i="63"/>
  <c r="G57" i="63"/>
  <c r="G81" i="63"/>
  <c r="C190" i="63"/>
  <c r="D94" i="63"/>
  <c r="E154" i="63"/>
  <c r="C214" i="63"/>
  <c r="D70" i="63"/>
  <c r="G213" i="63"/>
  <c r="G45" i="63"/>
  <c r="E130" i="63"/>
  <c r="E22" i="63"/>
  <c r="G69" i="63"/>
  <c r="D82" i="63"/>
  <c r="E178" i="63"/>
  <c r="G225" i="63"/>
  <c r="C154" i="63"/>
  <c r="E214" i="63"/>
  <c r="D226" i="63"/>
  <c r="G129" i="63"/>
  <c r="D166" i="63"/>
  <c r="D58" i="63"/>
  <c r="D22" i="63"/>
  <c r="C94" i="63"/>
  <c r="C178" i="63"/>
  <c r="G189" i="63"/>
  <c r="E10" i="63"/>
  <c r="G141" i="63"/>
  <c r="D154" i="63"/>
  <c r="D214" i="63"/>
  <c r="E226" i="63"/>
  <c r="C166" i="63"/>
  <c r="C58" i="63"/>
  <c r="C130" i="63"/>
  <c r="D236" i="63"/>
  <c r="L24" i="47"/>
  <c r="K18" i="39"/>
  <c r="M19" i="47" a="1"/>
  <c r="M19" i="47" s="1"/>
  <c r="L24" i="46"/>
  <c r="M19" i="46" a="1"/>
  <c r="M19" i="46" s="1"/>
  <c r="E237" i="63"/>
  <c r="C237" i="63"/>
  <c r="G236" i="63"/>
  <c r="L48" i="45"/>
  <c r="L46" i="45"/>
  <c r="L57" i="45"/>
  <c r="L45" i="45"/>
  <c r="L44" i="45"/>
  <c r="L46" i="54"/>
  <c r="L48" i="54"/>
  <c r="L44" i="54"/>
  <c r="L45" i="54"/>
  <c r="L44" i="56"/>
  <c r="L48" i="56"/>
  <c r="L45" i="56"/>
  <c r="L46" i="50"/>
  <c r="L45" i="50"/>
  <c r="L48" i="50"/>
  <c r="L44" i="50"/>
  <c r="L46" i="43"/>
  <c r="L45" i="43"/>
  <c r="L48" i="43"/>
  <c r="L44" i="43"/>
  <c r="L48" i="35"/>
  <c r="L45" i="35"/>
  <c r="L46" i="35"/>
  <c r="L44" i="35"/>
  <c r="L48" i="55"/>
  <c r="L46" i="55"/>
  <c r="L44" i="55"/>
  <c r="L45" i="55"/>
  <c r="L44" i="38"/>
  <c r="L45" i="38"/>
  <c r="L45" i="53"/>
  <c r="L48" i="53"/>
  <c r="L44" i="53"/>
  <c r="L46" i="53"/>
  <c r="L48" i="52"/>
  <c r="L46" i="52"/>
  <c r="L44" i="52"/>
  <c r="L45" i="52"/>
  <c r="L45" i="49"/>
  <c r="L46" i="49"/>
  <c r="L44" i="49"/>
  <c r="L48" i="49"/>
  <c r="L44" i="41"/>
  <c r="L45" i="41"/>
  <c r="L46" i="41"/>
  <c r="L48" i="41"/>
  <c r="L29" i="47"/>
  <c r="L48" i="47"/>
  <c r="L45" i="47"/>
  <c r="L44" i="47"/>
  <c r="L46" i="47"/>
  <c r="L45" i="51"/>
  <c r="L44" i="51"/>
  <c r="L46" i="51"/>
  <c r="L48" i="51"/>
  <c r="L48" i="48"/>
  <c r="L46" i="48"/>
  <c r="L45" i="48"/>
  <c r="L44" i="48"/>
  <c r="L29" i="46"/>
  <c r="L46" i="46"/>
  <c r="L44" i="46"/>
  <c r="L48" i="46"/>
  <c r="L45" i="46"/>
  <c r="L45" i="44"/>
  <c r="L48" i="44"/>
  <c r="L46" i="44"/>
  <c r="L44" i="44"/>
  <c r="L45" i="42"/>
  <c r="L44" i="42"/>
  <c r="L46" i="42"/>
  <c r="L48" i="42"/>
  <c r="L48" i="40"/>
  <c r="L46" i="40"/>
  <c r="L45" i="40"/>
  <c r="L44" i="40"/>
  <c r="L20" i="51"/>
  <c r="L18" i="51" s="1" a="1"/>
  <c r="L18" i="51" s="1"/>
  <c r="L30" i="51"/>
  <c r="L47" i="41"/>
  <c r="L47" i="40"/>
  <c r="L47" i="44"/>
  <c r="L47" i="42"/>
  <c r="L47" i="49"/>
  <c r="L47" i="53"/>
  <c r="L47" i="54"/>
  <c r="L47" i="45"/>
  <c r="L48" i="38"/>
  <c r="L46" i="38"/>
  <c r="L47" i="38"/>
  <c r="L47" i="47"/>
  <c r="L47" i="35"/>
  <c r="L47" i="56"/>
  <c r="L46" i="56"/>
  <c r="L47" i="50"/>
  <c r="L24" i="48"/>
  <c r="L47" i="48"/>
  <c r="L47" i="52"/>
  <c r="L47" i="51"/>
  <c r="L47" i="46"/>
  <c r="L47" i="55"/>
  <c r="L47" i="43"/>
  <c r="L31" i="48"/>
  <c r="P12" i="27"/>
  <c r="Q11" i="27"/>
  <c r="K14" i="45"/>
  <c r="K40" i="39"/>
  <c r="K31" i="39"/>
  <c r="K30" i="39"/>
  <c r="K41" i="39"/>
  <c r="K20" i="39"/>
  <c r="J42" i="39"/>
  <c r="M19" i="48" a="1"/>
  <c r="M19" i="48" s="1"/>
  <c r="M18" i="48" a="1"/>
  <c r="M18" i="48" s="1"/>
  <c r="L30" i="42"/>
  <c r="L31" i="42"/>
  <c r="L31" i="35"/>
  <c r="L30" i="35"/>
  <c r="L30" i="55"/>
  <c r="L31" i="55"/>
  <c r="L30" i="48"/>
  <c r="L30" i="47"/>
  <c r="L31" i="47"/>
  <c r="L20" i="41"/>
  <c r="L31" i="41"/>
  <c r="L30" i="41"/>
  <c r="L30" i="44"/>
  <c r="L31" i="44"/>
  <c r="L30" i="43"/>
  <c r="L31" i="43"/>
  <c r="L31" i="53"/>
  <c r="L30" i="53"/>
  <c r="L30" i="52"/>
  <c r="L31" i="52"/>
  <c r="L20" i="46"/>
  <c r="L31" i="46"/>
  <c r="L30" i="46"/>
  <c r="L31" i="54"/>
  <c r="L30" i="54"/>
  <c r="L20" i="56"/>
  <c r="L30" i="56"/>
  <c r="L31" i="56"/>
  <c r="L31" i="40"/>
  <c r="L30" i="40"/>
  <c r="L20" i="45"/>
  <c r="L31" i="45"/>
  <c r="L30" i="45"/>
  <c r="L30" i="50"/>
  <c r="L31" i="50"/>
  <c r="L30" i="38"/>
  <c r="L31" i="38"/>
  <c r="L31" i="49"/>
  <c r="L30" i="49"/>
  <c r="L40" i="51"/>
  <c r="L31" i="51"/>
  <c r="L40" i="52"/>
  <c r="L20" i="52"/>
  <c r="L40" i="54"/>
  <c r="L20" i="54"/>
  <c r="L40" i="40"/>
  <c r="L20" i="40"/>
  <c r="L40" i="50"/>
  <c r="L20" i="50"/>
  <c r="L40" i="38"/>
  <c r="L20" i="38"/>
  <c r="L40" i="49"/>
  <c r="L20" i="49"/>
  <c r="L40" i="42"/>
  <c r="L20" i="42"/>
  <c r="L40" i="35"/>
  <c r="L20" i="35"/>
  <c r="L40" i="55"/>
  <c r="L20" i="55"/>
  <c r="L40" i="48"/>
  <c r="L20" i="48"/>
  <c r="L40" i="47"/>
  <c r="L20" i="47"/>
  <c r="L40" i="44"/>
  <c r="L20" i="44"/>
  <c r="L40" i="43"/>
  <c r="L20" i="43"/>
  <c r="L40" i="53"/>
  <c r="L20" i="53"/>
  <c r="L40" i="41"/>
  <c r="L57" i="46"/>
  <c r="L40" i="46"/>
  <c r="L12" i="45"/>
  <c r="L56" i="45" s="1"/>
  <c r="L40" i="45"/>
  <c r="L40" i="56"/>
  <c r="J26" i="39"/>
  <c r="K26" i="42"/>
  <c r="K51" i="42" s="1"/>
  <c r="K26" i="53"/>
  <c r="K26" i="56"/>
  <c r="K51" i="56" s="1"/>
  <c r="K26" i="35"/>
  <c r="K44" i="39"/>
  <c r="K26" i="49"/>
  <c r="K51" i="49" s="1"/>
  <c r="K24" i="39"/>
  <c r="K32" i="39"/>
  <c r="K26" i="45"/>
  <c r="K51" i="45" s="1"/>
  <c r="K26" i="43"/>
  <c r="K51" i="43" s="1"/>
  <c r="K46" i="39"/>
  <c r="K35" i="39"/>
  <c r="K45" i="39"/>
  <c r="K33" i="39"/>
  <c r="K26" i="55"/>
  <c r="K51" i="55" s="1"/>
  <c r="K26" i="54"/>
  <c r="K51" i="54" s="1"/>
  <c r="K26" i="38"/>
  <c r="K51" i="38" s="1"/>
  <c r="K39" i="39"/>
  <c r="K48" i="39"/>
  <c r="K26" i="47"/>
  <c r="K51" i="47" s="1"/>
  <c r="K26" i="50"/>
  <c r="K51" i="50" s="1"/>
  <c r="K26" i="44"/>
  <c r="K51" i="44" s="1"/>
  <c r="K28" i="39"/>
  <c r="K26" i="46"/>
  <c r="K51" i="46" s="1"/>
  <c r="K26" i="52"/>
  <c r="K51" i="52" s="1"/>
  <c r="K26" i="41"/>
  <c r="K51" i="41" s="1"/>
  <c r="K38" i="39"/>
  <c r="H30" i="27" s="1"/>
  <c r="H13" i="27" s="1"/>
  <c r="I13" i="27" s="1"/>
  <c r="O13" i="27" s="1"/>
  <c r="K29" i="39"/>
  <c r="K34" i="39"/>
  <c r="K47" i="39"/>
  <c r="K26" i="48"/>
  <c r="K51" i="48" s="1"/>
  <c r="K23" i="39"/>
  <c r="K26" i="40"/>
  <c r="K51" i="40" s="1"/>
  <c r="K25" i="39"/>
  <c r="K26" i="51"/>
  <c r="K51" i="51" s="1"/>
  <c r="K42" i="48"/>
  <c r="K42" i="46"/>
  <c r="K42" i="55"/>
  <c r="K42" i="53"/>
  <c r="K36" i="50"/>
  <c r="K42" i="50"/>
  <c r="K58" i="46"/>
  <c r="K58" i="45"/>
  <c r="K58" i="44"/>
  <c r="K42" i="41"/>
  <c r="K36" i="41"/>
  <c r="K36" i="47"/>
  <c r="K36" i="48"/>
  <c r="L9" i="39"/>
  <c r="K42" i="54"/>
  <c r="K36" i="40"/>
  <c r="L19" i="39"/>
  <c r="K58" i="53"/>
  <c r="K14" i="44"/>
  <c r="K36" i="51"/>
  <c r="K58" i="47"/>
  <c r="K42" i="47"/>
  <c r="K42" i="52"/>
  <c r="K49" i="35"/>
  <c r="K49" i="54"/>
  <c r="K49" i="42"/>
  <c r="K42" i="49"/>
  <c r="K36" i="56"/>
  <c r="K58" i="41"/>
  <c r="K58" i="42"/>
  <c r="K58" i="54"/>
  <c r="K49" i="49"/>
  <c r="K36" i="49"/>
  <c r="K42" i="38"/>
  <c r="K58" i="49"/>
  <c r="K58" i="52"/>
  <c r="K36" i="55"/>
  <c r="K36" i="46"/>
  <c r="K49" i="53"/>
  <c r="K14" i="35"/>
  <c r="K49" i="50"/>
  <c r="K14" i="54"/>
  <c r="K14" i="47"/>
  <c r="K49" i="38"/>
  <c r="K36" i="54"/>
  <c r="K49" i="55"/>
  <c r="K49" i="47"/>
  <c r="K36" i="42"/>
  <c r="K42" i="56"/>
  <c r="K42" i="43"/>
  <c r="K58" i="55"/>
  <c r="K49" i="46"/>
  <c r="K14" i="52"/>
  <c r="K49" i="56"/>
  <c r="K36" i="35"/>
  <c r="K36" i="43"/>
  <c r="K14" i="53"/>
  <c r="K58" i="56"/>
  <c r="K58" i="48"/>
  <c r="K42" i="40"/>
  <c r="K42" i="44"/>
  <c r="K42" i="45"/>
  <c r="K42" i="51"/>
  <c r="K36" i="53"/>
  <c r="K36" i="52"/>
  <c r="K49" i="52"/>
  <c r="K49" i="41"/>
  <c r="K36" i="45"/>
  <c r="K49" i="48"/>
  <c r="K49" i="40"/>
  <c r="K58" i="50"/>
  <c r="K36" i="44"/>
  <c r="K49" i="44"/>
  <c r="K36" i="38"/>
  <c r="K49" i="45"/>
  <c r="K58" i="38"/>
  <c r="K58" i="51"/>
  <c r="K49" i="51"/>
  <c r="K42" i="42"/>
  <c r="K58" i="40"/>
  <c r="K49" i="43"/>
  <c r="K14" i="51"/>
  <c r="K14" i="40"/>
  <c r="K14" i="50"/>
  <c r="K14" i="49"/>
  <c r="K14" i="42"/>
  <c r="K14" i="43"/>
  <c r="K14" i="55"/>
  <c r="K14" i="41"/>
  <c r="K14" i="48"/>
  <c r="K42" i="35"/>
  <c r="K14" i="46"/>
  <c r="K13" i="39"/>
  <c r="J36" i="39"/>
  <c r="K14" i="38"/>
  <c r="K14" i="56"/>
  <c r="L33" i="50"/>
  <c r="L32" i="50"/>
  <c r="L38" i="50"/>
  <c r="L22" i="50"/>
  <c r="L23" i="50"/>
  <c r="L28" i="50"/>
  <c r="L35" i="50"/>
  <c r="L13" i="50"/>
  <c r="L57" i="50"/>
  <c r="L34" i="50"/>
  <c r="L41" i="50"/>
  <c r="L12" i="50"/>
  <c r="L56" i="50" s="1"/>
  <c r="J56" i="39"/>
  <c r="J58" i="39" s="1"/>
  <c r="J14" i="39"/>
  <c r="M8" i="47" a="1"/>
  <c r="M8" i="47" s="1"/>
  <c r="M39" i="47" s="1"/>
  <c r="M9" i="47" a="1"/>
  <c r="M9" i="47" s="1"/>
  <c r="M18" i="47" a="1"/>
  <c r="M18" i="47" s="1"/>
  <c r="M18" i="49" a="1"/>
  <c r="M18" i="49" s="1"/>
  <c r="M8" i="49" a="1"/>
  <c r="M8" i="49" s="1"/>
  <c r="M39" i="49" s="1"/>
  <c r="M9" i="49" a="1"/>
  <c r="M9" i="49" s="1"/>
  <c r="M19" i="49" a="1"/>
  <c r="M19" i="49" s="1"/>
  <c r="M18" i="42" a="1"/>
  <c r="M18" i="42" s="1"/>
  <c r="M9" i="42" a="1"/>
  <c r="M9" i="42" s="1"/>
  <c r="M19" i="42" a="1"/>
  <c r="M19" i="42" s="1"/>
  <c r="M8" i="42" a="1"/>
  <c r="M8" i="42" s="1"/>
  <c r="L22" i="52"/>
  <c r="L35" i="52"/>
  <c r="L41" i="52"/>
  <c r="L23" i="52"/>
  <c r="L38" i="52"/>
  <c r="L24" i="52"/>
  <c r="L34" i="52"/>
  <c r="L13" i="52"/>
  <c r="L33" i="52"/>
  <c r="L57" i="52"/>
  <c r="L32" i="52"/>
  <c r="L28" i="52"/>
  <c r="L29" i="52"/>
  <c r="L12" i="52"/>
  <c r="L56" i="52" s="1"/>
  <c r="M18" i="35" a="1"/>
  <c r="M18" i="35" s="1"/>
  <c r="M19" i="35" a="1"/>
  <c r="M19" i="35" s="1"/>
  <c r="M8" i="35" a="1"/>
  <c r="M8" i="35" s="1"/>
  <c r="M9" i="35" a="1"/>
  <c r="M9" i="35" s="1"/>
  <c r="M8" i="46" a="1"/>
  <c r="M8" i="46" s="1"/>
  <c r="M39" i="46" s="1"/>
  <c r="M9" i="46" a="1"/>
  <c r="M9" i="46" s="1"/>
  <c r="M18" i="46" a="1"/>
  <c r="M18" i="46" s="1"/>
  <c r="M19" i="56" a="1"/>
  <c r="M19" i="56" s="1"/>
  <c r="M9" i="56" a="1"/>
  <c r="M9" i="56" s="1"/>
  <c r="M18" i="56" a="1"/>
  <c r="M18" i="56" s="1"/>
  <c r="M8" i="56" a="1"/>
  <c r="M8" i="56" s="1"/>
  <c r="M39" i="56" s="1"/>
  <c r="L12" i="46"/>
  <c r="L56" i="46" s="1"/>
  <c r="L41" i="46"/>
  <c r="L35" i="46"/>
  <c r="L38" i="46"/>
  <c r="L23" i="46"/>
  <c r="L28" i="46"/>
  <c r="L32" i="46"/>
  <c r="L22" i="46"/>
  <c r="L34" i="46"/>
  <c r="L33" i="46"/>
  <c r="L13" i="46"/>
  <c r="L24" i="55"/>
  <c r="L38" i="55"/>
  <c r="L41" i="55"/>
  <c r="L32" i="55"/>
  <c r="L23" i="55"/>
  <c r="L13" i="55"/>
  <c r="L57" i="55"/>
  <c r="L34" i="55"/>
  <c r="L12" i="55"/>
  <c r="L56" i="55" s="1"/>
  <c r="L29" i="55"/>
  <c r="L28" i="55"/>
  <c r="L35" i="55"/>
  <c r="L22" i="55"/>
  <c r="L33" i="55"/>
  <c r="L41" i="38"/>
  <c r="L32" i="38"/>
  <c r="L28" i="38"/>
  <c r="L35" i="38"/>
  <c r="L23" i="38"/>
  <c r="L29" i="38"/>
  <c r="L12" i="38"/>
  <c r="L56" i="38" s="1"/>
  <c r="L34" i="38"/>
  <c r="L57" i="38"/>
  <c r="L38" i="38"/>
  <c r="L24" i="38"/>
  <c r="L13" i="38"/>
  <c r="L33" i="38"/>
  <c r="L22" i="38"/>
  <c r="M8" i="53" a="1"/>
  <c r="M8" i="53" s="1"/>
  <c r="M39" i="53" s="1"/>
  <c r="M18" i="53" a="1"/>
  <c r="M18" i="53" s="1"/>
  <c r="M19" i="53" a="1"/>
  <c r="M19" i="53" s="1"/>
  <c r="M9" i="53" a="1"/>
  <c r="M9" i="53" s="1"/>
  <c r="M9" i="54" a="1"/>
  <c r="M9" i="54" s="1"/>
  <c r="M18" i="54" a="1"/>
  <c r="M18" i="54" s="1"/>
  <c r="M19" i="54" a="1"/>
  <c r="M19" i="54" s="1"/>
  <c r="M8" i="54" a="1"/>
  <c r="M8" i="54" s="1"/>
  <c r="M39" i="54" s="1"/>
  <c r="M18" i="44" a="1"/>
  <c r="M18" i="44" s="1"/>
  <c r="M8" i="44" a="1"/>
  <c r="M8" i="44" s="1"/>
  <c r="M39" i="44" s="1"/>
  <c r="M9" i="44" a="1"/>
  <c r="M9" i="44" s="1"/>
  <c r="M19" i="44" a="1"/>
  <c r="M19" i="44" s="1"/>
  <c r="N55" i="35"/>
  <c r="N7" i="40"/>
  <c r="N7" i="55"/>
  <c r="N55" i="40"/>
  <c r="N7" i="45"/>
  <c r="N7" i="47"/>
  <c r="N55" i="43"/>
  <c r="N55" i="47"/>
  <c r="N7" i="35"/>
  <c r="N55" i="46"/>
  <c r="N55" i="44"/>
  <c r="N7" i="41"/>
  <c r="N55" i="52"/>
  <c r="N55" i="54"/>
  <c r="N7" i="52"/>
  <c r="N7" i="48"/>
  <c r="N55" i="48"/>
  <c r="N7" i="49"/>
  <c r="N55" i="39"/>
  <c r="N55" i="41"/>
  <c r="N7" i="42"/>
  <c r="N7" i="46"/>
  <c r="AA52" i="30"/>
  <c r="N55" i="38"/>
  <c r="N55" i="45"/>
  <c r="N7" i="56"/>
  <c r="N55" i="49"/>
  <c r="N55" i="55"/>
  <c r="N55" i="53"/>
  <c r="N7" i="43"/>
  <c r="N7" i="50"/>
  <c r="N55" i="56"/>
  <c r="N55" i="50"/>
  <c r="N7" i="38"/>
  <c r="N7" i="39"/>
  <c r="N7" i="44"/>
  <c r="N55" i="42"/>
  <c r="N55" i="51"/>
  <c r="N7" i="54"/>
  <c r="N7" i="53"/>
  <c r="N7" i="51"/>
  <c r="L38" i="41"/>
  <c r="L35" i="41"/>
  <c r="L24" i="41"/>
  <c r="L23" i="41"/>
  <c r="L32" i="41"/>
  <c r="L12" i="41"/>
  <c r="L56" i="41" s="1"/>
  <c r="L57" i="41"/>
  <c r="L28" i="41"/>
  <c r="L33" i="41"/>
  <c r="L41" i="41"/>
  <c r="L13" i="41"/>
  <c r="L22" i="41"/>
  <c r="L29" i="41"/>
  <c r="L34" i="41"/>
  <c r="L35" i="49"/>
  <c r="L28" i="49"/>
  <c r="L32" i="49"/>
  <c r="L57" i="49"/>
  <c r="L24" i="49"/>
  <c r="L13" i="49"/>
  <c r="L41" i="49"/>
  <c r="L34" i="49"/>
  <c r="L33" i="49"/>
  <c r="L12" i="49"/>
  <c r="L56" i="49" s="1"/>
  <c r="L22" i="49"/>
  <c r="L29" i="49"/>
  <c r="L23" i="49"/>
  <c r="L38" i="49"/>
  <c r="M9" i="48" a="1"/>
  <c r="M9" i="48" s="1"/>
  <c r="M8" i="48" a="1"/>
  <c r="M8" i="48" s="1"/>
  <c r="M39" i="48" s="1"/>
  <c r="L29" i="51"/>
  <c r="L38" i="51"/>
  <c r="L13" i="51"/>
  <c r="L57" i="51"/>
  <c r="L24" i="51"/>
  <c r="L28" i="51"/>
  <c r="L22" i="51"/>
  <c r="L12" i="51"/>
  <c r="L56" i="51" s="1"/>
  <c r="L41" i="51"/>
  <c r="L33" i="51"/>
  <c r="L34" i="51"/>
  <c r="L32" i="51"/>
  <c r="L23" i="51"/>
  <c r="L35" i="51"/>
  <c r="O7" i="46"/>
  <c r="O55" i="55"/>
  <c r="O7" i="41"/>
  <c r="O7" i="52"/>
  <c r="O55" i="48"/>
  <c r="O55" i="35"/>
  <c r="O7" i="44"/>
  <c r="O55" i="52"/>
  <c r="O55" i="46"/>
  <c r="O55" i="51"/>
  <c r="O7" i="48"/>
  <c r="O55" i="40"/>
  <c r="O55" i="39"/>
  <c r="O55" i="50"/>
  <c r="O7" i="54"/>
  <c r="O55" i="53"/>
  <c r="O7" i="56"/>
  <c r="O7" i="43"/>
  <c r="O55" i="56"/>
  <c r="O7" i="53"/>
  <c r="O7" i="35"/>
  <c r="O7" i="47"/>
  <c r="O55" i="45"/>
  <c r="O7" i="55"/>
  <c r="O7" i="45"/>
  <c r="O7" i="50"/>
  <c r="O7" i="42"/>
  <c r="O55" i="43"/>
  <c r="O55" i="41"/>
  <c r="O7" i="39"/>
  <c r="O7" i="40"/>
  <c r="O55" i="44"/>
  <c r="O7" i="49"/>
  <c r="AA53" i="30"/>
  <c r="O7" i="38"/>
  <c r="O7" i="51"/>
  <c r="O55" i="38"/>
  <c r="AB42" i="30"/>
  <c r="O55" i="49"/>
  <c r="O55" i="54"/>
  <c r="O55" i="47"/>
  <c r="O55" i="42"/>
  <c r="L22" i="53"/>
  <c r="L12" i="53"/>
  <c r="L56" i="53" s="1"/>
  <c r="L24" i="53"/>
  <c r="L41" i="53"/>
  <c r="L28" i="53"/>
  <c r="L35" i="53"/>
  <c r="L32" i="53"/>
  <c r="L57" i="53"/>
  <c r="L29" i="53"/>
  <c r="L23" i="53"/>
  <c r="L13" i="53"/>
  <c r="L33" i="53"/>
  <c r="L34" i="53"/>
  <c r="L38" i="53"/>
  <c r="L33" i="54"/>
  <c r="L13" i="54"/>
  <c r="L35" i="54"/>
  <c r="L32" i="54"/>
  <c r="L38" i="54"/>
  <c r="L24" i="54"/>
  <c r="L29" i="54"/>
  <c r="L34" i="54"/>
  <c r="L22" i="54"/>
  <c r="L57" i="54"/>
  <c r="L41" i="54"/>
  <c r="L23" i="54"/>
  <c r="L28" i="54"/>
  <c r="L12" i="54"/>
  <c r="L56" i="54" s="1"/>
  <c r="J49" i="39"/>
  <c r="L34" i="48"/>
  <c r="L22" i="48"/>
  <c r="L13" i="48"/>
  <c r="L29" i="48"/>
  <c r="L12" i="48"/>
  <c r="L56" i="48" s="1"/>
  <c r="L32" i="48"/>
  <c r="L38" i="48"/>
  <c r="L28" i="48"/>
  <c r="L35" i="48"/>
  <c r="L23" i="48"/>
  <c r="L57" i="48"/>
  <c r="L41" i="48"/>
  <c r="L33" i="48"/>
  <c r="L22" i="43"/>
  <c r="L23" i="43"/>
  <c r="L33" i="43"/>
  <c r="L28" i="43"/>
  <c r="L13" i="43"/>
  <c r="L35" i="43"/>
  <c r="L29" i="43"/>
  <c r="L34" i="43"/>
  <c r="L38" i="43"/>
  <c r="L41" i="43"/>
  <c r="L12" i="43"/>
  <c r="L56" i="43" s="1"/>
  <c r="L32" i="43"/>
  <c r="L57" i="43"/>
  <c r="L24" i="43"/>
  <c r="M19" i="41" a="1"/>
  <c r="M19" i="41" s="1"/>
  <c r="M9" i="41" a="1"/>
  <c r="M9" i="41" s="1"/>
  <c r="M18" i="41" a="1"/>
  <c r="M18" i="41" s="1"/>
  <c r="M8" i="41" a="1"/>
  <c r="M8" i="41" s="1"/>
  <c r="M39" i="41" s="1"/>
  <c r="M8" i="51" a="1"/>
  <c r="M8" i="51" s="1"/>
  <c r="M39" i="51" s="1"/>
  <c r="M19" i="51" a="1"/>
  <c r="M19" i="51" s="1"/>
  <c r="M9" i="51" a="1"/>
  <c r="M9" i="51" s="1"/>
  <c r="K56" i="35"/>
  <c r="K58" i="35" s="1"/>
  <c r="K12" i="39"/>
  <c r="K56" i="39" s="1"/>
  <c r="K22" i="39"/>
  <c r="L28" i="44"/>
  <c r="L24" i="44"/>
  <c r="L57" i="44"/>
  <c r="L38" i="44"/>
  <c r="L32" i="44"/>
  <c r="L33" i="44"/>
  <c r="L35" i="44"/>
  <c r="L12" i="44"/>
  <c r="L56" i="44" s="1"/>
  <c r="L41" i="44"/>
  <c r="L13" i="44"/>
  <c r="L23" i="44"/>
  <c r="L29" i="44"/>
  <c r="L22" i="44"/>
  <c r="L34" i="44"/>
  <c r="L22" i="42"/>
  <c r="L35" i="42"/>
  <c r="L33" i="42"/>
  <c r="L13" i="42"/>
  <c r="L38" i="42"/>
  <c r="L23" i="42"/>
  <c r="L57" i="42"/>
  <c r="L12" i="42"/>
  <c r="L56" i="42" s="1"/>
  <c r="L28" i="42"/>
  <c r="L29" i="42"/>
  <c r="L41" i="42"/>
  <c r="L32" i="42"/>
  <c r="L34" i="42"/>
  <c r="L28" i="47"/>
  <c r="L33" i="47"/>
  <c r="L32" i="47"/>
  <c r="L23" i="47"/>
  <c r="L35" i="47"/>
  <c r="L41" i="47"/>
  <c r="L13" i="47"/>
  <c r="L22" i="47"/>
  <c r="L38" i="47"/>
  <c r="L34" i="47"/>
  <c r="L12" i="47"/>
  <c r="L56" i="47" s="1"/>
  <c r="L57" i="47"/>
  <c r="M19" i="52" a="1"/>
  <c r="M19" i="52" s="1"/>
  <c r="M9" i="52" a="1"/>
  <c r="M9" i="52" s="1"/>
  <c r="M8" i="52" a="1"/>
  <c r="M8" i="52" s="1"/>
  <c r="M39" i="52" s="1"/>
  <c r="M18" i="52" a="1"/>
  <c r="M18" i="52" s="1"/>
  <c r="M8" i="38" a="1"/>
  <c r="M8" i="38" s="1"/>
  <c r="M39" i="38" s="1"/>
  <c r="M18" i="38" a="1"/>
  <c r="M18" i="38" s="1"/>
  <c r="M9" i="38" a="1"/>
  <c r="M9" i="38" s="1"/>
  <c r="M19" i="38" a="1"/>
  <c r="M19" i="38" s="1"/>
  <c r="M8" i="40" a="1"/>
  <c r="M8" i="40" s="1"/>
  <c r="M39" i="40" s="1"/>
  <c r="M18" i="40" a="1"/>
  <c r="M18" i="40" s="1"/>
  <c r="M19" i="40" a="1"/>
  <c r="M19" i="40" s="1"/>
  <c r="M9" i="40" a="1"/>
  <c r="M9" i="40" s="1"/>
  <c r="M8" i="43" a="1"/>
  <c r="M8" i="43" s="1"/>
  <c r="M39" i="43" s="1"/>
  <c r="M9" i="43" a="1"/>
  <c r="M9" i="43" s="1"/>
  <c r="M18" i="43" a="1"/>
  <c r="M18" i="43" s="1"/>
  <c r="M19" i="43" a="1"/>
  <c r="M19" i="43" s="1"/>
  <c r="L29" i="45"/>
  <c r="L32" i="45"/>
  <c r="L35" i="45"/>
  <c r="L34" i="45"/>
  <c r="L38" i="45"/>
  <c r="L24" i="45"/>
  <c r="L13" i="45"/>
  <c r="L33" i="45"/>
  <c r="L23" i="45"/>
  <c r="L22" i="45"/>
  <c r="L28" i="45"/>
  <c r="L41" i="45"/>
  <c r="L12" i="35"/>
  <c r="L24" i="35"/>
  <c r="L41" i="35"/>
  <c r="L22" i="35"/>
  <c r="L8" i="39"/>
  <c r="L13" i="35"/>
  <c r="L38" i="35"/>
  <c r="L28" i="35"/>
  <c r="L23" i="35"/>
  <c r="L29" i="35"/>
  <c r="L34" i="35"/>
  <c r="L33" i="35"/>
  <c r="L32" i="35"/>
  <c r="L57" i="35"/>
  <c r="L35" i="35"/>
  <c r="L12" i="56"/>
  <c r="L56" i="56" s="1"/>
  <c r="L38" i="56"/>
  <c r="L29" i="56"/>
  <c r="L22" i="56"/>
  <c r="L41" i="56"/>
  <c r="L13" i="56"/>
  <c r="L34" i="56"/>
  <c r="L28" i="56"/>
  <c r="L23" i="56"/>
  <c r="L57" i="56"/>
  <c r="L32" i="56"/>
  <c r="L35" i="56"/>
  <c r="L33" i="56"/>
  <c r="L24" i="56"/>
  <c r="M9" i="45" a="1"/>
  <c r="M9" i="45" s="1"/>
  <c r="M8" i="45" a="1"/>
  <c r="M8" i="45" s="1"/>
  <c r="M39" i="45" s="1"/>
  <c r="M18" i="45" a="1"/>
  <c r="M18" i="45" s="1"/>
  <c r="M19" i="45" a="1"/>
  <c r="M19" i="45" s="1"/>
  <c r="M8" i="50" a="1"/>
  <c r="M8" i="50" s="1"/>
  <c r="M9" i="50" a="1"/>
  <c r="M9" i="50" s="1"/>
  <c r="M18" i="50" a="1"/>
  <c r="M18" i="50" s="1"/>
  <c r="M19" i="50" a="1"/>
  <c r="M19" i="50" s="1"/>
  <c r="M19" i="55" a="1"/>
  <c r="M19" i="55" s="1"/>
  <c r="M8" i="55" a="1"/>
  <c r="M8" i="55" s="1"/>
  <c r="M39" i="55" s="1"/>
  <c r="M9" i="55" a="1"/>
  <c r="M9" i="55" s="1"/>
  <c r="M18" i="55" a="1"/>
  <c r="M18" i="55" s="1"/>
  <c r="L38" i="40"/>
  <c r="L35" i="40"/>
  <c r="L34" i="40"/>
  <c r="L13" i="40"/>
  <c r="L28" i="40"/>
  <c r="L32" i="40"/>
  <c r="L33" i="40"/>
  <c r="L23" i="40"/>
  <c r="L12" i="40"/>
  <c r="L56" i="40" s="1"/>
  <c r="L29" i="40"/>
  <c r="L57" i="40"/>
  <c r="L41" i="40"/>
  <c r="L22" i="40"/>
  <c r="L24" i="40"/>
  <c r="D35" i="63" a="1"/>
  <c r="C167" i="63" a="1"/>
  <c r="E238" i="63" a="1"/>
  <c r="E227" i="63" a="1"/>
  <c r="F178" i="63" a="1"/>
  <c r="G214" i="63" a="1"/>
  <c r="D11" i="63" a="1"/>
  <c r="D83" i="63" a="1"/>
  <c r="E23" i="63" a="1"/>
  <c r="D71" i="63" a="1"/>
  <c r="C179" i="63" a="1"/>
  <c r="G142" i="63" a="1"/>
  <c r="F106" i="63" a="1"/>
  <c r="F142" i="63" a="1"/>
  <c r="F226" i="63" a="1"/>
  <c r="D227" i="63" a="1"/>
  <c r="C155" i="63" a="1"/>
  <c r="D47" i="63" a="1"/>
  <c r="E71" i="63" a="1"/>
  <c r="D167" i="63" a="1"/>
  <c r="E95" i="63" a="1"/>
  <c r="G226" i="63" a="1"/>
  <c r="G34" i="63" a="1"/>
  <c r="C131" i="63" a="1"/>
  <c r="C119" i="63" a="1"/>
  <c r="C47" i="63" a="1"/>
  <c r="G106" i="63" a="1"/>
  <c r="G154" i="63" a="1"/>
  <c r="E11" i="63" a="1"/>
  <c r="C23" i="63" a="1"/>
  <c r="F118" i="63" a="1"/>
  <c r="D119" i="63" a="1"/>
  <c r="D237" i="63" a="1"/>
  <c r="F166" i="63" a="1"/>
  <c r="G202" i="63" a="1"/>
  <c r="E179" i="63" a="1"/>
  <c r="G166" i="63" a="1"/>
  <c r="C227" i="63" a="1"/>
  <c r="C203" i="63" a="1"/>
  <c r="E107" i="63" a="1"/>
  <c r="C35" i="63" a="1"/>
  <c r="D179" i="63" a="1"/>
  <c r="C59" i="63" a="1"/>
  <c r="C238" i="63" a="1"/>
  <c r="D142" i="63" a="1"/>
  <c r="F70" i="63" a="1"/>
  <c r="E167" i="63" a="1"/>
  <c r="F58" i="63" a="1"/>
  <c r="E143" i="63" a="1"/>
  <c r="E35" i="63" a="1"/>
  <c r="F214" i="63" a="1"/>
  <c r="G58" i="63" a="1"/>
  <c r="D95" i="63" a="1"/>
  <c r="G94" i="63" a="1"/>
  <c r="G10" i="63" a="1"/>
  <c r="C83" i="63" a="1"/>
  <c r="G22" i="63" a="1"/>
  <c r="D215" i="63" a="1"/>
  <c r="D191" i="63" a="1"/>
  <c r="F82" i="63" a="1"/>
  <c r="E155" i="63" a="1"/>
  <c r="F130" i="63" a="1"/>
  <c r="C107" i="63" a="1"/>
  <c r="D131" i="63" a="1"/>
  <c r="E59" i="63" a="1"/>
  <c r="E215" i="63" a="1"/>
  <c r="C215" i="63" a="1"/>
  <c r="D155" i="63" a="1"/>
  <c r="C95" i="63" a="1"/>
  <c r="F154" i="63" a="1"/>
  <c r="G70" i="63" a="1"/>
  <c r="C11" i="63" a="1"/>
  <c r="G82" i="63" a="1"/>
  <c r="C71" i="63" a="1"/>
  <c r="F22" i="63" a="1"/>
  <c r="D23" i="63" a="1"/>
  <c r="G46" i="63" a="1"/>
  <c r="F46" i="63" a="1"/>
  <c r="E119" i="63" a="1"/>
  <c r="G178" i="63" a="1"/>
  <c r="D107" i="63" a="1"/>
  <c r="F237" i="63" a="1"/>
  <c r="E83" i="63" a="1"/>
  <c r="G130" i="63" a="1"/>
  <c r="E131" i="63" a="1"/>
  <c r="F94" i="63" a="1"/>
  <c r="E203" i="63" a="1"/>
  <c r="F34" i="63" a="1"/>
  <c r="C143" i="63" a="1"/>
  <c r="D203" i="63" a="1"/>
  <c r="D59" i="63" a="1"/>
  <c r="G190" i="63" a="1"/>
  <c r="G118" i="63" a="1"/>
  <c r="F190" i="63" a="1"/>
  <c r="F202" i="63" a="1"/>
  <c r="E47" i="63" a="1"/>
  <c r="F10" i="63" a="1"/>
  <c r="C191" i="63" a="1"/>
  <c r="E191" i="63" a="1"/>
  <c r="G237" i="63" a="1"/>
  <c r="K51" i="53" l="1"/>
  <c r="M39" i="35"/>
  <c r="M25" i="35"/>
  <c r="K57" i="39"/>
  <c r="M39" i="50"/>
  <c r="M29" i="50"/>
  <c r="M24" i="50"/>
  <c r="M24" i="42"/>
  <c r="M39" i="42"/>
  <c r="F202" i="63"/>
  <c r="F214" i="63"/>
  <c r="F82" i="63"/>
  <c r="F106" i="63"/>
  <c r="F46" i="63"/>
  <c r="F118" i="63"/>
  <c r="F190" i="63"/>
  <c r="F94" i="63"/>
  <c r="F34" i="63"/>
  <c r="F70" i="63"/>
  <c r="F58" i="63"/>
  <c r="F178" i="63"/>
  <c r="F166" i="63"/>
  <c r="F130" i="63"/>
  <c r="F10" i="63"/>
  <c r="F22" i="63"/>
  <c r="F142" i="63"/>
  <c r="F226" i="63"/>
  <c r="F154" i="63"/>
  <c r="F237" i="63"/>
  <c r="D83" i="63"/>
  <c r="C23" i="63"/>
  <c r="E167" i="63"/>
  <c r="E35" i="63"/>
  <c r="G130" i="63"/>
  <c r="C71" i="63"/>
  <c r="D179" i="63"/>
  <c r="D215" i="63"/>
  <c r="E11" i="63"/>
  <c r="C131" i="63"/>
  <c r="E119" i="63"/>
  <c r="G94" i="63"/>
  <c r="D203" i="63"/>
  <c r="C83" i="63"/>
  <c r="G10" i="63"/>
  <c r="E59" i="63"/>
  <c r="E227" i="63"/>
  <c r="G58" i="63"/>
  <c r="G190" i="63"/>
  <c r="D71" i="63"/>
  <c r="C179" i="63"/>
  <c r="G202" i="63"/>
  <c r="D11" i="63"/>
  <c r="D131" i="63"/>
  <c r="E107" i="63"/>
  <c r="C203" i="63"/>
  <c r="E203" i="63"/>
  <c r="G82" i="63"/>
  <c r="D59" i="63"/>
  <c r="G34" i="63"/>
  <c r="C191" i="63"/>
  <c r="E215" i="63"/>
  <c r="C47" i="63"/>
  <c r="D107" i="63"/>
  <c r="G118" i="63"/>
  <c r="D237" i="63"/>
  <c r="D227" i="63"/>
  <c r="E143" i="63"/>
  <c r="C119" i="63"/>
  <c r="E191" i="63"/>
  <c r="D95" i="63"/>
  <c r="G166" i="63"/>
  <c r="E47" i="63"/>
  <c r="G106" i="63"/>
  <c r="G22" i="63"/>
  <c r="D155" i="63"/>
  <c r="C59" i="63"/>
  <c r="C227" i="63"/>
  <c r="C143" i="63"/>
  <c r="D191" i="63"/>
  <c r="C107" i="63"/>
  <c r="E155" i="63"/>
  <c r="D167" i="63"/>
  <c r="G70" i="63"/>
  <c r="C35" i="63"/>
  <c r="G142" i="63"/>
  <c r="G226" i="63"/>
  <c r="C95" i="63"/>
  <c r="D47" i="63"/>
  <c r="D142" i="63"/>
  <c r="G214" i="63"/>
  <c r="C155" i="63"/>
  <c r="E23" i="63"/>
  <c r="C167" i="63"/>
  <c r="D35" i="63"/>
  <c r="G178" i="63"/>
  <c r="E71" i="63"/>
  <c r="E131" i="63"/>
  <c r="E83" i="63"/>
  <c r="D23" i="63"/>
  <c r="G46" i="63"/>
  <c r="E179" i="63"/>
  <c r="C215" i="63"/>
  <c r="C11" i="63"/>
  <c r="G154" i="63"/>
  <c r="D119" i="63"/>
  <c r="E95" i="63"/>
  <c r="N19" i="46" a="1"/>
  <c r="N19" i="46" s="1"/>
  <c r="N19" i="47" a="1"/>
  <c r="N19" i="47" s="1"/>
  <c r="O19" i="46" a="1"/>
  <c r="O19" i="46" s="1"/>
  <c r="M24" i="47"/>
  <c r="O19" i="47" a="1"/>
  <c r="O19" i="47" s="1"/>
  <c r="M24" i="46"/>
  <c r="L18" i="39"/>
  <c r="G237" i="63"/>
  <c r="C238" i="63"/>
  <c r="E238" i="63"/>
  <c r="M46" i="43"/>
  <c r="M48" i="43"/>
  <c r="M44" i="43"/>
  <c r="M45" i="43"/>
  <c r="M45" i="38"/>
  <c r="M44" i="38"/>
  <c r="M45" i="51"/>
  <c r="M48" i="51"/>
  <c r="M44" i="51"/>
  <c r="M46" i="51"/>
  <c r="M29" i="47"/>
  <c r="M45" i="47"/>
  <c r="M44" i="47"/>
  <c r="M48" i="47"/>
  <c r="M46" i="47"/>
  <c r="M48" i="41"/>
  <c r="M44" i="41"/>
  <c r="M46" i="41"/>
  <c r="M45" i="41"/>
  <c r="M29" i="46"/>
  <c r="M45" i="46"/>
  <c r="M46" i="46"/>
  <c r="M44" i="46"/>
  <c r="M48" i="46"/>
  <c r="M46" i="50"/>
  <c r="M48" i="50"/>
  <c r="M44" i="50"/>
  <c r="M45" i="50"/>
  <c r="M48" i="52"/>
  <c r="M46" i="52"/>
  <c r="M44" i="52"/>
  <c r="M45" i="52"/>
  <c r="M48" i="56"/>
  <c r="M45" i="56"/>
  <c r="M44" i="56"/>
  <c r="M46" i="35"/>
  <c r="M45" i="35"/>
  <c r="M48" i="35"/>
  <c r="M44" i="35"/>
  <c r="M46" i="40"/>
  <c r="M45" i="40"/>
  <c r="M44" i="40"/>
  <c r="M48" i="40"/>
  <c r="M48" i="44"/>
  <c r="M46" i="44"/>
  <c r="M44" i="44"/>
  <c r="M45" i="44"/>
  <c r="M48" i="49"/>
  <c r="M46" i="49"/>
  <c r="M44" i="49"/>
  <c r="M45" i="49"/>
  <c r="M48" i="45"/>
  <c r="M46" i="45"/>
  <c r="M44" i="45"/>
  <c r="M57" i="45"/>
  <c r="M45" i="45"/>
  <c r="M48" i="53"/>
  <c r="M46" i="53"/>
  <c r="M45" i="53"/>
  <c r="M44" i="53"/>
  <c r="M45" i="55"/>
  <c r="M44" i="55"/>
  <c r="M46" i="55"/>
  <c r="M48" i="55"/>
  <c r="M48" i="54"/>
  <c r="M44" i="54"/>
  <c r="M46" i="54"/>
  <c r="M45" i="54"/>
  <c r="M45" i="42"/>
  <c r="M48" i="42"/>
  <c r="M46" i="42"/>
  <c r="M44" i="42"/>
  <c r="M46" i="48"/>
  <c r="M45" i="48"/>
  <c r="M48" i="48"/>
  <c r="M44" i="48"/>
  <c r="L58" i="53"/>
  <c r="M30" i="51"/>
  <c r="M20" i="51"/>
  <c r="M47" i="45"/>
  <c r="M47" i="52"/>
  <c r="M47" i="44"/>
  <c r="M47" i="40"/>
  <c r="M47" i="53"/>
  <c r="M47" i="49"/>
  <c r="M47" i="50"/>
  <c r="M47" i="55"/>
  <c r="M47" i="54"/>
  <c r="M47" i="43"/>
  <c r="M47" i="51"/>
  <c r="M24" i="48"/>
  <c r="M47" i="48"/>
  <c r="M47" i="46"/>
  <c r="M47" i="42"/>
  <c r="M47" i="41"/>
  <c r="M46" i="56"/>
  <c r="M47" i="56"/>
  <c r="M47" i="35"/>
  <c r="M48" i="38"/>
  <c r="M46" i="38"/>
  <c r="M47" i="38"/>
  <c r="M47" i="47"/>
  <c r="L14" i="45"/>
  <c r="Q12" i="27"/>
  <c r="L58" i="41"/>
  <c r="L49" i="48"/>
  <c r="P13" i="27"/>
  <c r="L26" i="52"/>
  <c r="L41" i="39"/>
  <c r="L58" i="45"/>
  <c r="L30" i="39"/>
  <c r="L31" i="39"/>
  <c r="L20" i="39"/>
  <c r="L40" i="39"/>
  <c r="K42" i="39"/>
  <c r="N19" i="48" a="1"/>
  <c r="N19" i="48" s="1"/>
  <c r="N18" i="48" a="1"/>
  <c r="N18" i="48" s="1"/>
  <c r="O19" i="48" a="1"/>
  <c r="O19" i="48" s="1"/>
  <c r="O18" i="48" a="1"/>
  <c r="O18" i="48" s="1"/>
  <c r="M31" i="48"/>
  <c r="M20" i="55"/>
  <c r="M31" i="55"/>
  <c r="M30" i="55"/>
  <c r="M31" i="50"/>
  <c r="M30" i="50"/>
  <c r="M20" i="41"/>
  <c r="M31" i="41"/>
  <c r="M30" i="41"/>
  <c r="M20" i="49"/>
  <c r="M31" i="49"/>
  <c r="M30" i="49"/>
  <c r="M20" i="38"/>
  <c r="M30" i="38"/>
  <c r="M31" i="38"/>
  <c r="M30" i="42"/>
  <c r="M31" i="42"/>
  <c r="M20" i="44"/>
  <c r="M31" i="44"/>
  <c r="M30" i="44"/>
  <c r="M30" i="52"/>
  <c r="M31" i="52"/>
  <c r="M20" i="48"/>
  <c r="M30" i="48"/>
  <c r="M20" i="53"/>
  <c r="M30" i="53"/>
  <c r="M31" i="53"/>
  <c r="M20" i="43"/>
  <c r="M31" i="43"/>
  <c r="M30" i="43"/>
  <c r="M20" i="40"/>
  <c r="M30" i="40"/>
  <c r="M31" i="40"/>
  <c r="M30" i="54"/>
  <c r="M31" i="54"/>
  <c r="M31" i="46"/>
  <c r="M30" i="46"/>
  <c r="M20" i="47"/>
  <c r="M30" i="47"/>
  <c r="M31" i="47"/>
  <c r="M20" i="56"/>
  <c r="M30" i="56"/>
  <c r="M31" i="56"/>
  <c r="M30" i="45"/>
  <c r="M31" i="45"/>
  <c r="M20" i="35"/>
  <c r="M31" i="35"/>
  <c r="M30" i="35"/>
  <c r="M40" i="51"/>
  <c r="M31" i="51"/>
  <c r="M40" i="50"/>
  <c r="M20" i="50"/>
  <c r="M40" i="45"/>
  <c r="M20" i="45"/>
  <c r="M40" i="42"/>
  <c r="M20" i="42"/>
  <c r="M40" i="52"/>
  <c r="M20" i="52"/>
  <c r="M40" i="54"/>
  <c r="M20" i="54"/>
  <c r="M40" i="46"/>
  <c r="M20" i="46"/>
  <c r="M40" i="55"/>
  <c r="M40" i="44"/>
  <c r="M40" i="40"/>
  <c r="M40" i="48"/>
  <c r="M40" i="53"/>
  <c r="M40" i="47"/>
  <c r="M40" i="56"/>
  <c r="M40" i="41"/>
  <c r="M40" i="35"/>
  <c r="M40" i="43"/>
  <c r="M40" i="49"/>
  <c r="M40" i="38"/>
  <c r="M12" i="45"/>
  <c r="M56" i="45" s="1"/>
  <c r="M57" i="46"/>
  <c r="L58" i="40"/>
  <c r="L58" i="52"/>
  <c r="L57" i="39"/>
  <c r="L36" i="53"/>
  <c r="L26" i="56"/>
  <c r="L58" i="38"/>
  <c r="L26" i="47"/>
  <c r="L26" i="42"/>
  <c r="L58" i="55"/>
  <c r="L58" i="56"/>
  <c r="K26" i="39"/>
  <c r="L49" i="45"/>
  <c r="L26" i="35"/>
  <c r="L48" i="39"/>
  <c r="L26" i="43"/>
  <c r="L33" i="39"/>
  <c r="L26" i="48"/>
  <c r="L26" i="54"/>
  <c r="L35" i="39"/>
  <c r="L47" i="39"/>
  <c r="L26" i="55"/>
  <c r="L26" i="44"/>
  <c r="L46" i="39"/>
  <c r="L38" i="39"/>
  <c r="H31" i="27" s="1"/>
  <c r="H14" i="27" s="1"/>
  <c r="I14" i="27" s="1"/>
  <c r="L26" i="49"/>
  <c r="L26" i="38"/>
  <c r="L26" i="45"/>
  <c r="L23" i="39"/>
  <c r="L29" i="39"/>
  <c r="L26" i="41"/>
  <c r="L26" i="46"/>
  <c r="M9" i="39"/>
  <c r="L32" i="39"/>
  <c r="L39" i="39"/>
  <c r="L25" i="39"/>
  <c r="L26" i="40"/>
  <c r="L45" i="39"/>
  <c r="L28" i="39"/>
  <c r="L44" i="39"/>
  <c r="M19" i="39"/>
  <c r="L26" i="53"/>
  <c r="L34" i="39"/>
  <c r="L24" i="39"/>
  <c r="L26" i="50"/>
  <c r="L26" i="51"/>
  <c r="L14" i="42"/>
  <c r="L36" i="49"/>
  <c r="L58" i="47"/>
  <c r="L58" i="44"/>
  <c r="L58" i="51"/>
  <c r="L49" i="41"/>
  <c r="L36" i="55"/>
  <c r="L58" i="48"/>
  <c r="L42" i="49"/>
  <c r="L42" i="40"/>
  <c r="L14" i="40"/>
  <c r="L42" i="42"/>
  <c r="L58" i="54"/>
  <c r="L58" i="42"/>
  <c r="L42" i="43"/>
  <c r="L42" i="55"/>
  <c r="L49" i="52"/>
  <c r="L49" i="50"/>
  <c r="L14" i="44"/>
  <c r="L49" i="42"/>
  <c r="L42" i="54"/>
  <c r="L14" i="41"/>
  <c r="L42" i="38"/>
  <c r="L49" i="38"/>
  <c r="L36" i="38"/>
  <c r="L49" i="56"/>
  <c r="L42" i="56"/>
  <c r="L36" i="56"/>
  <c r="L14" i="55"/>
  <c r="L49" i="55"/>
  <c r="L49" i="54"/>
  <c r="L36" i="54"/>
  <c r="L49" i="53"/>
  <c r="L42" i="53"/>
  <c r="L36" i="52"/>
  <c r="L42" i="52"/>
  <c r="L58" i="50"/>
  <c r="L42" i="50"/>
  <c r="L36" i="50"/>
  <c r="L42" i="51"/>
  <c r="L36" i="51"/>
  <c r="L49" i="51"/>
  <c r="L58" i="49"/>
  <c r="L49" i="49"/>
  <c r="L14" i="48"/>
  <c r="L42" i="48"/>
  <c r="L36" i="48"/>
  <c r="L42" i="47"/>
  <c r="L36" i="47"/>
  <c r="L49" i="47"/>
  <c r="L42" i="46"/>
  <c r="L49" i="46"/>
  <c r="L36" i="46"/>
  <c r="L36" i="45"/>
  <c r="L42" i="45"/>
  <c r="L42" i="44"/>
  <c r="L49" i="44"/>
  <c r="L36" i="44"/>
  <c r="L58" i="43"/>
  <c r="L49" i="43"/>
  <c r="L36" i="43"/>
  <c r="L36" i="42"/>
  <c r="L36" i="41"/>
  <c r="L42" i="41"/>
  <c r="L49" i="40"/>
  <c r="L36" i="40"/>
  <c r="L14" i="35"/>
  <c r="L58" i="46"/>
  <c r="L14" i="56"/>
  <c r="L14" i="54"/>
  <c r="L14" i="53"/>
  <c r="L14" i="51"/>
  <c r="K36" i="39"/>
  <c r="L49" i="35"/>
  <c r="L14" i="52"/>
  <c r="L36" i="35"/>
  <c r="L14" i="49"/>
  <c r="L13" i="39"/>
  <c r="L14" i="47"/>
  <c r="L14" i="43"/>
  <c r="L14" i="38"/>
  <c r="L14" i="50"/>
  <c r="L42" i="35"/>
  <c r="L14" i="46"/>
  <c r="K14" i="39"/>
  <c r="K58" i="39"/>
  <c r="K49" i="39"/>
  <c r="O18" i="35" a="1"/>
  <c r="O18" i="35" s="1"/>
  <c r="O19" i="35" a="1"/>
  <c r="O19" i="35" s="1"/>
  <c r="O9" i="35" a="1"/>
  <c r="O9" i="35" s="1"/>
  <c r="O8" i="35" a="1"/>
  <c r="O8" i="35" s="1"/>
  <c r="N19" i="43" a="1"/>
  <c r="N19" i="43" s="1"/>
  <c r="N18" i="43" a="1"/>
  <c r="N18" i="43" s="1"/>
  <c r="N8" i="43" a="1"/>
  <c r="N8" i="43" s="1"/>
  <c r="N39" i="43" s="1"/>
  <c r="N9" i="43" a="1"/>
  <c r="N9" i="43" s="1"/>
  <c r="N18" i="46" a="1"/>
  <c r="N18" i="46" s="1"/>
  <c r="N8" i="46" a="1"/>
  <c r="N8" i="46" s="1"/>
  <c r="N39" i="46" s="1"/>
  <c r="N9" i="46" a="1"/>
  <c r="N9" i="46" s="1"/>
  <c r="N8" i="47" a="1"/>
  <c r="N8" i="47" s="1"/>
  <c r="N39" i="47" s="1"/>
  <c r="N18" i="47" a="1"/>
  <c r="N18" i="47" s="1"/>
  <c r="N9" i="47" a="1"/>
  <c r="N9" i="47" s="1"/>
  <c r="M35" i="46"/>
  <c r="M13" i="46"/>
  <c r="M33" i="46"/>
  <c r="M41" i="46"/>
  <c r="M28" i="46"/>
  <c r="M22" i="46"/>
  <c r="M34" i="46"/>
  <c r="M23" i="46"/>
  <c r="M32" i="46"/>
  <c r="M12" i="46"/>
  <c r="M56" i="46" s="1"/>
  <c r="M58" i="46" s="1"/>
  <c r="M38" i="46"/>
  <c r="M13" i="44"/>
  <c r="M28" i="44"/>
  <c r="M41" i="44"/>
  <c r="M57" i="44"/>
  <c r="M29" i="44"/>
  <c r="M22" i="44"/>
  <c r="M32" i="44"/>
  <c r="M24" i="44"/>
  <c r="M38" i="44"/>
  <c r="M12" i="44"/>
  <c r="M56" i="44" s="1"/>
  <c r="M35" i="44"/>
  <c r="M33" i="44"/>
  <c r="M23" i="44"/>
  <c r="M34" i="44"/>
  <c r="M35" i="43"/>
  <c r="M29" i="43"/>
  <c r="M57" i="43"/>
  <c r="M24" i="43"/>
  <c r="M33" i="43"/>
  <c r="M38" i="43"/>
  <c r="M28" i="43"/>
  <c r="M12" i="43"/>
  <c r="M56" i="43" s="1"/>
  <c r="M22" i="43"/>
  <c r="M23" i="43"/>
  <c r="M34" i="43"/>
  <c r="M32" i="43"/>
  <c r="M13" i="43"/>
  <c r="M41" i="43"/>
  <c r="O8" i="51" a="1"/>
  <c r="O8" i="51" s="1"/>
  <c r="O39" i="51" s="1"/>
  <c r="O19" i="51" a="1"/>
  <c r="O19" i="51" s="1"/>
  <c r="O9" i="51" a="1"/>
  <c r="O9" i="51" s="1"/>
  <c r="O18" i="53" a="1"/>
  <c r="O18" i="53" s="1"/>
  <c r="O9" i="53" a="1"/>
  <c r="O9" i="53" s="1"/>
  <c r="O8" i="53" a="1"/>
  <c r="O8" i="53" s="1"/>
  <c r="O39" i="53" s="1"/>
  <c r="O19" i="53" a="1"/>
  <c r="O19" i="53" s="1"/>
  <c r="O19" i="52" a="1"/>
  <c r="O19" i="52" s="1"/>
  <c r="O18" i="52" a="1"/>
  <c r="O18" i="52" s="1"/>
  <c r="O9" i="52" a="1"/>
  <c r="O9" i="52" s="1"/>
  <c r="O8" i="52" a="1"/>
  <c r="O8" i="52" s="1"/>
  <c r="O39" i="52" s="1"/>
  <c r="M32" i="48"/>
  <c r="M41" i="48"/>
  <c r="M13" i="48"/>
  <c r="M29" i="48"/>
  <c r="M35" i="48"/>
  <c r="M12" i="48"/>
  <c r="M56" i="48" s="1"/>
  <c r="M34" i="48"/>
  <c r="M38" i="48"/>
  <c r="M33" i="48"/>
  <c r="M28" i="48"/>
  <c r="M57" i="48"/>
  <c r="M22" i="48"/>
  <c r="M23" i="48"/>
  <c r="N18" i="42" a="1"/>
  <c r="N18" i="42" s="1"/>
  <c r="N19" i="42" a="1"/>
  <c r="N19" i="42" s="1"/>
  <c r="N9" i="42" a="1"/>
  <c r="N9" i="42" s="1"/>
  <c r="N8" i="42" a="1"/>
  <c r="N8" i="42" s="1"/>
  <c r="N19" i="45" a="1"/>
  <c r="N19" i="45" s="1"/>
  <c r="N9" i="45" a="1"/>
  <c r="N9" i="45" s="1"/>
  <c r="N8" i="45" a="1"/>
  <c r="N8" i="45" s="1"/>
  <c r="N39" i="45" s="1"/>
  <c r="N18" i="45" a="1"/>
  <c r="N18" i="45" s="1"/>
  <c r="M33" i="53"/>
  <c r="M57" i="53"/>
  <c r="M35" i="53"/>
  <c r="M28" i="53"/>
  <c r="M23" i="53"/>
  <c r="M41" i="53"/>
  <c r="M38" i="53"/>
  <c r="M32" i="53"/>
  <c r="M13" i="53"/>
  <c r="M12" i="53"/>
  <c r="M56" i="53" s="1"/>
  <c r="M22" i="53"/>
  <c r="M29" i="53"/>
  <c r="M34" i="53"/>
  <c r="M24" i="53"/>
  <c r="M38" i="56"/>
  <c r="M22" i="56"/>
  <c r="M35" i="56"/>
  <c r="M34" i="56"/>
  <c r="M23" i="56"/>
  <c r="M29" i="56"/>
  <c r="M12" i="56"/>
  <c r="M56" i="56" s="1"/>
  <c r="M24" i="56"/>
  <c r="M32" i="56"/>
  <c r="M13" i="56"/>
  <c r="M33" i="56"/>
  <c r="M41" i="56"/>
  <c r="M57" i="56"/>
  <c r="M28" i="56"/>
  <c r="M35" i="50"/>
  <c r="M33" i="50"/>
  <c r="M32" i="50"/>
  <c r="M34" i="50"/>
  <c r="M22" i="50"/>
  <c r="M41" i="50"/>
  <c r="M38" i="50"/>
  <c r="M12" i="50"/>
  <c r="M56" i="50" s="1"/>
  <c r="M13" i="50"/>
  <c r="M23" i="50"/>
  <c r="M57" i="50"/>
  <c r="M28" i="50"/>
  <c r="M12" i="38"/>
  <c r="M56" i="38" s="1"/>
  <c r="M35" i="38"/>
  <c r="M38" i="38"/>
  <c r="M23" i="38"/>
  <c r="M41" i="38"/>
  <c r="M22" i="38"/>
  <c r="M34" i="38"/>
  <c r="M13" i="38"/>
  <c r="M29" i="38"/>
  <c r="M33" i="38"/>
  <c r="M24" i="38"/>
  <c r="M57" i="38"/>
  <c r="M32" i="38"/>
  <c r="M28" i="38"/>
  <c r="O9" i="38" a="1"/>
  <c r="O9" i="38" s="1"/>
  <c r="O8" i="38" a="1"/>
  <c r="O8" i="38" s="1"/>
  <c r="O39" i="38" s="1"/>
  <c r="O19" i="38" a="1"/>
  <c r="O19" i="38" s="1"/>
  <c r="O18" i="38" a="1"/>
  <c r="O18" i="38" s="1"/>
  <c r="O8" i="42" a="1"/>
  <c r="O8" i="42" s="1"/>
  <c r="O9" i="42" a="1"/>
  <c r="O9" i="42" s="1"/>
  <c r="O18" i="42" a="1"/>
  <c r="O18" i="42" s="1"/>
  <c r="O19" i="42" a="1"/>
  <c r="O19" i="42" s="1"/>
  <c r="O8" i="48" a="1"/>
  <c r="O8" i="48" s="1"/>
  <c r="O39" i="48" s="1"/>
  <c r="O9" i="48" a="1"/>
  <c r="O9" i="48" s="1"/>
  <c r="O8" i="41" a="1"/>
  <c r="O8" i="41" s="1"/>
  <c r="O39" i="41" s="1"/>
  <c r="O19" i="41" a="1"/>
  <c r="O19" i="41" s="1"/>
  <c r="O18" i="41" a="1"/>
  <c r="O18" i="41" s="1"/>
  <c r="O9" i="41" a="1"/>
  <c r="O9" i="41" s="1"/>
  <c r="N18" i="44" a="1"/>
  <c r="N18" i="44" s="1"/>
  <c r="N8" i="44" a="1"/>
  <c r="N8" i="44" s="1"/>
  <c r="N39" i="44" s="1"/>
  <c r="N19" i="44" a="1"/>
  <c r="N19" i="44" s="1"/>
  <c r="N9" i="44" a="1"/>
  <c r="N9" i="44" s="1"/>
  <c r="N9" i="41" a="1"/>
  <c r="N9" i="41" s="1"/>
  <c r="N18" i="41" a="1"/>
  <c r="N18" i="41" s="1"/>
  <c r="N8" i="41" a="1"/>
  <c r="N8" i="41" s="1"/>
  <c r="N39" i="41" s="1"/>
  <c r="N19" i="41" a="1"/>
  <c r="N19" i="41" s="1"/>
  <c r="M13" i="54"/>
  <c r="M41" i="54"/>
  <c r="M57" i="54"/>
  <c r="M34" i="54"/>
  <c r="M12" i="54"/>
  <c r="M56" i="54" s="1"/>
  <c r="M22" i="54"/>
  <c r="M28" i="54"/>
  <c r="M38" i="54"/>
  <c r="M29" i="54"/>
  <c r="M32" i="54"/>
  <c r="M33" i="54"/>
  <c r="M23" i="54"/>
  <c r="M24" i="54"/>
  <c r="M35" i="54"/>
  <c r="M41" i="35"/>
  <c r="M13" i="35"/>
  <c r="M38" i="35"/>
  <c r="M12" i="35"/>
  <c r="M34" i="35"/>
  <c r="M23" i="35"/>
  <c r="M8" i="39"/>
  <c r="M29" i="35"/>
  <c r="M32" i="35"/>
  <c r="M35" i="35"/>
  <c r="M22" i="35"/>
  <c r="M24" i="35"/>
  <c r="M28" i="35"/>
  <c r="M33" i="35"/>
  <c r="M57" i="35"/>
  <c r="M32" i="49"/>
  <c r="M28" i="49"/>
  <c r="M23" i="49"/>
  <c r="M29" i="49"/>
  <c r="M41" i="49"/>
  <c r="M33" i="49"/>
  <c r="M12" i="49"/>
  <c r="M56" i="49" s="1"/>
  <c r="M57" i="49"/>
  <c r="M35" i="49"/>
  <c r="M38" i="49"/>
  <c r="M34" i="49"/>
  <c r="M13" i="49"/>
  <c r="M24" i="49"/>
  <c r="M22" i="49"/>
  <c r="M34" i="51"/>
  <c r="M57" i="51"/>
  <c r="M23" i="51"/>
  <c r="M12" i="51"/>
  <c r="M56" i="51" s="1"/>
  <c r="M13" i="51"/>
  <c r="M33" i="51"/>
  <c r="M32" i="51"/>
  <c r="M38" i="51"/>
  <c r="M24" i="51"/>
  <c r="M28" i="51"/>
  <c r="M29" i="51"/>
  <c r="M22" i="51"/>
  <c r="M41" i="51"/>
  <c r="M35" i="51"/>
  <c r="O18" i="50" a="1"/>
  <c r="O18" i="50" s="1"/>
  <c r="O8" i="50" a="1"/>
  <c r="O8" i="50" s="1"/>
  <c r="O9" i="50" a="1"/>
  <c r="O9" i="50" s="1"/>
  <c r="O19" i="50" a="1"/>
  <c r="O19" i="50" s="1"/>
  <c r="O18" i="43" a="1"/>
  <c r="O18" i="43" s="1"/>
  <c r="O19" i="43" a="1"/>
  <c r="O19" i="43" s="1"/>
  <c r="O8" i="43" a="1"/>
  <c r="O8" i="43" s="1"/>
  <c r="O39" i="43" s="1"/>
  <c r="O9" i="43" a="1"/>
  <c r="O9" i="43" s="1"/>
  <c r="N19" i="55" a="1"/>
  <c r="N19" i="55" s="1"/>
  <c r="N9" i="55" a="1"/>
  <c r="N9" i="55" s="1"/>
  <c r="N18" i="55" a="1"/>
  <c r="N18" i="55" s="1"/>
  <c r="N8" i="55" a="1"/>
  <c r="N8" i="55" s="1"/>
  <c r="N39" i="55" s="1"/>
  <c r="M24" i="52"/>
  <c r="M12" i="52"/>
  <c r="M56" i="52" s="1"/>
  <c r="M57" i="52"/>
  <c r="M23" i="52"/>
  <c r="M22" i="52"/>
  <c r="M32" i="52"/>
  <c r="M28" i="52"/>
  <c r="M41" i="52"/>
  <c r="M13" i="52"/>
  <c r="M34" i="52"/>
  <c r="M38" i="52"/>
  <c r="M29" i="52"/>
  <c r="M35" i="52"/>
  <c r="M33" i="52"/>
  <c r="O19" i="49" a="1"/>
  <c r="O19" i="49" s="1"/>
  <c r="O9" i="49" a="1"/>
  <c r="O9" i="49" s="1"/>
  <c r="O18" i="49" a="1"/>
  <c r="O18" i="49" s="1"/>
  <c r="O8" i="49" a="1"/>
  <c r="O8" i="49" s="1"/>
  <c r="O39" i="49" s="1"/>
  <c r="O9" i="45" a="1"/>
  <c r="O9" i="45" s="1"/>
  <c r="O8" i="45" a="1"/>
  <c r="O8" i="45" s="1"/>
  <c r="O39" i="45" s="1"/>
  <c r="O18" i="45" a="1"/>
  <c r="O18" i="45" s="1"/>
  <c r="O19" i="45" a="1"/>
  <c r="O19" i="45" s="1"/>
  <c r="O19" i="56" a="1"/>
  <c r="O19" i="56" s="1"/>
  <c r="O8" i="56" a="1"/>
  <c r="O8" i="56" s="1"/>
  <c r="O39" i="56" s="1"/>
  <c r="O18" i="56" a="1"/>
  <c r="O18" i="56" s="1"/>
  <c r="O9" i="56" a="1"/>
  <c r="O9" i="56" s="1"/>
  <c r="O8" i="46" a="1"/>
  <c r="O8" i="46" s="1"/>
  <c r="O39" i="46" s="1"/>
  <c r="O9" i="46" a="1"/>
  <c r="O9" i="46" s="1"/>
  <c r="O18" i="46" a="1"/>
  <c r="O18" i="46" s="1"/>
  <c r="N9" i="38" a="1"/>
  <c r="N9" i="38" s="1"/>
  <c r="N8" i="38" a="1"/>
  <c r="N8" i="38" s="1"/>
  <c r="N39" i="38" s="1"/>
  <c r="N18" i="38" a="1"/>
  <c r="N18" i="38" s="1"/>
  <c r="N19" i="38" a="1"/>
  <c r="N19" i="38" s="1"/>
  <c r="N9" i="56" a="1"/>
  <c r="N9" i="56" s="1"/>
  <c r="N18" i="56" a="1"/>
  <c r="N18" i="56" s="1"/>
  <c r="N19" i="56" a="1"/>
  <c r="N19" i="56" s="1"/>
  <c r="N8" i="56" a="1"/>
  <c r="N8" i="56" s="1"/>
  <c r="N39" i="56" s="1"/>
  <c r="N18" i="49" a="1"/>
  <c r="N18" i="49" s="1"/>
  <c r="N8" i="49" a="1"/>
  <c r="N8" i="49" s="1"/>
  <c r="N39" i="49" s="1"/>
  <c r="N19" i="49" a="1"/>
  <c r="N19" i="49" s="1"/>
  <c r="N9" i="49" a="1"/>
  <c r="N9" i="49" s="1"/>
  <c r="N9" i="40" a="1"/>
  <c r="N9" i="40" s="1"/>
  <c r="N19" i="40" a="1"/>
  <c r="N19" i="40" s="1"/>
  <c r="N8" i="40" a="1"/>
  <c r="N8" i="40" s="1"/>
  <c r="N39" i="40" s="1"/>
  <c r="N18" i="40" a="1"/>
  <c r="N18" i="40" s="1"/>
  <c r="M12" i="42"/>
  <c r="M56" i="42" s="1"/>
  <c r="M34" i="42"/>
  <c r="M38" i="42"/>
  <c r="M23" i="42"/>
  <c r="M29" i="42"/>
  <c r="M32" i="42"/>
  <c r="M35" i="42"/>
  <c r="M28" i="42"/>
  <c r="M33" i="42"/>
  <c r="M41" i="42"/>
  <c r="M13" i="42"/>
  <c r="M22" i="42"/>
  <c r="M57" i="42"/>
  <c r="M33" i="55"/>
  <c r="M29" i="55"/>
  <c r="M35" i="55"/>
  <c r="M24" i="55"/>
  <c r="M34" i="55"/>
  <c r="M41" i="55"/>
  <c r="M57" i="55"/>
  <c r="M13" i="55"/>
  <c r="M28" i="55"/>
  <c r="M23" i="55"/>
  <c r="M32" i="55"/>
  <c r="M22" i="55"/>
  <c r="M12" i="55"/>
  <c r="M56" i="55" s="1"/>
  <c r="M38" i="55"/>
  <c r="M24" i="45"/>
  <c r="M34" i="45"/>
  <c r="M33" i="45"/>
  <c r="M38" i="45"/>
  <c r="M23" i="45"/>
  <c r="M29" i="45"/>
  <c r="M22" i="45"/>
  <c r="M32" i="45"/>
  <c r="M35" i="45"/>
  <c r="M41" i="45"/>
  <c r="M13" i="45"/>
  <c r="M28" i="45"/>
  <c r="M23" i="40"/>
  <c r="M22" i="40"/>
  <c r="M32" i="40"/>
  <c r="M29" i="40"/>
  <c r="M41" i="40"/>
  <c r="M13" i="40"/>
  <c r="M34" i="40"/>
  <c r="M33" i="40"/>
  <c r="M35" i="40"/>
  <c r="M12" i="40"/>
  <c r="M56" i="40" s="1"/>
  <c r="M28" i="40"/>
  <c r="M38" i="40"/>
  <c r="M24" i="40"/>
  <c r="M57" i="40"/>
  <c r="M33" i="41"/>
  <c r="M57" i="41"/>
  <c r="M13" i="41"/>
  <c r="M23" i="41"/>
  <c r="M38" i="41"/>
  <c r="M22" i="41"/>
  <c r="M24" i="41"/>
  <c r="M34" i="41"/>
  <c r="M28" i="41"/>
  <c r="M35" i="41"/>
  <c r="M29" i="41"/>
  <c r="M41" i="41"/>
  <c r="M32" i="41"/>
  <c r="M12" i="41"/>
  <c r="M56" i="41" s="1"/>
  <c r="O19" i="55" a="1"/>
  <c r="O19" i="55" s="1"/>
  <c r="O8" i="55" a="1"/>
  <c r="O8" i="55" s="1"/>
  <c r="O39" i="55" s="1"/>
  <c r="O9" i="55" a="1"/>
  <c r="O9" i="55" s="1"/>
  <c r="O18" i="55" a="1"/>
  <c r="O18" i="55" s="1"/>
  <c r="N8" i="51" a="1"/>
  <c r="N8" i="51" s="1"/>
  <c r="N39" i="51" s="1"/>
  <c r="N19" i="51" a="1"/>
  <c r="N19" i="51" s="1"/>
  <c r="N9" i="51" a="1"/>
  <c r="N9" i="51" s="1"/>
  <c r="N19" i="35" a="1"/>
  <c r="N19" i="35" s="1"/>
  <c r="N18" i="35" a="1"/>
  <c r="N18" i="35" s="1"/>
  <c r="N9" i="35" a="1"/>
  <c r="N9" i="35" s="1"/>
  <c r="N8" i="35" a="1"/>
  <c r="N8" i="35" s="1"/>
  <c r="L22" i="39"/>
  <c r="L12" i="39"/>
  <c r="L56" i="39" s="1"/>
  <c r="L56" i="35"/>
  <c r="L58" i="35" s="1"/>
  <c r="O8" i="40" a="1"/>
  <c r="O8" i="40" s="1"/>
  <c r="O39" i="40" s="1"/>
  <c r="O19" i="40" a="1"/>
  <c r="O19" i="40" s="1"/>
  <c r="O18" i="40" a="1"/>
  <c r="O18" i="40" s="1"/>
  <c r="O9" i="40" a="1"/>
  <c r="O9" i="40" s="1"/>
  <c r="O9" i="54" a="1"/>
  <c r="O9" i="54" s="1"/>
  <c r="O18" i="54" a="1"/>
  <c r="O18" i="54" s="1"/>
  <c r="O8" i="54" a="1"/>
  <c r="O8" i="54" s="1"/>
  <c r="O39" i="54" s="1"/>
  <c r="O19" i="54" a="1"/>
  <c r="O19" i="54" s="1"/>
  <c r="O9" i="44" a="1"/>
  <c r="O9" i="44" s="1"/>
  <c r="O18" i="44" a="1"/>
  <c r="O18" i="44" s="1"/>
  <c r="O8" i="44" a="1"/>
  <c r="O8" i="44" s="1"/>
  <c r="O39" i="44" s="1"/>
  <c r="O19" i="44" a="1"/>
  <c r="O19" i="44" s="1"/>
  <c r="N8" i="53" a="1"/>
  <c r="N8" i="53" s="1"/>
  <c r="N39" i="53" s="1"/>
  <c r="N18" i="53" a="1"/>
  <c r="N18" i="53" s="1"/>
  <c r="N19" i="53" a="1"/>
  <c r="N19" i="53" s="1"/>
  <c r="N9" i="53" a="1"/>
  <c r="N9" i="53" s="1"/>
  <c r="N8" i="48" a="1"/>
  <c r="N8" i="48" s="1"/>
  <c r="N39" i="48" s="1"/>
  <c r="N9" i="48" a="1"/>
  <c r="N9" i="48" s="1"/>
  <c r="AB53" i="30"/>
  <c r="AB51" i="30"/>
  <c r="AB49" i="30"/>
  <c r="AB47" i="30"/>
  <c r="AB48" i="30"/>
  <c r="AB50" i="30"/>
  <c r="AB46" i="30"/>
  <c r="AB45" i="30"/>
  <c r="AB52" i="30"/>
  <c r="AB44" i="30"/>
  <c r="AB43" i="30"/>
  <c r="O18" i="47" a="1"/>
  <c r="O18" i="47" s="1"/>
  <c r="O9" i="47" a="1"/>
  <c r="O9" i="47" s="1"/>
  <c r="O8" i="47" a="1"/>
  <c r="O8" i="47" s="1"/>
  <c r="O39" i="47" s="1"/>
  <c r="N18" i="54" a="1"/>
  <c r="N18" i="54" s="1"/>
  <c r="N19" i="54" a="1"/>
  <c r="N19" i="54" s="1"/>
  <c r="N9" i="54" a="1"/>
  <c r="N9" i="54" s="1"/>
  <c r="N8" i="54" a="1"/>
  <c r="N8" i="54" s="1"/>
  <c r="N39" i="54" s="1"/>
  <c r="N9" i="50" a="1"/>
  <c r="N9" i="50" s="1"/>
  <c r="N19" i="50" a="1"/>
  <c r="N19" i="50" s="1"/>
  <c r="N18" i="50" a="1"/>
  <c r="N18" i="50" s="1"/>
  <c r="N8" i="50" a="1"/>
  <c r="N8" i="50" s="1"/>
  <c r="N8" i="52" a="1"/>
  <c r="N8" i="52" s="1"/>
  <c r="N39" i="52" s="1"/>
  <c r="N18" i="52" a="1"/>
  <c r="N18" i="52" s="1"/>
  <c r="N9" i="52" a="1"/>
  <c r="N9" i="52" s="1"/>
  <c r="N19" i="52" a="1"/>
  <c r="N19" i="52" s="1"/>
  <c r="M57" i="47"/>
  <c r="M22" i="47"/>
  <c r="M13" i="47"/>
  <c r="M33" i="47"/>
  <c r="M28" i="47"/>
  <c r="M12" i="47"/>
  <c r="M56" i="47" s="1"/>
  <c r="M35" i="47"/>
  <c r="M23" i="47"/>
  <c r="M41" i="47"/>
  <c r="M34" i="47"/>
  <c r="M38" i="47"/>
  <c r="M32" i="47"/>
  <c r="F119" i="63" a="1"/>
  <c r="F35" i="63" a="1"/>
  <c r="E48" i="63" a="1"/>
  <c r="E145" i="63" a="1"/>
  <c r="E12" i="63" a="1"/>
  <c r="E133" i="63" a="1"/>
  <c r="C156" i="63" a="1"/>
  <c r="E108" i="63" a="1"/>
  <c r="G71" i="63" a="1"/>
  <c r="E181" i="63" a="1"/>
  <c r="G203" i="63" a="1"/>
  <c r="G47" i="63" a="1"/>
  <c r="E72" i="63" a="1"/>
  <c r="F23" i="63" a="1"/>
  <c r="E157" i="63" a="1"/>
  <c r="E85" i="63" a="1"/>
  <c r="E204" i="63" a="1"/>
  <c r="D156" i="63" a="1"/>
  <c r="D181" i="63" a="1"/>
  <c r="D25" i="63" a="1"/>
  <c r="G107" i="63" a="1"/>
  <c r="C169" i="63" a="1"/>
  <c r="E37" i="63" a="1"/>
  <c r="F155" i="63" a="1"/>
  <c r="E205" i="63" a="1"/>
  <c r="E193" i="63" a="1"/>
  <c r="F203" i="63" a="1"/>
  <c r="E156" i="63" a="1"/>
  <c r="D216" i="63" a="1"/>
  <c r="D229" i="63" a="1"/>
  <c r="E239" i="63" a="1"/>
  <c r="C24" i="63" a="1"/>
  <c r="C37" i="63" a="1"/>
  <c r="D238" i="63" a="1"/>
  <c r="C60" i="63" a="1"/>
  <c r="C48" i="63" a="1"/>
  <c r="D72" i="63" a="1"/>
  <c r="C96" i="63" a="1"/>
  <c r="F95" i="63" a="1"/>
  <c r="G167" i="63" a="1"/>
  <c r="G238" i="63" a="1"/>
  <c r="C49" i="63" a="1"/>
  <c r="C25" i="63" a="1"/>
  <c r="E169" i="63" a="1"/>
  <c r="C85" i="63" a="1"/>
  <c r="G143" i="63" a="1"/>
  <c r="D85" i="63" a="1"/>
  <c r="E168" i="63" a="1"/>
  <c r="D133" i="63" a="1"/>
  <c r="D217" i="63" a="1"/>
  <c r="C36" i="63" a="1"/>
  <c r="F238" i="63" a="1"/>
  <c r="D96" i="63" a="1"/>
  <c r="F215" i="63" a="1"/>
  <c r="C73" i="63" a="1"/>
  <c r="C193" i="63" a="1"/>
  <c r="C108" i="63" a="1"/>
  <c r="G11" i="63" a="1"/>
  <c r="F107" i="63" a="1"/>
  <c r="C12" i="63" a="1"/>
  <c r="E228" i="63" a="1"/>
  <c r="F167" i="63" a="1"/>
  <c r="C181" i="63" a="1"/>
  <c r="C13" i="63" a="1"/>
  <c r="D121" i="63" a="1"/>
  <c r="D204" i="63" a="1"/>
  <c r="D84" i="63" a="1"/>
  <c r="D61" i="63" a="1"/>
  <c r="E180" i="63" a="1"/>
  <c r="G155" i="63" a="1"/>
  <c r="F131" i="63" a="1"/>
  <c r="C144" i="63" a="1"/>
  <c r="D132" i="63" a="1"/>
  <c r="G59" i="63" a="1"/>
  <c r="E84" i="63" a="1"/>
  <c r="E73" i="63" a="1"/>
  <c r="D205" i="63" a="1"/>
  <c r="F179" i="63" a="1"/>
  <c r="C72" i="63" a="1"/>
  <c r="C168" i="63" a="1"/>
  <c r="C120" i="63" a="1"/>
  <c r="C192" i="63" a="1"/>
  <c r="G131" i="63" a="1"/>
  <c r="E96" i="63" a="1"/>
  <c r="C229" i="63" a="1"/>
  <c r="D192" i="63" a="1"/>
  <c r="G35" i="63" a="1"/>
  <c r="E36" i="63" a="1"/>
  <c r="C228" i="63" a="1"/>
  <c r="E61" i="63" a="1"/>
  <c r="G23" i="63" a="1"/>
  <c r="D228" i="63" a="1"/>
  <c r="E49" i="63" a="1"/>
  <c r="D13" i="63" a="1"/>
  <c r="C157" i="63" a="1"/>
  <c r="C97" i="63" a="1"/>
  <c r="E109" i="63" a="1"/>
  <c r="E24" i="63" a="1"/>
  <c r="C239" i="63" a="1"/>
  <c r="C133" i="63" a="1"/>
  <c r="G191" i="63" a="1"/>
  <c r="G95" i="63" a="1"/>
  <c r="C61" i="63" a="1"/>
  <c r="D108" i="63" a="1"/>
  <c r="E13" i="63" a="1"/>
  <c r="G227" i="63" a="1"/>
  <c r="C204" i="63" a="1"/>
  <c r="E97" i="63" a="1"/>
  <c r="E132" i="63" a="1"/>
  <c r="D49" i="63" a="1"/>
  <c r="E121" i="63" a="1"/>
  <c r="G83" i="63" a="1"/>
  <c r="E217" i="63" a="1"/>
  <c r="F83" i="63" a="1"/>
  <c r="D37" i="63" a="1"/>
  <c r="E120" i="63" a="1"/>
  <c r="G179" i="63" a="1"/>
  <c r="E229" i="63" a="1"/>
  <c r="D157" i="63" a="1"/>
  <c r="E216" i="63" a="1"/>
  <c r="E25" i="63" a="1"/>
  <c r="D73" i="63" a="1"/>
  <c r="F47" i="63" a="1"/>
  <c r="D180" i="63" a="1"/>
  <c r="E60" i="63" a="1"/>
  <c r="C216" i="63" a="1"/>
  <c r="D193" i="63" a="1"/>
  <c r="E144" i="63" a="1"/>
  <c r="C132" i="63" a="1"/>
  <c r="G215" i="63" a="1"/>
  <c r="F143" i="63" a="1"/>
  <c r="D60" i="63" a="1"/>
  <c r="D36" i="63" a="1"/>
  <c r="F191" i="63" a="1"/>
  <c r="G119" i="63" a="1"/>
  <c r="C121" i="63" a="1"/>
  <c r="C180" i="63" a="1"/>
  <c r="E192" i="63" a="1"/>
  <c r="F71" i="63" a="1"/>
  <c r="C217" i="63" a="1"/>
  <c r="C109" i="63" a="1"/>
  <c r="F59" i="63" a="1"/>
  <c r="F11" i="63" a="1"/>
  <c r="C145" i="63" a="1"/>
  <c r="D48" i="63" a="1"/>
  <c r="D168" i="63" a="1"/>
  <c r="F227" i="63" a="1"/>
  <c r="D109" i="63" a="1"/>
  <c r="D12" i="63" a="1"/>
  <c r="D24" i="63" a="1"/>
  <c r="D120" i="63" a="1"/>
  <c r="C84" i="63" a="1"/>
  <c r="D169" i="63" a="1"/>
  <c r="C205" i="63" a="1"/>
  <c r="D97" i="63" a="1"/>
  <c r="K51" i="39" l="1"/>
  <c r="O39" i="35"/>
  <c r="O25" i="35"/>
  <c r="N39" i="35"/>
  <c r="N25" i="35"/>
  <c r="N39" i="50"/>
  <c r="N29" i="50"/>
  <c r="N24" i="50"/>
  <c r="O39" i="50"/>
  <c r="O29" i="50"/>
  <c r="O24" i="50"/>
  <c r="O24" i="42"/>
  <c r="O39" i="42"/>
  <c r="N24" i="42"/>
  <c r="N39" i="42"/>
  <c r="F227" i="63"/>
  <c r="F155" i="63"/>
  <c r="F59" i="63"/>
  <c r="F203" i="63"/>
  <c r="F119" i="63"/>
  <c r="F35" i="63"/>
  <c r="F131" i="63"/>
  <c r="F107" i="63"/>
  <c r="F143" i="63"/>
  <c r="F191" i="63"/>
  <c r="F179" i="63"/>
  <c r="F71" i="63"/>
  <c r="F47" i="63"/>
  <c r="F23" i="63"/>
  <c r="F83" i="63"/>
  <c r="F11" i="63"/>
  <c r="F215" i="63"/>
  <c r="F167" i="63"/>
  <c r="F95" i="63"/>
  <c r="F238" i="63"/>
  <c r="E192" i="63"/>
  <c r="C168" i="63"/>
  <c r="C120" i="63"/>
  <c r="C25" i="63"/>
  <c r="G35" i="63"/>
  <c r="C133" i="63"/>
  <c r="D72" i="63"/>
  <c r="D49" i="63"/>
  <c r="C84" i="63"/>
  <c r="D169" i="63"/>
  <c r="C145" i="63"/>
  <c r="C108" i="63"/>
  <c r="C13" i="63"/>
  <c r="G119" i="63"/>
  <c r="C73" i="63"/>
  <c r="D192" i="63"/>
  <c r="C156" i="63"/>
  <c r="C109" i="63"/>
  <c r="E193" i="63"/>
  <c r="E144" i="63"/>
  <c r="G23" i="63"/>
  <c r="G203" i="63"/>
  <c r="G47" i="63"/>
  <c r="E228" i="63"/>
  <c r="D217" i="63"/>
  <c r="D133" i="63"/>
  <c r="C61" i="63"/>
  <c r="E36" i="63"/>
  <c r="G155" i="63"/>
  <c r="E169" i="63"/>
  <c r="D238" i="63"/>
  <c r="C192" i="63"/>
  <c r="D156" i="63"/>
  <c r="E180" i="63"/>
  <c r="C193" i="63"/>
  <c r="C144" i="63"/>
  <c r="E132" i="63"/>
  <c r="D228" i="63"/>
  <c r="C217" i="63"/>
  <c r="G167" i="63"/>
  <c r="E61" i="63"/>
  <c r="G131" i="63"/>
  <c r="G191" i="63"/>
  <c r="C36" i="63"/>
  <c r="D37" i="63"/>
  <c r="C49" i="63"/>
  <c r="G227" i="63"/>
  <c r="E84" i="63"/>
  <c r="E181" i="63"/>
  <c r="C96" i="63"/>
  <c r="E13" i="63"/>
  <c r="G95" i="63"/>
  <c r="D109" i="63"/>
  <c r="D193" i="63"/>
  <c r="D205" i="63"/>
  <c r="C132" i="63"/>
  <c r="C228" i="63"/>
  <c r="E217" i="63"/>
  <c r="E133" i="63"/>
  <c r="D61" i="63"/>
  <c r="D36" i="63"/>
  <c r="E37" i="63"/>
  <c r="D229" i="63"/>
  <c r="C48" i="63"/>
  <c r="C181" i="63"/>
  <c r="D96" i="63"/>
  <c r="D13" i="63"/>
  <c r="E109" i="63"/>
  <c r="D168" i="63"/>
  <c r="E156" i="63"/>
  <c r="D180" i="63"/>
  <c r="C180" i="63"/>
  <c r="C12" i="63"/>
  <c r="G83" i="63"/>
  <c r="D132" i="63"/>
  <c r="E85" i="63"/>
  <c r="C204" i="63"/>
  <c r="E157" i="63"/>
  <c r="G11" i="63"/>
  <c r="C37" i="63"/>
  <c r="E229" i="63"/>
  <c r="D121" i="63"/>
  <c r="G107" i="63"/>
  <c r="E73" i="63"/>
  <c r="C205" i="63"/>
  <c r="D24" i="63"/>
  <c r="C216" i="63"/>
  <c r="D97" i="63"/>
  <c r="D85" i="63"/>
  <c r="D204" i="63"/>
  <c r="G143" i="63"/>
  <c r="C229" i="63"/>
  <c r="E48" i="63"/>
  <c r="D181" i="63"/>
  <c r="G59" i="63"/>
  <c r="C60" i="63"/>
  <c r="E121" i="63"/>
  <c r="E97" i="63"/>
  <c r="D25" i="63"/>
  <c r="D12" i="63"/>
  <c r="E205" i="63"/>
  <c r="C24" i="63"/>
  <c r="E216" i="63"/>
  <c r="C85" i="63"/>
  <c r="C157" i="63"/>
  <c r="E72" i="63"/>
  <c r="C121" i="63"/>
  <c r="D48" i="63"/>
  <c r="C169" i="63"/>
  <c r="D60" i="63"/>
  <c r="D120" i="63"/>
  <c r="E108" i="63"/>
  <c r="E168" i="63"/>
  <c r="D73" i="63"/>
  <c r="E25" i="63"/>
  <c r="E12" i="63"/>
  <c r="E24" i="63"/>
  <c r="D216" i="63"/>
  <c r="C97" i="63"/>
  <c r="E204" i="63"/>
  <c r="D157" i="63"/>
  <c r="C72" i="63"/>
  <c r="E49" i="63"/>
  <c r="G215" i="63"/>
  <c r="G179" i="63"/>
  <c r="D84" i="63"/>
  <c r="E145" i="63"/>
  <c r="G71" i="63"/>
  <c r="D108" i="63"/>
  <c r="E60" i="63"/>
  <c r="E120" i="63"/>
  <c r="E96" i="63"/>
  <c r="N24" i="47"/>
  <c r="O24" i="47"/>
  <c r="N24" i="46"/>
  <c r="O24" i="46"/>
  <c r="C239" i="63"/>
  <c r="G238" i="63"/>
  <c r="E239" i="63"/>
  <c r="N46" i="40"/>
  <c r="N48" i="40"/>
  <c r="N44" i="40"/>
  <c r="N45" i="40"/>
  <c r="O45" i="52"/>
  <c r="O48" i="52"/>
  <c r="O46" i="52"/>
  <c r="O44" i="52"/>
  <c r="O29" i="46"/>
  <c r="O48" i="46"/>
  <c r="O46" i="46"/>
  <c r="O44" i="46"/>
  <c r="O45" i="46"/>
  <c r="N46" i="44"/>
  <c r="N45" i="44"/>
  <c r="N48" i="44"/>
  <c r="N44" i="44"/>
  <c r="O45" i="49"/>
  <c r="O44" i="49"/>
  <c r="O48" i="49"/>
  <c r="O46" i="49"/>
  <c r="N57" i="45"/>
  <c r="N45" i="45"/>
  <c r="N44" i="45"/>
  <c r="N46" i="45"/>
  <c r="N48" i="45"/>
  <c r="O46" i="51"/>
  <c r="O45" i="51"/>
  <c r="O48" i="51"/>
  <c r="O44" i="51"/>
  <c r="N29" i="47"/>
  <c r="N45" i="47"/>
  <c r="N48" i="47"/>
  <c r="N44" i="47"/>
  <c r="N46" i="47"/>
  <c r="O48" i="35"/>
  <c r="O46" i="35"/>
  <c r="O45" i="35"/>
  <c r="O44" i="35"/>
  <c r="O46" i="44"/>
  <c r="O48" i="44"/>
  <c r="O45" i="44"/>
  <c r="O44" i="44"/>
  <c r="O57" i="45"/>
  <c r="O45" i="45"/>
  <c r="O48" i="45"/>
  <c r="O44" i="45"/>
  <c r="O46" i="45"/>
  <c r="N46" i="48"/>
  <c r="N48" i="48"/>
  <c r="N44" i="48"/>
  <c r="N45" i="48"/>
  <c r="O44" i="40"/>
  <c r="O45" i="40"/>
  <c r="O46" i="40"/>
  <c r="O48" i="40"/>
  <c r="N44" i="50"/>
  <c r="N48" i="50"/>
  <c r="N46" i="50"/>
  <c r="N45" i="50"/>
  <c r="O29" i="47"/>
  <c r="O48" i="47"/>
  <c r="O46" i="47"/>
  <c r="O45" i="47"/>
  <c r="O44" i="47"/>
  <c r="O48" i="43"/>
  <c r="O44" i="43"/>
  <c r="O46" i="43"/>
  <c r="O45" i="43"/>
  <c r="O48" i="50"/>
  <c r="O46" i="50"/>
  <c r="O45" i="50"/>
  <c r="O44" i="50"/>
  <c r="N45" i="52"/>
  <c r="N44" i="52"/>
  <c r="N48" i="52"/>
  <c r="N46" i="52"/>
  <c r="O48" i="54"/>
  <c r="O46" i="54"/>
  <c r="O44" i="54"/>
  <c r="O45" i="54"/>
  <c r="N48" i="51"/>
  <c r="N45" i="51"/>
  <c r="N46" i="51"/>
  <c r="N44" i="51"/>
  <c r="O44" i="56"/>
  <c r="O45" i="56"/>
  <c r="O48" i="56"/>
  <c r="N46" i="41"/>
  <c r="N48" i="41"/>
  <c r="N44" i="41"/>
  <c r="N45" i="41"/>
  <c r="O46" i="42"/>
  <c r="O45" i="42"/>
  <c r="O48" i="42"/>
  <c r="O44" i="42"/>
  <c r="N29" i="46"/>
  <c r="N48" i="46"/>
  <c r="N46" i="46"/>
  <c r="N44" i="46"/>
  <c r="N45" i="46"/>
  <c r="N48" i="49"/>
  <c r="N46" i="49"/>
  <c r="N44" i="49"/>
  <c r="N45" i="49"/>
  <c r="N44" i="38"/>
  <c r="N45" i="38"/>
  <c r="N48" i="42"/>
  <c r="N45" i="42"/>
  <c r="N44" i="42"/>
  <c r="N46" i="42"/>
  <c r="O46" i="53"/>
  <c r="O44" i="53"/>
  <c r="O48" i="53"/>
  <c r="O45" i="53"/>
  <c r="O45" i="48"/>
  <c r="O48" i="48"/>
  <c r="O44" i="48"/>
  <c r="O46" i="48"/>
  <c r="N46" i="53"/>
  <c r="N45" i="53"/>
  <c r="N48" i="53"/>
  <c r="N44" i="53"/>
  <c r="N46" i="35"/>
  <c r="N44" i="35"/>
  <c r="N48" i="35"/>
  <c r="N45" i="35"/>
  <c r="N45" i="55"/>
  <c r="N48" i="55"/>
  <c r="N44" i="55"/>
  <c r="N46" i="55"/>
  <c r="O45" i="41"/>
  <c r="O44" i="41"/>
  <c r="O46" i="41"/>
  <c r="O48" i="41"/>
  <c r="N48" i="54"/>
  <c r="N46" i="54"/>
  <c r="N45" i="54"/>
  <c r="N44" i="54"/>
  <c r="O48" i="55"/>
  <c r="O44" i="55"/>
  <c r="O46" i="55"/>
  <c r="O45" i="55"/>
  <c r="N45" i="56"/>
  <c r="N44" i="56"/>
  <c r="N48" i="56"/>
  <c r="O48" i="38"/>
  <c r="O45" i="38"/>
  <c r="O44" i="38"/>
  <c r="N44" i="43"/>
  <c r="N45" i="43"/>
  <c r="N48" i="43"/>
  <c r="N46" i="43"/>
  <c r="P19" i="46"/>
  <c r="M18" i="51" a="1"/>
  <c r="M18" i="51" s="1"/>
  <c r="M58" i="45"/>
  <c r="M58" i="56"/>
  <c r="P9" i="51"/>
  <c r="O57" i="44"/>
  <c r="O31" i="48"/>
  <c r="P9" i="53"/>
  <c r="P19" i="45"/>
  <c r="P18" i="44"/>
  <c r="P9" i="45"/>
  <c r="N30" i="51"/>
  <c r="N20" i="51"/>
  <c r="O30" i="51"/>
  <c r="O20" i="51"/>
  <c r="P9" i="52"/>
  <c r="N47" i="50"/>
  <c r="N24" i="48"/>
  <c r="N47" i="48"/>
  <c r="O47" i="49"/>
  <c r="N47" i="44"/>
  <c r="N47" i="46"/>
  <c r="O47" i="43"/>
  <c r="N47" i="45"/>
  <c r="O47" i="51"/>
  <c r="N47" i="51"/>
  <c r="N47" i="49"/>
  <c r="N48" i="38"/>
  <c r="N47" i="38"/>
  <c r="N46" i="38"/>
  <c r="O47" i="56"/>
  <c r="O46" i="56"/>
  <c r="O47" i="54"/>
  <c r="N47" i="54"/>
  <c r="N22" i="53"/>
  <c r="N47" i="53"/>
  <c r="N47" i="35"/>
  <c r="N47" i="41"/>
  <c r="O47" i="42"/>
  <c r="N47" i="43"/>
  <c r="O47" i="55"/>
  <c r="N47" i="56"/>
  <c r="N46" i="56"/>
  <c r="N47" i="55"/>
  <c r="N47" i="42"/>
  <c r="O47" i="53"/>
  <c r="N47" i="47"/>
  <c r="O47" i="44"/>
  <c r="N47" i="40"/>
  <c r="O47" i="41"/>
  <c r="O47" i="46"/>
  <c r="O47" i="45"/>
  <c r="O47" i="50"/>
  <c r="O47" i="38"/>
  <c r="O46" i="38"/>
  <c r="O47" i="35"/>
  <c r="N47" i="52"/>
  <c r="O47" i="47"/>
  <c r="O47" i="40"/>
  <c r="O24" i="48"/>
  <c r="O47" i="48"/>
  <c r="O47" i="52"/>
  <c r="P19" i="35"/>
  <c r="O22" i="48"/>
  <c r="P18" i="35"/>
  <c r="P19" i="50"/>
  <c r="M14" i="45"/>
  <c r="P18" i="52"/>
  <c r="M20" i="39"/>
  <c r="M14" i="38"/>
  <c r="M49" i="38"/>
  <c r="M58" i="48"/>
  <c r="M31" i="39"/>
  <c r="M26" i="45"/>
  <c r="M26" i="56"/>
  <c r="M41" i="39"/>
  <c r="M40" i="39"/>
  <c r="M30" i="39"/>
  <c r="Q13" i="27"/>
  <c r="O14" i="27"/>
  <c r="P14" i="27"/>
  <c r="L42" i="39"/>
  <c r="P18" i="53"/>
  <c r="N31" i="48"/>
  <c r="P19" i="53"/>
  <c r="P9" i="46"/>
  <c r="N30" i="54"/>
  <c r="N31" i="54"/>
  <c r="N31" i="52"/>
  <c r="N30" i="52"/>
  <c r="N30" i="49"/>
  <c r="N31" i="49"/>
  <c r="N20" i="38"/>
  <c r="N31" i="38"/>
  <c r="N30" i="38"/>
  <c r="O20" i="56"/>
  <c r="O30" i="56"/>
  <c r="O31" i="56"/>
  <c r="N20" i="44"/>
  <c r="N30" i="44"/>
  <c r="N31" i="44"/>
  <c r="N20" i="45"/>
  <c r="N30" i="45"/>
  <c r="N31" i="45"/>
  <c r="O31" i="53"/>
  <c r="O30" i="53"/>
  <c r="N30" i="50"/>
  <c r="N31" i="50"/>
  <c r="O31" i="47"/>
  <c r="O30" i="47"/>
  <c r="N30" i="48"/>
  <c r="O31" i="40"/>
  <c r="O30" i="40"/>
  <c r="N20" i="46"/>
  <c r="N30" i="46"/>
  <c r="N31" i="46"/>
  <c r="O20" i="44"/>
  <c r="O31" i="44"/>
  <c r="O30" i="44"/>
  <c r="N20" i="56"/>
  <c r="N31" i="56"/>
  <c r="N30" i="56"/>
  <c r="O31" i="43"/>
  <c r="O30" i="43"/>
  <c r="O30" i="54"/>
  <c r="O31" i="54"/>
  <c r="N31" i="40"/>
  <c r="N30" i="40"/>
  <c r="N30" i="41"/>
  <c r="N31" i="41"/>
  <c r="O20" i="42"/>
  <c r="O31" i="42"/>
  <c r="O30" i="42"/>
  <c r="N31" i="42"/>
  <c r="N30" i="42"/>
  <c r="O30" i="52"/>
  <c r="O31" i="52"/>
  <c r="P31" i="52" s="1"/>
  <c r="O20" i="46"/>
  <c r="P20" i="46" s="1"/>
  <c r="O30" i="46"/>
  <c r="O31" i="46"/>
  <c r="P31" i="46" s="1"/>
  <c r="O20" i="45"/>
  <c r="O30" i="45"/>
  <c r="O31" i="45"/>
  <c r="N31" i="43"/>
  <c r="N30" i="43"/>
  <c r="N30" i="53"/>
  <c r="N31" i="53"/>
  <c r="N30" i="35"/>
  <c r="N31" i="35"/>
  <c r="N31" i="55"/>
  <c r="N30" i="55"/>
  <c r="O20" i="41"/>
  <c r="O30" i="41"/>
  <c r="P30" i="41" s="1"/>
  <c r="O31" i="41"/>
  <c r="N30" i="47"/>
  <c r="N31" i="47"/>
  <c r="O30" i="49"/>
  <c r="O31" i="49"/>
  <c r="O31" i="38"/>
  <c r="O30" i="38"/>
  <c r="O20" i="55"/>
  <c r="O30" i="55"/>
  <c r="O31" i="55"/>
  <c r="O30" i="50"/>
  <c r="O31" i="50"/>
  <c r="O30" i="48"/>
  <c r="O30" i="35"/>
  <c r="O31" i="35"/>
  <c r="O40" i="51"/>
  <c r="O31" i="51"/>
  <c r="N40" i="51"/>
  <c r="N31" i="51"/>
  <c r="M44" i="39"/>
  <c r="N40" i="54"/>
  <c r="N20" i="54"/>
  <c r="O40" i="50"/>
  <c r="O20" i="50"/>
  <c r="O40" i="48"/>
  <c r="O20" i="48"/>
  <c r="O40" i="35"/>
  <c r="O20" i="35"/>
  <c r="N40" i="49"/>
  <c r="N20" i="49"/>
  <c r="O40" i="53"/>
  <c r="O20" i="53"/>
  <c r="N40" i="53"/>
  <c r="N20" i="53"/>
  <c r="N40" i="50"/>
  <c r="N20" i="50"/>
  <c r="O40" i="47"/>
  <c r="O20" i="47"/>
  <c r="N40" i="48"/>
  <c r="N20" i="48"/>
  <c r="O40" i="40"/>
  <c r="O20" i="40"/>
  <c r="N40" i="52"/>
  <c r="N20" i="52"/>
  <c r="O40" i="43"/>
  <c r="O20" i="43"/>
  <c r="O40" i="54"/>
  <c r="O20" i="54"/>
  <c r="N40" i="40"/>
  <c r="N20" i="40"/>
  <c r="N40" i="41"/>
  <c r="N20" i="41"/>
  <c r="N40" i="42"/>
  <c r="N20" i="42"/>
  <c r="O40" i="52"/>
  <c r="O20" i="52"/>
  <c r="N40" i="43"/>
  <c r="N20" i="43"/>
  <c r="N40" i="55"/>
  <c r="N20" i="55"/>
  <c r="N40" i="47"/>
  <c r="N20" i="47"/>
  <c r="N40" i="35"/>
  <c r="N20" i="35"/>
  <c r="O40" i="49"/>
  <c r="O20" i="49"/>
  <c r="O40" i="38"/>
  <c r="O20" i="38"/>
  <c r="O40" i="42"/>
  <c r="O57" i="46"/>
  <c r="O40" i="46"/>
  <c r="O12" i="45"/>
  <c r="O56" i="45" s="1"/>
  <c r="O58" i="45" s="1"/>
  <c r="O40" i="45"/>
  <c r="O57" i="41"/>
  <c r="O40" i="41"/>
  <c r="P8" i="55"/>
  <c r="O40" i="55"/>
  <c r="N57" i="38"/>
  <c r="N40" i="38"/>
  <c r="O40" i="56"/>
  <c r="N57" i="44"/>
  <c r="N40" i="44"/>
  <c r="N12" i="45"/>
  <c r="N40" i="45"/>
  <c r="O40" i="44"/>
  <c r="N57" i="46"/>
  <c r="N40" i="46"/>
  <c r="N40" i="56"/>
  <c r="P8" i="38"/>
  <c r="P9" i="38"/>
  <c r="M26" i="43"/>
  <c r="M57" i="39"/>
  <c r="M26" i="52"/>
  <c r="M26" i="42"/>
  <c r="M42" i="52"/>
  <c r="M26" i="35"/>
  <c r="O19" i="39"/>
  <c r="N19" i="39"/>
  <c r="P9" i="48"/>
  <c r="M42" i="48"/>
  <c r="M58" i="41"/>
  <c r="M26" i="44"/>
  <c r="O9" i="39"/>
  <c r="M26" i="41"/>
  <c r="M26" i="40"/>
  <c r="M26" i="55"/>
  <c r="M26" i="48"/>
  <c r="M26" i="49"/>
  <c r="M26" i="47"/>
  <c r="M26" i="54"/>
  <c r="M26" i="50"/>
  <c r="M26" i="53"/>
  <c r="M26" i="46"/>
  <c r="M26" i="38"/>
  <c r="M58" i="54"/>
  <c r="L36" i="39"/>
  <c r="M58" i="47"/>
  <c r="M49" i="42"/>
  <c r="M42" i="54"/>
  <c r="M42" i="56"/>
  <c r="M14" i="47"/>
  <c r="M36" i="41"/>
  <c r="M58" i="55"/>
  <c r="M42" i="38"/>
  <c r="M42" i="46"/>
  <c r="M28" i="39"/>
  <c r="M36" i="53"/>
  <c r="M49" i="41"/>
  <c r="M42" i="41"/>
  <c r="M45" i="39"/>
  <c r="M23" i="39"/>
  <c r="M48" i="39"/>
  <c r="M58" i="43"/>
  <c r="M58" i="44"/>
  <c r="M25" i="39"/>
  <c r="M24" i="39"/>
  <c r="M34" i="39"/>
  <c r="M36" i="56"/>
  <c r="M14" i="35"/>
  <c r="M42" i="47"/>
  <c r="P18" i="49"/>
  <c r="M35" i="39"/>
  <c r="M38" i="39"/>
  <c r="H32" i="27" s="1"/>
  <c r="H15" i="27" s="1"/>
  <c r="I15" i="27" s="1"/>
  <c r="M36" i="50"/>
  <c r="M58" i="50"/>
  <c r="M42" i="51"/>
  <c r="M32" i="39"/>
  <c r="M42" i="55"/>
  <c r="M39" i="39"/>
  <c r="M46" i="39"/>
  <c r="M36" i="38"/>
  <c r="M33" i="39"/>
  <c r="M29" i="39"/>
  <c r="M47" i="39"/>
  <c r="M36" i="48"/>
  <c r="M42" i="43"/>
  <c r="L26" i="39"/>
  <c r="M58" i="38"/>
  <c r="M14" i="54"/>
  <c r="M14" i="56"/>
  <c r="M58" i="51"/>
  <c r="M42" i="40"/>
  <c r="M36" i="44"/>
  <c r="M36" i="40"/>
  <c r="M36" i="45"/>
  <c r="M49" i="45"/>
  <c r="M58" i="42"/>
  <c r="M58" i="49"/>
  <c r="M42" i="53"/>
  <c r="M58" i="40"/>
  <c r="M36" i="49"/>
  <c r="M36" i="51"/>
  <c r="M49" i="56"/>
  <c r="M49" i="48"/>
  <c r="M58" i="52"/>
  <c r="M49" i="51"/>
  <c r="M42" i="50"/>
  <c r="M49" i="50"/>
  <c r="M14" i="53"/>
  <c r="M49" i="43"/>
  <c r="M36" i="47"/>
  <c r="M14" i="41"/>
  <c r="M49" i="55"/>
  <c r="M42" i="42"/>
  <c r="M36" i="42"/>
  <c r="M42" i="49"/>
  <c r="M36" i="43"/>
  <c r="M49" i="47"/>
  <c r="M49" i="49"/>
  <c r="M36" i="54"/>
  <c r="M49" i="54"/>
  <c r="M49" i="53"/>
  <c r="M58" i="53"/>
  <c r="M49" i="44"/>
  <c r="M42" i="44"/>
  <c r="M49" i="46"/>
  <c r="M49" i="40"/>
  <c r="M42" i="45"/>
  <c r="M36" i="55"/>
  <c r="M14" i="42"/>
  <c r="M14" i="52"/>
  <c r="M36" i="52"/>
  <c r="M49" i="52"/>
  <c r="M14" i="49"/>
  <c r="M14" i="50"/>
  <c r="M36" i="46"/>
  <c r="M36" i="35"/>
  <c r="M14" i="43"/>
  <c r="M14" i="44"/>
  <c r="M13" i="39"/>
  <c r="M14" i="48"/>
  <c r="M14" i="51"/>
  <c r="M49" i="35"/>
  <c r="M14" i="46"/>
  <c r="M14" i="40"/>
  <c r="M42" i="35"/>
  <c r="M14" i="55"/>
  <c r="P19" i="52"/>
  <c r="P9" i="50"/>
  <c r="P18" i="46"/>
  <c r="P18" i="45"/>
  <c r="P19" i="42"/>
  <c r="P18" i="40"/>
  <c r="L58" i="39"/>
  <c r="L49" i="39"/>
  <c r="P19" i="44"/>
  <c r="P18" i="50"/>
  <c r="L14" i="39"/>
  <c r="P9" i="44"/>
  <c r="P9" i="49"/>
  <c r="P19" i="38"/>
  <c r="P19" i="49"/>
  <c r="P18" i="38"/>
  <c r="P18" i="55"/>
  <c r="P9" i="43"/>
  <c r="P9" i="55"/>
  <c r="P18" i="42"/>
  <c r="P19" i="41"/>
  <c r="P9" i="56"/>
  <c r="P18" i="41"/>
  <c r="P8" i="46"/>
  <c r="N34" i="35"/>
  <c r="N8" i="39"/>
  <c r="N29" i="35"/>
  <c r="N32" i="35"/>
  <c r="N35" i="35"/>
  <c r="N57" i="35"/>
  <c r="N28" i="35"/>
  <c r="N13" i="35"/>
  <c r="N33" i="35"/>
  <c r="N12" i="35"/>
  <c r="N41" i="35"/>
  <c r="N38" i="35"/>
  <c r="P8" i="35"/>
  <c r="R10" i="35" s="1"/>
  <c r="N22" i="35"/>
  <c r="N24" i="35"/>
  <c r="N23" i="35"/>
  <c r="N29" i="56"/>
  <c r="N33" i="56"/>
  <c r="N41" i="56"/>
  <c r="N34" i="56"/>
  <c r="N23" i="56"/>
  <c r="N35" i="56"/>
  <c r="N57" i="56"/>
  <c r="N12" i="56"/>
  <c r="N28" i="56"/>
  <c r="N32" i="56"/>
  <c r="N13" i="56"/>
  <c r="N24" i="56"/>
  <c r="P8" i="56"/>
  <c r="N22" i="56"/>
  <c r="N38" i="56"/>
  <c r="N23" i="44"/>
  <c r="N29" i="44"/>
  <c r="N41" i="44"/>
  <c r="N38" i="44"/>
  <c r="N35" i="44"/>
  <c r="N12" i="44"/>
  <c r="N13" i="44"/>
  <c r="N34" i="44"/>
  <c r="N33" i="44"/>
  <c r="N28" i="44"/>
  <c r="N22" i="44"/>
  <c r="N24" i="44"/>
  <c r="N32" i="44"/>
  <c r="O41" i="38"/>
  <c r="O13" i="38"/>
  <c r="O24" i="38"/>
  <c r="O32" i="38"/>
  <c r="O22" i="38"/>
  <c r="O12" i="38"/>
  <c r="O56" i="38" s="1"/>
  <c r="O29" i="38"/>
  <c r="O57" i="38"/>
  <c r="O38" i="38"/>
  <c r="O34" i="38"/>
  <c r="O28" i="38"/>
  <c r="O23" i="38"/>
  <c r="O35" i="38"/>
  <c r="O33" i="38"/>
  <c r="O28" i="51"/>
  <c r="O35" i="51"/>
  <c r="O12" i="51"/>
  <c r="O56" i="51" s="1"/>
  <c r="O34" i="51"/>
  <c r="O32" i="51"/>
  <c r="O13" i="51"/>
  <c r="O57" i="51"/>
  <c r="O41" i="51"/>
  <c r="O24" i="51"/>
  <c r="O33" i="51"/>
  <c r="O38" i="51"/>
  <c r="O22" i="51"/>
  <c r="O23" i="51"/>
  <c r="O29" i="51"/>
  <c r="N34" i="50"/>
  <c r="N32" i="50"/>
  <c r="N33" i="50"/>
  <c r="N23" i="50"/>
  <c r="N41" i="50"/>
  <c r="N57" i="50"/>
  <c r="N22" i="50"/>
  <c r="N28" i="50"/>
  <c r="N13" i="50"/>
  <c r="N35" i="50"/>
  <c r="N38" i="50"/>
  <c r="N12" i="50"/>
  <c r="P8" i="50"/>
  <c r="O13" i="47"/>
  <c r="O34" i="47"/>
  <c r="O33" i="47"/>
  <c r="O12" i="47"/>
  <c r="O56" i="47" s="1"/>
  <c r="O23" i="47"/>
  <c r="O38" i="47"/>
  <c r="O22" i="47"/>
  <c r="O35" i="47"/>
  <c r="O28" i="47"/>
  <c r="O57" i="47"/>
  <c r="O41" i="47"/>
  <c r="O32" i="47"/>
  <c r="O32" i="44"/>
  <c r="O34" i="44"/>
  <c r="O41" i="44"/>
  <c r="O22" i="44"/>
  <c r="O13" i="44"/>
  <c r="O29" i="44"/>
  <c r="O12" i="44"/>
  <c r="O56" i="44" s="1"/>
  <c r="O58" i="44" s="1"/>
  <c r="O28" i="44"/>
  <c r="O38" i="44"/>
  <c r="O35" i="44"/>
  <c r="O23" i="44"/>
  <c r="O24" i="44"/>
  <c r="O33" i="44"/>
  <c r="N9" i="39"/>
  <c r="P9" i="35"/>
  <c r="N35" i="40"/>
  <c r="N38" i="40"/>
  <c r="N13" i="40"/>
  <c r="N34" i="40"/>
  <c r="N23" i="40"/>
  <c r="N32" i="40"/>
  <c r="N24" i="40"/>
  <c r="N57" i="40"/>
  <c r="N29" i="40"/>
  <c r="P8" i="40"/>
  <c r="N28" i="40"/>
  <c r="N33" i="40"/>
  <c r="N41" i="40"/>
  <c r="N12" i="40"/>
  <c r="N22" i="40"/>
  <c r="P19" i="56"/>
  <c r="O23" i="43"/>
  <c r="O32" i="43"/>
  <c r="O41" i="43"/>
  <c r="O12" i="43"/>
  <c r="O56" i="43" s="1"/>
  <c r="O57" i="43"/>
  <c r="O24" i="43"/>
  <c r="O22" i="43"/>
  <c r="O28" i="43"/>
  <c r="O34" i="43"/>
  <c r="O38" i="43"/>
  <c r="O13" i="43"/>
  <c r="O29" i="43"/>
  <c r="O35" i="43"/>
  <c r="O33" i="43"/>
  <c r="M22" i="39"/>
  <c r="O12" i="48"/>
  <c r="O56" i="48" s="1"/>
  <c r="O38" i="48"/>
  <c r="O29" i="48"/>
  <c r="O57" i="48"/>
  <c r="O23" i="48"/>
  <c r="O34" i="48"/>
  <c r="O32" i="48"/>
  <c r="O41" i="48"/>
  <c r="O33" i="48"/>
  <c r="O35" i="48"/>
  <c r="O13" i="48"/>
  <c r="O28" i="48"/>
  <c r="P9" i="47"/>
  <c r="N33" i="48"/>
  <c r="N29" i="48"/>
  <c r="N32" i="48"/>
  <c r="N22" i="48"/>
  <c r="N34" i="48"/>
  <c r="N13" i="48"/>
  <c r="N35" i="48"/>
  <c r="N28" i="48"/>
  <c r="P8" i="48"/>
  <c r="N41" i="48"/>
  <c r="N12" i="48"/>
  <c r="N23" i="48"/>
  <c r="N57" i="48"/>
  <c r="N38" i="48"/>
  <c r="O24" i="55"/>
  <c r="O32" i="55"/>
  <c r="O12" i="55"/>
  <c r="O56" i="55" s="1"/>
  <c r="O38" i="55"/>
  <c r="O35" i="55"/>
  <c r="O13" i="55"/>
  <c r="O33" i="55"/>
  <c r="O57" i="55"/>
  <c r="O34" i="55"/>
  <c r="O29" i="55"/>
  <c r="O41" i="55"/>
  <c r="O23" i="55"/>
  <c r="O28" i="55"/>
  <c r="O22" i="55"/>
  <c r="P19" i="40"/>
  <c r="P18" i="56"/>
  <c r="O32" i="46"/>
  <c r="O23" i="46"/>
  <c r="O22" i="46"/>
  <c r="O34" i="46"/>
  <c r="O35" i="46"/>
  <c r="O41" i="46"/>
  <c r="O13" i="46"/>
  <c r="O28" i="46"/>
  <c r="O33" i="46"/>
  <c r="O12" i="46"/>
  <c r="O56" i="46" s="1"/>
  <c r="O38" i="46"/>
  <c r="O28" i="45"/>
  <c r="O38" i="45"/>
  <c r="O24" i="45"/>
  <c r="O33" i="45"/>
  <c r="O41" i="45"/>
  <c r="O34" i="45"/>
  <c r="O29" i="45"/>
  <c r="O32" i="45"/>
  <c r="O13" i="45"/>
  <c r="O35" i="45"/>
  <c r="O22" i="45"/>
  <c r="O23" i="45"/>
  <c r="P9" i="41"/>
  <c r="N41" i="45"/>
  <c r="N33" i="45"/>
  <c r="N24" i="45"/>
  <c r="N34" i="45"/>
  <c r="N38" i="45"/>
  <c r="N29" i="45"/>
  <c r="N35" i="45"/>
  <c r="P8" i="45"/>
  <c r="N23" i="45"/>
  <c r="N32" i="45"/>
  <c r="N22" i="45"/>
  <c r="N13" i="45"/>
  <c r="N28" i="45"/>
  <c r="O28" i="53"/>
  <c r="O57" i="53"/>
  <c r="O38" i="53"/>
  <c r="O29" i="53"/>
  <c r="O33" i="53"/>
  <c r="O32" i="53"/>
  <c r="O22" i="53"/>
  <c r="O13" i="53"/>
  <c r="O12" i="53"/>
  <c r="O56" i="53" s="1"/>
  <c r="O24" i="53"/>
  <c r="O23" i="53"/>
  <c r="O34" i="53"/>
  <c r="O35" i="53"/>
  <c r="O41" i="53"/>
  <c r="P18" i="47"/>
  <c r="N12" i="43"/>
  <c r="N34" i="43"/>
  <c r="P8" i="43"/>
  <c r="N35" i="43"/>
  <c r="N29" i="43"/>
  <c r="N57" i="43"/>
  <c r="N24" i="43"/>
  <c r="N22" i="43"/>
  <c r="N32" i="43"/>
  <c r="N38" i="43"/>
  <c r="N41" i="43"/>
  <c r="N23" i="43"/>
  <c r="N13" i="43"/>
  <c r="N28" i="43"/>
  <c r="N33" i="43"/>
  <c r="O41" i="40"/>
  <c r="O28" i="40"/>
  <c r="O38" i="40"/>
  <c r="O12" i="40"/>
  <c r="O56" i="40" s="1"/>
  <c r="O13" i="40"/>
  <c r="O33" i="40"/>
  <c r="O32" i="40"/>
  <c r="O24" i="40"/>
  <c r="O34" i="40"/>
  <c r="O57" i="40"/>
  <c r="O22" i="40"/>
  <c r="O29" i="40"/>
  <c r="O35" i="40"/>
  <c r="O23" i="40"/>
  <c r="P9" i="40"/>
  <c r="N24" i="41"/>
  <c r="N35" i="41"/>
  <c r="N57" i="41"/>
  <c r="N32" i="41"/>
  <c r="N34" i="41"/>
  <c r="N22" i="41"/>
  <c r="N33" i="41"/>
  <c r="N38" i="41"/>
  <c r="P8" i="41"/>
  <c r="N41" i="41"/>
  <c r="N28" i="41"/>
  <c r="N13" i="41"/>
  <c r="N23" i="41"/>
  <c r="N12" i="41"/>
  <c r="N29" i="41"/>
  <c r="N57" i="47"/>
  <c r="N12" i="47"/>
  <c r="N56" i="47" s="1"/>
  <c r="N22" i="47"/>
  <c r="N28" i="47"/>
  <c r="N38" i="47"/>
  <c r="N13" i="47"/>
  <c r="P8" i="47"/>
  <c r="N34" i="47"/>
  <c r="N41" i="47"/>
  <c r="N23" i="47"/>
  <c r="N33" i="47"/>
  <c r="N32" i="47"/>
  <c r="N35" i="47"/>
  <c r="P18" i="43"/>
  <c r="P19" i="54"/>
  <c r="O33" i="49"/>
  <c r="O13" i="49"/>
  <c r="O38" i="49"/>
  <c r="O22" i="49"/>
  <c r="O23" i="49"/>
  <c r="O34" i="49"/>
  <c r="O41" i="49"/>
  <c r="O29" i="49"/>
  <c r="O24" i="49"/>
  <c r="O35" i="49"/>
  <c r="O28" i="49"/>
  <c r="O32" i="49"/>
  <c r="O12" i="49"/>
  <c r="O56" i="49" s="1"/>
  <c r="O57" i="49"/>
  <c r="N32" i="55"/>
  <c r="N22" i="55"/>
  <c r="N23" i="55"/>
  <c r="N24" i="55"/>
  <c r="N35" i="55"/>
  <c r="N57" i="55"/>
  <c r="N29" i="55"/>
  <c r="N41" i="55"/>
  <c r="N13" i="55"/>
  <c r="N34" i="55"/>
  <c r="N33" i="55"/>
  <c r="N12" i="55"/>
  <c r="N28" i="55"/>
  <c r="N38" i="55"/>
  <c r="P19" i="47"/>
  <c r="P19" i="43"/>
  <c r="P8" i="44"/>
  <c r="N38" i="52"/>
  <c r="N35" i="52"/>
  <c r="N57" i="52"/>
  <c r="P8" i="52"/>
  <c r="N23" i="52"/>
  <c r="N24" i="52"/>
  <c r="N34" i="52"/>
  <c r="N33" i="52"/>
  <c r="N13" i="52"/>
  <c r="N29" i="52"/>
  <c r="N28" i="52"/>
  <c r="N32" i="52"/>
  <c r="N12" i="52"/>
  <c r="N41" i="52"/>
  <c r="N22" i="52"/>
  <c r="N34" i="54"/>
  <c r="N13" i="54"/>
  <c r="N29" i="54"/>
  <c r="N12" i="54"/>
  <c r="P8" i="54"/>
  <c r="N22" i="54"/>
  <c r="N33" i="54"/>
  <c r="N41" i="54"/>
  <c r="N23" i="54"/>
  <c r="N38" i="54"/>
  <c r="N32" i="54"/>
  <c r="N35" i="54"/>
  <c r="N28" i="54"/>
  <c r="N57" i="54"/>
  <c r="N24" i="54"/>
  <c r="O34" i="54"/>
  <c r="O22" i="54"/>
  <c r="O12" i="54"/>
  <c r="O56" i="54" s="1"/>
  <c r="O41" i="54"/>
  <c r="O23" i="54"/>
  <c r="O24" i="54"/>
  <c r="O33" i="54"/>
  <c r="O32" i="54"/>
  <c r="O57" i="54"/>
  <c r="O29" i="54"/>
  <c r="O28" i="54"/>
  <c r="O13" i="54"/>
  <c r="O35" i="54"/>
  <c r="O38" i="54"/>
  <c r="M56" i="35"/>
  <c r="M58" i="35" s="1"/>
  <c r="M12" i="39"/>
  <c r="M56" i="39" s="1"/>
  <c r="O32" i="41"/>
  <c r="O29" i="41"/>
  <c r="O23" i="41"/>
  <c r="O34" i="41"/>
  <c r="O28" i="41"/>
  <c r="O35" i="41"/>
  <c r="O13" i="41"/>
  <c r="O33" i="41"/>
  <c r="O41" i="41"/>
  <c r="O22" i="41"/>
  <c r="O38" i="41"/>
  <c r="O24" i="41"/>
  <c r="O12" i="41"/>
  <c r="O56" i="41" s="1"/>
  <c r="O28" i="42"/>
  <c r="O38" i="42"/>
  <c r="O41" i="42"/>
  <c r="O35" i="42"/>
  <c r="O57" i="42"/>
  <c r="O22" i="42"/>
  <c r="O13" i="42"/>
  <c r="O12" i="42"/>
  <c r="O56" i="42" s="1"/>
  <c r="O33" i="42"/>
  <c r="O29" i="42"/>
  <c r="O23" i="42"/>
  <c r="O32" i="42"/>
  <c r="O34" i="42"/>
  <c r="N41" i="42"/>
  <c r="N29" i="42"/>
  <c r="N33" i="42"/>
  <c r="N12" i="42"/>
  <c r="N57" i="42"/>
  <c r="N38" i="42"/>
  <c r="N35" i="42"/>
  <c r="N28" i="42"/>
  <c r="N22" i="42"/>
  <c r="P8" i="42"/>
  <c r="N32" i="42"/>
  <c r="N34" i="42"/>
  <c r="N13" i="42"/>
  <c r="N23" i="42"/>
  <c r="O28" i="52"/>
  <c r="O13" i="52"/>
  <c r="O32" i="52"/>
  <c r="O29" i="52"/>
  <c r="O38" i="52"/>
  <c r="O34" i="52"/>
  <c r="O23" i="52"/>
  <c r="O35" i="52"/>
  <c r="O22" i="52"/>
  <c r="O33" i="52"/>
  <c r="O57" i="52"/>
  <c r="O41" i="52"/>
  <c r="O24" i="52"/>
  <c r="O12" i="52"/>
  <c r="O56" i="52" s="1"/>
  <c r="O35" i="35"/>
  <c r="O12" i="35"/>
  <c r="O34" i="35"/>
  <c r="O29" i="35"/>
  <c r="O24" i="35"/>
  <c r="O23" i="35"/>
  <c r="O22" i="35"/>
  <c r="O32" i="35"/>
  <c r="O13" i="35"/>
  <c r="O8" i="39"/>
  <c r="O41" i="35"/>
  <c r="O38" i="35"/>
  <c r="O28" i="35"/>
  <c r="O57" i="35"/>
  <c r="O33" i="35"/>
  <c r="P18" i="54"/>
  <c r="N13" i="49"/>
  <c r="N35" i="49"/>
  <c r="N22" i="49"/>
  <c r="P8" i="49"/>
  <c r="N32" i="49"/>
  <c r="N12" i="49"/>
  <c r="N38" i="49"/>
  <c r="N29" i="49"/>
  <c r="N28" i="49"/>
  <c r="N33" i="49"/>
  <c r="N41" i="49"/>
  <c r="N57" i="49"/>
  <c r="N34" i="49"/>
  <c r="N24" i="49"/>
  <c r="N23" i="49"/>
  <c r="N35" i="38"/>
  <c r="N22" i="38"/>
  <c r="N33" i="38"/>
  <c r="N38" i="38"/>
  <c r="N34" i="38"/>
  <c r="N13" i="38"/>
  <c r="N28" i="38"/>
  <c r="N12" i="38"/>
  <c r="N41" i="38"/>
  <c r="N32" i="38"/>
  <c r="N23" i="38"/>
  <c r="N24" i="38"/>
  <c r="N29" i="38"/>
  <c r="O57" i="56"/>
  <c r="O23" i="56"/>
  <c r="O35" i="56"/>
  <c r="O29" i="56"/>
  <c r="O28" i="56"/>
  <c r="O41" i="56"/>
  <c r="O38" i="56"/>
  <c r="O32" i="56"/>
  <c r="O33" i="56"/>
  <c r="O13" i="56"/>
  <c r="O34" i="56"/>
  <c r="O22" i="56"/>
  <c r="O24" i="56"/>
  <c r="O12" i="56"/>
  <c r="O56" i="56" s="1"/>
  <c r="O23" i="50"/>
  <c r="O22" i="50"/>
  <c r="O28" i="50"/>
  <c r="O34" i="50"/>
  <c r="O13" i="50"/>
  <c r="O33" i="50"/>
  <c r="O57" i="50"/>
  <c r="O32" i="50"/>
  <c r="O41" i="50"/>
  <c r="O38" i="50"/>
  <c r="O12" i="50"/>
  <c r="O56" i="50" s="1"/>
  <c r="O35" i="50"/>
  <c r="P9" i="42"/>
  <c r="P19" i="51"/>
  <c r="N32" i="53"/>
  <c r="N12" i="53"/>
  <c r="N24" i="53"/>
  <c r="N28" i="53"/>
  <c r="P8" i="53"/>
  <c r="N13" i="53"/>
  <c r="N29" i="53"/>
  <c r="N57" i="53"/>
  <c r="N33" i="53"/>
  <c r="N41" i="53"/>
  <c r="N38" i="53"/>
  <c r="N35" i="53"/>
  <c r="N23" i="53"/>
  <c r="N34" i="53"/>
  <c r="P9" i="54"/>
  <c r="N33" i="51"/>
  <c r="N35" i="51"/>
  <c r="N23" i="51"/>
  <c r="N34" i="51"/>
  <c r="N24" i="51"/>
  <c r="N57" i="51"/>
  <c r="N28" i="51"/>
  <c r="N13" i="51"/>
  <c r="N41" i="51"/>
  <c r="N12" i="51"/>
  <c r="N29" i="51"/>
  <c r="N32" i="51"/>
  <c r="N22" i="51"/>
  <c r="P8" i="51"/>
  <c r="N38" i="51"/>
  <c r="P19" i="55"/>
  <c r="N33" i="46"/>
  <c r="N38" i="46"/>
  <c r="N41" i="46"/>
  <c r="N23" i="46"/>
  <c r="N12" i="46"/>
  <c r="N13" i="46"/>
  <c r="N32" i="46"/>
  <c r="N35" i="46"/>
  <c r="N28" i="46"/>
  <c r="N22" i="46"/>
  <c r="N34" i="46"/>
  <c r="F13" i="63" a="1"/>
  <c r="G193" i="63" a="1"/>
  <c r="G12" i="63" a="1"/>
  <c r="G108" i="63" a="1"/>
  <c r="F205" i="63" a="1"/>
  <c r="G157" i="63" a="1"/>
  <c r="G25" i="63" a="1"/>
  <c r="G181" i="63" a="1"/>
  <c r="G239" i="63" a="1"/>
  <c r="G205" i="63" a="1"/>
  <c r="G97" i="63" a="1"/>
  <c r="G132" i="63" a="1"/>
  <c r="G109" i="63" a="1"/>
  <c r="F193" i="63" a="1"/>
  <c r="G229" i="63" a="1"/>
  <c r="F157" i="63" a="1"/>
  <c r="G204" i="63" a="1"/>
  <c r="F132" i="63" a="1"/>
  <c r="G217" i="63" a="1"/>
  <c r="G36" i="63" a="1"/>
  <c r="F156" i="63" a="1"/>
  <c r="F72" i="63" a="1"/>
  <c r="F120" i="63" a="1"/>
  <c r="F133" i="63" a="1"/>
  <c r="G216" i="63" a="1"/>
  <c r="F48" i="63" a="1"/>
  <c r="G84" i="63" a="1"/>
  <c r="F228" i="63" a="1"/>
  <c r="F204" i="63" a="1"/>
  <c r="G121" i="63" a="1"/>
  <c r="G120" i="63" a="1"/>
  <c r="F216" i="63" a="1"/>
  <c r="C240" i="63" a="1"/>
  <c r="F168" i="63" a="1"/>
  <c r="G61" i="63" a="1"/>
  <c r="C241" i="63" a="1"/>
  <c r="G228" i="63" a="1"/>
  <c r="F109" i="63" a="1"/>
  <c r="F36" i="63" a="1"/>
  <c r="F85" i="63" a="1"/>
  <c r="F217" i="63" a="1"/>
  <c r="F84" i="63" a="1"/>
  <c r="F145" i="63" a="1"/>
  <c r="F144" i="63" a="1"/>
  <c r="G49" i="63" a="1"/>
  <c r="F96" i="63" a="1"/>
  <c r="F61" i="63" a="1"/>
  <c r="F181" i="63" a="1"/>
  <c r="E240" i="63" a="1"/>
  <c r="G192" i="63" a="1"/>
  <c r="G133" i="63" a="1"/>
  <c r="F121" i="63" a="1"/>
  <c r="G60" i="63" a="1"/>
  <c r="F180" i="63" a="1"/>
  <c r="F239" i="63" a="1"/>
  <c r="G37" i="63" a="1"/>
  <c r="G145" i="63" a="1"/>
  <c r="F169" i="63" a="1"/>
  <c r="G96" i="63" a="1"/>
  <c r="E241" i="63" a="1"/>
  <c r="F37" i="63" a="1"/>
  <c r="G24" i="63" a="1"/>
  <c r="F192" i="63" a="1"/>
  <c r="F229" i="63" a="1"/>
  <c r="F97" i="63" a="1"/>
  <c r="G144" i="63" a="1"/>
  <c r="F60" i="63" a="1"/>
  <c r="F24" i="63" a="1"/>
  <c r="D143" i="63" a="1"/>
  <c r="F25" i="63" a="1"/>
  <c r="F12" i="63" a="1"/>
  <c r="G13" i="63" a="1"/>
  <c r="F73" i="63" a="1"/>
  <c r="G180" i="63" a="1"/>
  <c r="G72" i="63" a="1"/>
  <c r="G73" i="63" a="1"/>
  <c r="F108" i="63" a="1"/>
  <c r="G169" i="63" a="1"/>
  <c r="F49" i="63" a="1"/>
  <c r="G85" i="63" a="1"/>
  <c r="G156" i="63" a="1"/>
  <c r="G48" i="63" a="1"/>
  <c r="G168" i="63" a="1"/>
  <c r="F228" i="63" l="1"/>
  <c r="F132" i="63"/>
  <c r="F49" i="63"/>
  <c r="F168" i="63"/>
  <c r="F133" i="63"/>
  <c r="F36" i="63"/>
  <c r="F120" i="63"/>
  <c r="F156" i="63"/>
  <c r="F216" i="63"/>
  <c r="F157" i="63"/>
  <c r="F60" i="63"/>
  <c r="F144" i="63"/>
  <c r="F37" i="63"/>
  <c r="F24" i="63"/>
  <c r="F109" i="63"/>
  <c r="F192" i="63"/>
  <c r="F204" i="63"/>
  <c r="F108" i="63"/>
  <c r="F181" i="63"/>
  <c r="F85" i="63"/>
  <c r="F145" i="63"/>
  <c r="F12" i="63"/>
  <c r="F96" i="63"/>
  <c r="F169" i="63"/>
  <c r="F25" i="63"/>
  <c r="F229" i="63"/>
  <c r="F72" i="63"/>
  <c r="F97" i="63"/>
  <c r="F180" i="63"/>
  <c r="F48" i="63"/>
  <c r="F73" i="63"/>
  <c r="F121" i="63"/>
  <c r="F13" i="63"/>
  <c r="F61" i="63"/>
  <c r="F193" i="63"/>
  <c r="F84" i="63"/>
  <c r="F217" i="63"/>
  <c r="F205" i="63"/>
  <c r="F239" i="63"/>
  <c r="G205" i="63"/>
  <c r="G48" i="63"/>
  <c r="G37" i="63"/>
  <c r="G192" i="63"/>
  <c r="G181" i="63"/>
  <c r="G156" i="63"/>
  <c r="G145" i="63"/>
  <c r="G108" i="63"/>
  <c r="G13" i="63"/>
  <c r="G204" i="63"/>
  <c r="G60" i="63"/>
  <c r="G24" i="63"/>
  <c r="G121" i="63"/>
  <c r="G12" i="63"/>
  <c r="G133" i="63"/>
  <c r="G216" i="63"/>
  <c r="G120" i="63"/>
  <c r="G72" i="63"/>
  <c r="G144" i="63"/>
  <c r="G132" i="63"/>
  <c r="G168" i="63"/>
  <c r="G85" i="63"/>
  <c r="G73" i="63"/>
  <c r="G157" i="63"/>
  <c r="G193" i="63"/>
  <c r="G217" i="63"/>
  <c r="G228" i="63"/>
  <c r="G97" i="63"/>
  <c r="D143" i="63"/>
  <c r="G96" i="63"/>
  <c r="G36" i="63"/>
  <c r="G84" i="63"/>
  <c r="G229" i="63"/>
  <c r="G180" i="63"/>
  <c r="G169" i="63"/>
  <c r="G49" i="63"/>
  <c r="G25" i="63"/>
  <c r="G61" i="63"/>
  <c r="G109" i="63"/>
  <c r="M18" i="39"/>
  <c r="G239" i="63"/>
  <c r="C241" i="63"/>
  <c r="C240" i="63"/>
  <c r="E240" i="63"/>
  <c r="E241" i="63"/>
  <c r="O14" i="45"/>
  <c r="O58" i="46"/>
  <c r="O49" i="41"/>
  <c r="O18" i="51" a="1"/>
  <c r="O18" i="51" s="1"/>
  <c r="O58" i="53"/>
  <c r="O42" i="54"/>
  <c r="O42" i="42"/>
  <c r="N18" i="51" a="1"/>
  <c r="N18" i="51" s="1"/>
  <c r="N14" i="49"/>
  <c r="N14" i="42"/>
  <c r="M26" i="51"/>
  <c r="P35" i="38"/>
  <c r="P48" i="53"/>
  <c r="P31" i="41"/>
  <c r="N22" i="39"/>
  <c r="P24" i="35"/>
  <c r="P30" i="46"/>
  <c r="P25" i="35"/>
  <c r="P29" i="35"/>
  <c r="P20" i="51"/>
  <c r="P28" i="35"/>
  <c r="P21" i="35"/>
  <c r="P23" i="35"/>
  <c r="O58" i="49"/>
  <c r="O49" i="56"/>
  <c r="P20" i="35"/>
  <c r="O58" i="52"/>
  <c r="O42" i="38"/>
  <c r="O42" i="55"/>
  <c r="O58" i="42"/>
  <c r="O14" i="50"/>
  <c r="O42" i="53"/>
  <c r="O58" i="48"/>
  <c r="O58" i="38"/>
  <c r="N14" i="46"/>
  <c r="O26" i="56"/>
  <c r="O42" i="52"/>
  <c r="N14" i="45"/>
  <c r="O42" i="46"/>
  <c r="O20" i="39"/>
  <c r="O14" i="40"/>
  <c r="O36" i="51"/>
  <c r="O40" i="39"/>
  <c r="O41" i="39"/>
  <c r="O49" i="52"/>
  <c r="O36" i="46"/>
  <c r="O26" i="43"/>
  <c r="O49" i="47"/>
  <c r="O42" i="40"/>
  <c r="O36" i="53"/>
  <c r="O42" i="47"/>
  <c r="O42" i="44"/>
  <c r="O36" i="44"/>
  <c r="O26" i="50"/>
  <c r="P21" i="50"/>
  <c r="N41" i="39"/>
  <c r="N31" i="39"/>
  <c r="N30" i="39"/>
  <c r="N36" i="46"/>
  <c r="N20" i="39"/>
  <c r="N40" i="39"/>
  <c r="P15" i="27"/>
  <c r="O15" i="27"/>
  <c r="M42" i="39"/>
  <c r="Q14" i="27"/>
  <c r="P20" i="45"/>
  <c r="P31" i="38"/>
  <c r="P20" i="56"/>
  <c r="P35" i="40"/>
  <c r="P30" i="52"/>
  <c r="P30" i="48"/>
  <c r="P20" i="38"/>
  <c r="P20" i="55"/>
  <c r="P31" i="44"/>
  <c r="P39" i="53"/>
  <c r="P20" i="42"/>
  <c r="P31" i="48"/>
  <c r="P30" i="44"/>
  <c r="P31" i="49"/>
  <c r="P30" i="45"/>
  <c r="P31" i="50"/>
  <c r="P31" i="45"/>
  <c r="P31" i="54"/>
  <c r="P30" i="42"/>
  <c r="P30" i="55"/>
  <c r="P20" i="41"/>
  <c r="R10" i="44"/>
  <c r="P40" i="51"/>
  <c r="P30" i="49"/>
  <c r="P30" i="54"/>
  <c r="P20" i="44"/>
  <c r="P30" i="47"/>
  <c r="P30" i="50"/>
  <c r="P31" i="42"/>
  <c r="P30" i="43"/>
  <c r="P31" i="47"/>
  <c r="P31" i="55"/>
  <c r="P31" i="43"/>
  <c r="O31" i="39"/>
  <c r="P31" i="35"/>
  <c r="P30" i="40"/>
  <c r="P30" i="53"/>
  <c r="P31" i="56"/>
  <c r="O30" i="39"/>
  <c r="P30" i="35"/>
  <c r="P30" i="38"/>
  <c r="P31" i="40"/>
  <c r="P31" i="53"/>
  <c r="P30" i="56"/>
  <c r="P30" i="51"/>
  <c r="P31" i="51"/>
  <c r="P29" i="50"/>
  <c r="P40" i="35"/>
  <c r="P40" i="48"/>
  <c r="P39" i="50"/>
  <c r="P40" i="54"/>
  <c r="P40" i="53"/>
  <c r="P40" i="50"/>
  <c r="P40" i="55"/>
  <c r="P20" i="48"/>
  <c r="P41" i="53"/>
  <c r="P20" i="53"/>
  <c r="P20" i="43"/>
  <c r="P20" i="47"/>
  <c r="P40" i="43"/>
  <c r="P47" i="47"/>
  <c r="P40" i="49"/>
  <c r="P57" i="44"/>
  <c r="P40" i="42"/>
  <c r="P20" i="52"/>
  <c r="P20" i="50"/>
  <c r="P20" i="49"/>
  <c r="P40" i="52"/>
  <c r="P39" i="47"/>
  <c r="P20" i="40"/>
  <c r="P40" i="40"/>
  <c r="P47" i="53"/>
  <c r="P40" i="38"/>
  <c r="P40" i="41"/>
  <c r="P20" i="54"/>
  <c r="P40" i="45"/>
  <c r="P40" i="47"/>
  <c r="R10" i="47"/>
  <c r="R10" i="53"/>
  <c r="R10" i="40"/>
  <c r="P40" i="46"/>
  <c r="P40" i="56"/>
  <c r="R10" i="55"/>
  <c r="R10" i="56"/>
  <c r="R10" i="46"/>
  <c r="P40" i="44"/>
  <c r="P29" i="42"/>
  <c r="R10" i="41"/>
  <c r="R10" i="45"/>
  <c r="P28" i="47"/>
  <c r="P29" i="44"/>
  <c r="P57" i="53"/>
  <c r="P41" i="55"/>
  <c r="P32" i="53"/>
  <c r="P46" i="47"/>
  <c r="O42" i="45"/>
  <c r="O36" i="41"/>
  <c r="O49" i="46"/>
  <c r="O36" i="43"/>
  <c r="P44" i="53"/>
  <c r="O58" i="50"/>
  <c r="O42" i="56"/>
  <c r="O14" i="56"/>
  <c r="P25" i="38"/>
  <c r="O14" i="35"/>
  <c r="O49" i="42"/>
  <c r="O42" i="49"/>
  <c r="O58" i="40"/>
  <c r="O26" i="45"/>
  <c r="O33" i="39"/>
  <c r="P44" i="44"/>
  <c r="P28" i="54"/>
  <c r="O48" i="39"/>
  <c r="O24" i="39"/>
  <c r="P24" i="53"/>
  <c r="O26" i="52"/>
  <c r="O36" i="45"/>
  <c r="P32" i="48"/>
  <c r="O36" i="38"/>
  <c r="P41" i="50"/>
  <c r="O49" i="50"/>
  <c r="O36" i="56"/>
  <c r="O14" i="52"/>
  <c r="P33" i="55"/>
  <c r="O36" i="49"/>
  <c r="O49" i="40"/>
  <c r="O26" i="46"/>
  <c r="O26" i="55"/>
  <c r="O49" i="55"/>
  <c r="O58" i="55"/>
  <c r="O47" i="39"/>
  <c r="O39" i="39"/>
  <c r="O38" i="39"/>
  <c r="H34" i="27" s="1"/>
  <c r="H17" i="27" s="1"/>
  <c r="I17" i="27" s="1"/>
  <c r="O49" i="43"/>
  <c r="O36" i="47"/>
  <c r="O58" i="51"/>
  <c r="O28" i="39"/>
  <c r="O32" i="39"/>
  <c r="O45" i="39"/>
  <c r="O36" i="42"/>
  <c r="O49" i="54"/>
  <c r="O36" i="55"/>
  <c r="O46" i="39"/>
  <c r="O42" i="43"/>
  <c r="O49" i="51"/>
  <c r="O42" i="51"/>
  <c r="O26" i="38"/>
  <c r="O58" i="54"/>
  <c r="O49" i="49"/>
  <c r="O36" i="40"/>
  <c r="O49" i="45"/>
  <c r="O25" i="39"/>
  <c r="O34" i="39"/>
  <c r="O26" i="44"/>
  <c r="P33" i="52"/>
  <c r="O42" i="41"/>
  <c r="P44" i="47"/>
  <c r="O49" i="53"/>
  <c r="O35" i="39"/>
  <c r="O26" i="47"/>
  <c r="O49" i="38"/>
  <c r="P18" i="48"/>
  <c r="P19" i="48"/>
  <c r="O14" i="48"/>
  <c r="O42" i="48"/>
  <c r="O26" i="48"/>
  <c r="N57" i="39"/>
  <c r="M26" i="39"/>
  <c r="O23" i="39"/>
  <c r="P13" i="48"/>
  <c r="O36" i="48"/>
  <c r="O29" i="39"/>
  <c r="O57" i="39"/>
  <c r="O22" i="39"/>
  <c r="O49" i="48"/>
  <c r="O44" i="39"/>
  <c r="O26" i="40"/>
  <c r="O26" i="41"/>
  <c r="P23" i="47"/>
  <c r="O26" i="51"/>
  <c r="P23" i="53"/>
  <c r="O26" i="54"/>
  <c r="O26" i="53"/>
  <c r="O26" i="49"/>
  <c r="O26" i="42"/>
  <c r="O58" i="56"/>
  <c r="O14" i="49"/>
  <c r="O58" i="47"/>
  <c r="O14" i="47"/>
  <c r="O58" i="43"/>
  <c r="O14" i="43"/>
  <c r="O14" i="42"/>
  <c r="O58" i="41"/>
  <c r="P45" i="53"/>
  <c r="O13" i="39"/>
  <c r="P45" i="54"/>
  <c r="O36" i="54"/>
  <c r="N36" i="41"/>
  <c r="N26" i="40"/>
  <c r="P39" i="44"/>
  <c r="O14" i="38"/>
  <c r="N26" i="44"/>
  <c r="N49" i="35"/>
  <c r="N42" i="51"/>
  <c r="N49" i="55"/>
  <c r="N14" i="41"/>
  <c r="O14" i="53"/>
  <c r="O14" i="55"/>
  <c r="O14" i="44"/>
  <c r="O26" i="35"/>
  <c r="O14" i="46"/>
  <c r="N14" i="53"/>
  <c r="O36" i="35"/>
  <c r="P45" i="55"/>
  <c r="O49" i="35"/>
  <c r="O42" i="35"/>
  <c r="O42" i="50"/>
  <c r="N26" i="49"/>
  <c r="O36" i="52"/>
  <c r="O14" i="41"/>
  <c r="O14" i="54"/>
  <c r="O49" i="44"/>
  <c r="O36" i="50"/>
  <c r="N26" i="52"/>
  <c r="N42" i="41"/>
  <c r="N36" i="43"/>
  <c r="O14" i="51"/>
  <c r="P21" i="53"/>
  <c r="N26" i="42"/>
  <c r="N49" i="46"/>
  <c r="N36" i="51"/>
  <c r="N42" i="38"/>
  <c r="P45" i="52"/>
  <c r="N36" i="54"/>
  <c r="N26" i="47"/>
  <c r="P48" i="44"/>
  <c r="P13" i="44"/>
  <c r="N42" i="50"/>
  <c r="N49" i="50"/>
  <c r="N42" i="44"/>
  <c r="N49" i="56"/>
  <c r="N14" i="51"/>
  <c r="N36" i="53"/>
  <c r="P39" i="54"/>
  <c r="N49" i="54"/>
  <c r="N26" i="48"/>
  <c r="N26" i="56"/>
  <c r="N49" i="38"/>
  <c r="N49" i="49"/>
  <c r="N36" i="49"/>
  <c r="N26" i="43"/>
  <c r="N42" i="45"/>
  <c r="N42" i="48"/>
  <c r="N36" i="48"/>
  <c r="N26" i="54"/>
  <c r="N26" i="41"/>
  <c r="N26" i="55"/>
  <c r="N26" i="38"/>
  <c r="N42" i="47"/>
  <c r="N14" i="40"/>
  <c r="N26" i="46"/>
  <c r="N42" i="52"/>
  <c r="N26" i="50"/>
  <c r="N26" i="35"/>
  <c r="N14" i="35"/>
  <c r="N49" i="53"/>
  <c r="N36" i="38"/>
  <c r="N42" i="49"/>
  <c r="N42" i="42"/>
  <c r="P13" i="55"/>
  <c r="N49" i="45"/>
  <c r="N14" i="48"/>
  <c r="N49" i="40"/>
  <c r="N14" i="44"/>
  <c r="N44" i="39"/>
  <c r="N45" i="39"/>
  <c r="N46" i="39"/>
  <c r="N42" i="46"/>
  <c r="N49" i="41"/>
  <c r="N42" i="43"/>
  <c r="N14" i="43"/>
  <c r="N23" i="39"/>
  <c r="N39" i="39"/>
  <c r="N34" i="39"/>
  <c r="N26" i="53"/>
  <c r="N42" i="53"/>
  <c r="N49" i="51"/>
  <c r="N42" i="54"/>
  <c r="N36" i="52"/>
  <c r="N42" i="55"/>
  <c r="N14" i="47"/>
  <c r="N58" i="47"/>
  <c r="P21" i="45"/>
  <c r="N36" i="40"/>
  <c r="N42" i="40"/>
  <c r="N36" i="50"/>
  <c r="N36" i="44"/>
  <c r="N14" i="56"/>
  <c r="N28" i="39"/>
  <c r="N14" i="54"/>
  <c r="N14" i="52"/>
  <c r="N49" i="52"/>
  <c r="N36" i="55"/>
  <c r="N14" i="50"/>
  <c r="N42" i="56"/>
  <c r="N47" i="39"/>
  <c r="N48" i="39"/>
  <c r="N49" i="42"/>
  <c r="N49" i="47"/>
  <c r="N36" i="56"/>
  <c r="N24" i="39"/>
  <c r="N25" i="39"/>
  <c r="N35" i="39"/>
  <c r="N26" i="45"/>
  <c r="N36" i="42"/>
  <c r="N32" i="39"/>
  <c r="N29" i="39"/>
  <c r="N14" i="38"/>
  <c r="N49" i="43"/>
  <c r="N36" i="45"/>
  <c r="N49" i="48"/>
  <c r="N49" i="44"/>
  <c r="N42" i="35"/>
  <c r="N38" i="39"/>
  <c r="N36" i="35"/>
  <c r="N33" i="39"/>
  <c r="M58" i="39"/>
  <c r="N14" i="55"/>
  <c r="N36" i="47"/>
  <c r="P13" i="47"/>
  <c r="P25" i="54"/>
  <c r="P21" i="44"/>
  <c r="P25" i="52"/>
  <c r="M49" i="39"/>
  <c r="P41" i="52"/>
  <c r="P45" i="47"/>
  <c r="P23" i="48"/>
  <c r="P33" i="50"/>
  <c r="P57" i="52"/>
  <c r="P35" i="55"/>
  <c r="M36" i="39"/>
  <c r="P28" i="53"/>
  <c r="P13" i="50"/>
  <c r="P57" i="42"/>
  <c r="P32" i="42"/>
  <c r="P33" i="42"/>
  <c r="P35" i="54"/>
  <c r="P47" i="48"/>
  <c r="M14" i="39"/>
  <c r="P33" i="53"/>
  <c r="P25" i="48"/>
  <c r="P46" i="53"/>
  <c r="P35" i="53"/>
  <c r="P25" i="47"/>
  <c r="P21" i="47"/>
  <c r="P44" i="55"/>
  <c r="P24" i="55"/>
  <c r="P46" i="55"/>
  <c r="P41" i="47"/>
  <c r="P44" i="52"/>
  <c r="P13" i="52"/>
  <c r="P33" i="48"/>
  <c r="P44" i="38"/>
  <c r="P34" i="38"/>
  <c r="P38" i="55"/>
  <c r="P25" i="55"/>
  <c r="P39" i="55"/>
  <c r="P23" i="55"/>
  <c r="P29" i="47"/>
  <c r="P38" i="47"/>
  <c r="P35" i="45"/>
  <c r="P34" i="52"/>
  <c r="P46" i="52"/>
  <c r="P21" i="55"/>
  <c r="P13" i="45"/>
  <c r="P25" i="44"/>
  <c r="P48" i="54"/>
  <c r="P39" i="43"/>
  <c r="P38" i="45"/>
  <c r="P45" i="44"/>
  <c r="P21" i="52"/>
  <c r="P34" i="42"/>
  <c r="P48" i="55"/>
  <c r="P44" i="42"/>
  <c r="P47" i="44"/>
  <c r="P28" i="52"/>
  <c r="P35" i="42"/>
  <c r="P48" i="48"/>
  <c r="P34" i="53"/>
  <c r="P45" i="38"/>
  <c r="P12" i="47"/>
  <c r="P24" i="47"/>
  <c r="P48" i="47"/>
  <c r="P39" i="45"/>
  <c r="P33" i="45"/>
  <c r="P23" i="44"/>
  <c r="P29" i="41"/>
  <c r="P28" i="41"/>
  <c r="P57" i="43"/>
  <c r="P41" i="45"/>
  <c r="P35" i="44"/>
  <c r="P13" i="42"/>
  <c r="P29" i="55"/>
  <c r="P45" i="45"/>
  <c r="P33" i="44"/>
  <c r="P24" i="38"/>
  <c r="P24" i="52"/>
  <c r="P41" i="38"/>
  <c r="P38" i="52"/>
  <c r="P32" i="45"/>
  <c r="P57" i="35"/>
  <c r="P57" i="48"/>
  <c r="P39" i="48"/>
  <c r="P46" i="44"/>
  <c r="P13" i="53"/>
  <c r="P41" i="54"/>
  <c r="P47" i="55"/>
  <c r="P32" i="47"/>
  <c r="P46" i="45"/>
  <c r="P32" i="44"/>
  <c r="P44" i="48"/>
  <c r="P24" i="42"/>
  <c r="P38" i="53"/>
  <c r="P29" i="53"/>
  <c r="P23" i="50"/>
  <c r="P23" i="52"/>
  <c r="P23" i="42"/>
  <c r="P29" i="54"/>
  <c r="P24" i="54"/>
  <c r="P21" i="54"/>
  <c r="P28" i="55"/>
  <c r="P34" i="47"/>
  <c r="P29" i="48"/>
  <c r="P24" i="44"/>
  <c r="P38" i="44"/>
  <c r="P25" i="53"/>
  <c r="P29" i="52"/>
  <c r="P57" i="54"/>
  <c r="P46" i="54"/>
  <c r="P34" i="54"/>
  <c r="P57" i="55"/>
  <c r="P32" i="55"/>
  <c r="P35" i="47"/>
  <c r="P48" i="45"/>
  <c r="P28" i="48"/>
  <c r="P45" i="48"/>
  <c r="P28" i="44"/>
  <c r="P34" i="44"/>
  <c r="P32" i="52"/>
  <c r="P23" i="45"/>
  <c r="P39" i="52"/>
  <c r="P23" i="54"/>
  <c r="P34" i="55"/>
  <c r="P33" i="47"/>
  <c r="P57" i="47"/>
  <c r="P34" i="43"/>
  <c r="P25" i="45"/>
  <c r="P47" i="45"/>
  <c r="P35" i="48"/>
  <c r="R10" i="38"/>
  <c r="P25" i="42"/>
  <c r="N56" i="55"/>
  <c r="P12" i="55"/>
  <c r="P45" i="49"/>
  <c r="P29" i="49"/>
  <c r="N56" i="41"/>
  <c r="P12" i="41"/>
  <c r="P41" i="41"/>
  <c r="P24" i="41"/>
  <c r="P57" i="45"/>
  <c r="P41" i="46"/>
  <c r="P25" i="46"/>
  <c r="P47" i="46"/>
  <c r="P34" i="48"/>
  <c r="P35" i="43"/>
  <c r="P32" i="43"/>
  <c r="P33" i="40"/>
  <c r="P57" i="40"/>
  <c r="P45" i="40"/>
  <c r="P24" i="50"/>
  <c r="P57" i="50"/>
  <c r="P25" i="51"/>
  <c r="P13" i="51"/>
  <c r="P13" i="38"/>
  <c r="P21" i="56"/>
  <c r="N56" i="56"/>
  <c r="P12" i="56"/>
  <c r="P35" i="56"/>
  <c r="P44" i="35"/>
  <c r="P32" i="35"/>
  <c r="N56" i="49"/>
  <c r="P12" i="49"/>
  <c r="P48" i="52"/>
  <c r="P21" i="42"/>
  <c r="P46" i="42"/>
  <c r="P48" i="42"/>
  <c r="P47" i="54"/>
  <c r="P35" i="52"/>
  <c r="P32" i="49"/>
  <c r="P39" i="49"/>
  <c r="P38" i="49"/>
  <c r="P23" i="41"/>
  <c r="P47" i="41"/>
  <c r="P34" i="45"/>
  <c r="P33" i="46"/>
  <c r="P57" i="46"/>
  <c r="P38" i="48"/>
  <c r="P46" i="48"/>
  <c r="P29" i="43"/>
  <c r="P25" i="43"/>
  <c r="P47" i="40"/>
  <c r="P28" i="40"/>
  <c r="P24" i="40"/>
  <c r="P38" i="40"/>
  <c r="P41" i="44"/>
  <c r="P48" i="50"/>
  <c r="P32" i="50"/>
  <c r="P23" i="51"/>
  <c r="P39" i="51"/>
  <c r="P28" i="51"/>
  <c r="P47" i="38"/>
  <c r="P25" i="56"/>
  <c r="P39" i="35"/>
  <c r="N12" i="39"/>
  <c r="N56" i="35"/>
  <c r="N58" i="35" s="1"/>
  <c r="P12" i="35"/>
  <c r="P32" i="54"/>
  <c r="N56" i="52"/>
  <c r="P12" i="52"/>
  <c r="P46" i="49"/>
  <c r="P28" i="49"/>
  <c r="P41" i="49"/>
  <c r="P44" i="49"/>
  <c r="P34" i="41"/>
  <c r="R10" i="43"/>
  <c r="N56" i="45"/>
  <c r="P56" i="45" s="1"/>
  <c r="P12" i="45"/>
  <c r="P28" i="46"/>
  <c r="P45" i="46"/>
  <c r="P21" i="46"/>
  <c r="P45" i="43"/>
  <c r="P21" i="43"/>
  <c r="P48" i="43"/>
  <c r="R10" i="50"/>
  <c r="P46" i="50"/>
  <c r="P47" i="50"/>
  <c r="P45" i="51"/>
  <c r="P38" i="51"/>
  <c r="P32" i="51"/>
  <c r="P38" i="38"/>
  <c r="P47" i="56"/>
  <c r="P46" i="56"/>
  <c r="P41" i="35"/>
  <c r="P33" i="35"/>
  <c r="N56" i="53"/>
  <c r="P12" i="53"/>
  <c r="R10" i="49"/>
  <c r="P41" i="42"/>
  <c r="P57" i="49"/>
  <c r="P13" i="49"/>
  <c r="P46" i="41"/>
  <c r="P38" i="41"/>
  <c r="P32" i="41"/>
  <c r="P44" i="45"/>
  <c r="P46" i="46"/>
  <c r="P44" i="46"/>
  <c r="P24" i="46"/>
  <c r="P24" i="48"/>
  <c r="P13" i="43"/>
  <c r="P24" i="43"/>
  <c r="P46" i="43"/>
  <c r="P21" i="40"/>
  <c r="P44" i="40"/>
  <c r="P33" i="51"/>
  <c r="P33" i="38"/>
  <c r="P39" i="38"/>
  <c r="P45" i="56"/>
  <c r="P24" i="56"/>
  <c r="P39" i="56"/>
  <c r="P23" i="56"/>
  <c r="P47" i="35"/>
  <c r="P48" i="35"/>
  <c r="P45" i="35"/>
  <c r="N56" i="51"/>
  <c r="P12" i="51"/>
  <c r="N56" i="38"/>
  <c r="P12" i="38"/>
  <c r="P47" i="42"/>
  <c r="P39" i="42"/>
  <c r="P38" i="42"/>
  <c r="R10" i="52"/>
  <c r="P34" i="49"/>
  <c r="P47" i="49"/>
  <c r="P44" i="41"/>
  <c r="P33" i="41"/>
  <c r="P57" i="41"/>
  <c r="P28" i="45"/>
  <c r="P29" i="46"/>
  <c r="P35" i="46"/>
  <c r="P48" i="46"/>
  <c r="N56" i="48"/>
  <c r="P12" i="48"/>
  <c r="P21" i="48"/>
  <c r="P47" i="43"/>
  <c r="P38" i="43"/>
  <c r="P23" i="43"/>
  <c r="P46" i="40"/>
  <c r="P32" i="40"/>
  <c r="P56" i="47"/>
  <c r="N56" i="50"/>
  <c r="P12" i="50"/>
  <c r="P25" i="50"/>
  <c r="P34" i="50"/>
  <c r="P48" i="51"/>
  <c r="P24" i="51"/>
  <c r="P34" i="51"/>
  <c r="P57" i="38"/>
  <c r="P21" i="38"/>
  <c r="P48" i="38"/>
  <c r="P34" i="56"/>
  <c r="N13" i="39"/>
  <c r="P13" i="35"/>
  <c r="P46" i="35"/>
  <c r="N56" i="46"/>
  <c r="P12" i="46"/>
  <c r="R10" i="51"/>
  <c r="P47" i="52"/>
  <c r="R10" i="42"/>
  <c r="P45" i="42"/>
  <c r="P28" i="42"/>
  <c r="P38" i="54"/>
  <c r="P13" i="54"/>
  <c r="P33" i="54"/>
  <c r="P44" i="54"/>
  <c r="P25" i="49"/>
  <c r="P35" i="49"/>
  <c r="P23" i="49"/>
  <c r="P33" i="49"/>
  <c r="P13" i="41"/>
  <c r="P25" i="41"/>
  <c r="P45" i="41"/>
  <c r="P29" i="45"/>
  <c r="P24" i="45"/>
  <c r="P38" i="46"/>
  <c r="P23" i="46"/>
  <c r="P41" i="48"/>
  <c r="P44" i="43"/>
  <c r="N56" i="40"/>
  <c r="P12" i="40"/>
  <c r="P39" i="40"/>
  <c r="P23" i="40"/>
  <c r="P25" i="40"/>
  <c r="P38" i="50"/>
  <c r="P28" i="50"/>
  <c r="P44" i="51"/>
  <c r="P41" i="51"/>
  <c r="P23" i="38"/>
  <c r="P29" i="38"/>
  <c r="P32" i="38"/>
  <c r="N56" i="44"/>
  <c r="P12" i="44"/>
  <c r="P38" i="56"/>
  <c r="P13" i="56"/>
  <c r="P41" i="56"/>
  <c r="P34" i="35"/>
  <c r="O56" i="35"/>
  <c r="O58" i="35" s="1"/>
  <c r="O12" i="39"/>
  <c r="O56" i="39" s="1"/>
  <c r="N56" i="42"/>
  <c r="P12" i="42"/>
  <c r="R10" i="54"/>
  <c r="P24" i="49"/>
  <c r="P21" i="49"/>
  <c r="P39" i="41"/>
  <c r="P48" i="41"/>
  <c r="N56" i="43"/>
  <c r="P12" i="43"/>
  <c r="P48" i="40"/>
  <c r="P29" i="40"/>
  <c r="P34" i="40"/>
  <c r="P46" i="51"/>
  <c r="P57" i="51"/>
  <c r="P48" i="56"/>
  <c r="P32" i="56"/>
  <c r="P44" i="56"/>
  <c r="P33" i="56"/>
  <c r="N56" i="54"/>
  <c r="P12" i="54"/>
  <c r="P48" i="49"/>
  <c r="P21" i="41"/>
  <c r="P35" i="41"/>
  <c r="P39" i="46"/>
  <c r="P13" i="46"/>
  <c r="P34" i="46"/>
  <c r="P32" i="46"/>
  <c r="R10" i="48"/>
  <c r="P33" i="43"/>
  <c r="P28" i="43"/>
  <c r="P41" i="43"/>
  <c r="P41" i="40"/>
  <c r="P13" i="40"/>
  <c r="P35" i="50"/>
  <c r="P45" i="50"/>
  <c r="P44" i="50"/>
  <c r="P29" i="51"/>
  <c r="P21" i="51"/>
  <c r="P47" i="51"/>
  <c r="P35" i="51"/>
  <c r="P28" i="38"/>
  <c r="P46" i="38"/>
  <c r="P28" i="56"/>
  <c r="P57" i="56"/>
  <c r="P29" i="56"/>
  <c r="P38" i="35"/>
  <c r="P35" i="35"/>
  <c r="H14" i="58" a="1"/>
  <c r="H13" i="58" a="1"/>
  <c r="J23" i="58" a="1"/>
  <c r="J16" i="58" a="1"/>
  <c r="G20" i="58" a="1"/>
  <c r="G26" i="58" a="1"/>
  <c r="G14" i="58" a="1"/>
  <c r="G240" i="63" a="1"/>
  <c r="H27" i="58" a="1"/>
  <c r="J14" i="58" a="1"/>
  <c r="G23" i="58" a="1"/>
  <c r="D145" i="63" a="1"/>
  <c r="F240" i="63" a="1"/>
  <c r="J27" i="58" a="1"/>
  <c r="J24" i="58" a="1"/>
  <c r="G25" i="58" a="1"/>
  <c r="H10" i="58" a="1"/>
  <c r="H22" i="58" a="1"/>
  <c r="J28" i="58" a="1"/>
  <c r="J12" i="58" a="1"/>
  <c r="H21" i="58" a="1"/>
  <c r="H17" i="58" a="1"/>
  <c r="J15" i="58" a="1"/>
  <c r="J13" i="58" a="1"/>
  <c r="G13" i="58" a="1"/>
  <c r="H15" i="58" a="1"/>
  <c r="J19" i="58" a="1"/>
  <c r="G18" i="58" a="1"/>
  <c r="J18" i="58" a="1"/>
  <c r="G17" i="58" a="1"/>
  <c r="G21" i="58" a="1"/>
  <c r="J25" i="58" a="1"/>
  <c r="H11" i="58" a="1"/>
  <c r="H12" i="58" a="1"/>
  <c r="H26" i="58" a="1"/>
  <c r="H24" i="58" a="1"/>
  <c r="G10" i="58" a="1"/>
  <c r="H16" i="58" a="1"/>
  <c r="G28" i="58" a="1"/>
  <c r="G22" i="58" a="1"/>
  <c r="G27" i="58" a="1"/>
  <c r="H18" i="58" a="1"/>
  <c r="H19" i="58" a="1"/>
  <c r="J17" i="58" a="1"/>
  <c r="H20" i="58" a="1"/>
  <c r="J21" i="58" a="1"/>
  <c r="J11" i="58" a="1"/>
  <c r="H23" i="58" a="1"/>
  <c r="G11" i="58" a="1"/>
  <c r="G15" i="58" a="1"/>
  <c r="G12" i="58" a="1"/>
  <c r="D239" i="63" a="1"/>
  <c r="H25" i="58" a="1"/>
  <c r="G16" i="58" a="1"/>
  <c r="J20" i="58" a="1"/>
  <c r="H28" i="58" a="1"/>
  <c r="J10" i="58" a="1"/>
  <c r="G24" i="58" a="1"/>
  <c r="D144" i="63" a="1"/>
  <c r="G19" i="58" a="1"/>
  <c r="F241" i="63" a="1"/>
  <c r="J26" i="58" a="1"/>
  <c r="J22" i="58" a="1"/>
  <c r="G241" i="63" a="1"/>
  <c r="F241" i="63" l="1"/>
  <c r="F240" i="63"/>
  <c r="D239" i="63"/>
  <c r="D144" i="63"/>
  <c r="D145" i="63"/>
  <c r="O18" i="39"/>
  <c r="G240" i="63"/>
  <c r="G241" i="63"/>
  <c r="P18" i="51"/>
  <c r="P26" i="51" s="1"/>
  <c r="N26" i="51"/>
  <c r="N18" i="39"/>
  <c r="J10" i="58"/>
  <c r="P26" i="35"/>
  <c r="O17" i="27"/>
  <c r="P17" i="27"/>
  <c r="O42" i="39"/>
  <c r="O36" i="39"/>
  <c r="N42" i="39"/>
  <c r="H33" i="27"/>
  <c r="H16" i="27" s="1"/>
  <c r="I16" i="27" s="1"/>
  <c r="N58" i="45"/>
  <c r="Q15" i="27"/>
  <c r="H24" i="58"/>
  <c r="P14" i="44"/>
  <c r="P10" i="44" s="1"/>
  <c r="P36" i="42"/>
  <c r="P36" i="56"/>
  <c r="P36" i="35"/>
  <c r="P36" i="40"/>
  <c r="P36" i="38"/>
  <c r="P36" i="53"/>
  <c r="P36" i="43"/>
  <c r="P36" i="49"/>
  <c r="P36" i="44"/>
  <c r="P36" i="55"/>
  <c r="P36" i="50"/>
  <c r="P36" i="46"/>
  <c r="P36" i="41"/>
  <c r="P36" i="47"/>
  <c r="P36" i="48"/>
  <c r="P36" i="54"/>
  <c r="G28" i="58"/>
  <c r="H23" i="58"/>
  <c r="G15" i="58"/>
  <c r="G16" i="58"/>
  <c r="H15" i="58"/>
  <c r="H17" i="58"/>
  <c r="G25" i="58"/>
  <c r="H16" i="58"/>
  <c r="H14" i="58"/>
  <c r="H22" i="58"/>
  <c r="G27" i="58"/>
  <c r="G20" i="58"/>
  <c r="G23" i="58"/>
  <c r="G18" i="58"/>
  <c r="H25" i="58"/>
  <c r="G13" i="58"/>
  <c r="G10" i="58"/>
  <c r="H20" i="58"/>
  <c r="G17" i="58"/>
  <c r="G14" i="58"/>
  <c r="H13" i="58"/>
  <c r="G12" i="58"/>
  <c r="H10" i="58"/>
  <c r="G19" i="58"/>
  <c r="G24" i="58"/>
  <c r="G11" i="58"/>
  <c r="H26" i="58"/>
  <c r="H18" i="58"/>
  <c r="G22" i="58"/>
  <c r="H27" i="58"/>
  <c r="H12" i="58"/>
  <c r="H11" i="58"/>
  <c r="H28" i="58"/>
  <c r="H19" i="58"/>
  <c r="G26" i="58"/>
  <c r="P26" i="42"/>
  <c r="P36" i="45"/>
  <c r="P36" i="52"/>
  <c r="P42" i="47"/>
  <c r="P42" i="42"/>
  <c r="P42" i="35"/>
  <c r="P42" i="41"/>
  <c r="P42" i="53"/>
  <c r="P36" i="51"/>
  <c r="G21" i="58"/>
  <c r="H21" i="58"/>
  <c r="P42" i="40"/>
  <c r="P49" i="35"/>
  <c r="P49" i="41"/>
  <c r="P26" i="41"/>
  <c r="P42" i="43"/>
  <c r="P26" i="43"/>
  <c r="P16" i="43" s="1"/>
  <c r="P26" i="40"/>
  <c r="P16" i="40" s="1"/>
  <c r="P42" i="46"/>
  <c r="P42" i="55"/>
  <c r="P42" i="48"/>
  <c r="P42" i="51"/>
  <c r="P42" i="54"/>
  <c r="P42" i="56"/>
  <c r="P42" i="38"/>
  <c r="P42" i="50"/>
  <c r="P42" i="52"/>
  <c r="P42" i="44"/>
  <c r="P42" i="45"/>
  <c r="P42" i="49"/>
  <c r="P14" i="50"/>
  <c r="P10" i="50" s="1"/>
  <c r="P14" i="52"/>
  <c r="M10" i="52" s="1"/>
  <c r="P14" i="55"/>
  <c r="M10" i="55" s="1"/>
  <c r="P49" i="53"/>
  <c r="P14" i="48"/>
  <c r="M10" i="48" s="1"/>
  <c r="O49" i="39"/>
  <c r="N26" i="39"/>
  <c r="O58" i="39"/>
  <c r="O26" i="39"/>
  <c r="O14" i="39"/>
  <c r="P26" i="53"/>
  <c r="P14" i="47"/>
  <c r="P10" i="47" s="1"/>
  <c r="J24" i="58"/>
  <c r="P49" i="38"/>
  <c r="J16" i="58"/>
  <c r="P56" i="46"/>
  <c r="P58" i="46" s="1"/>
  <c r="P60" i="46" s="1"/>
  <c r="N58" i="46"/>
  <c r="P56" i="52"/>
  <c r="P58" i="52" s="1"/>
  <c r="P60" i="52" s="1"/>
  <c r="N58" i="52"/>
  <c r="P56" i="50"/>
  <c r="P58" i="50" s="1"/>
  <c r="P60" i="50" s="1"/>
  <c r="N58" i="50"/>
  <c r="P56" i="49"/>
  <c r="P58" i="49" s="1"/>
  <c r="P60" i="49" s="1"/>
  <c r="N58" i="49"/>
  <c r="P49" i="55"/>
  <c r="P56" i="38"/>
  <c r="P58" i="38" s="1"/>
  <c r="P60" i="38" s="1"/>
  <c r="N58" i="38"/>
  <c r="N14" i="39"/>
  <c r="P56" i="56"/>
  <c r="P58" i="56" s="1"/>
  <c r="P60" i="56" s="1"/>
  <c r="N58" i="56"/>
  <c r="P56" i="55"/>
  <c r="P58" i="55" s="1"/>
  <c r="P60" i="55" s="1"/>
  <c r="N58" i="55"/>
  <c r="P56" i="54"/>
  <c r="P58" i="54" s="1"/>
  <c r="P60" i="54" s="1"/>
  <c r="N58" i="54"/>
  <c r="P56" i="44"/>
  <c r="P58" i="44" s="1"/>
  <c r="P60" i="44" s="1"/>
  <c r="N58" i="44"/>
  <c r="P56" i="48"/>
  <c r="P58" i="48" s="1"/>
  <c r="P60" i="48" s="1"/>
  <c r="N58" i="48"/>
  <c r="N49" i="39"/>
  <c r="P56" i="53"/>
  <c r="P58" i="53" s="1"/>
  <c r="P60" i="53" s="1"/>
  <c r="N58" i="53"/>
  <c r="P56" i="51"/>
  <c r="P58" i="51" s="1"/>
  <c r="P60" i="51" s="1"/>
  <c r="N58" i="51"/>
  <c r="P56" i="42"/>
  <c r="P58" i="42" s="1"/>
  <c r="P60" i="42" s="1"/>
  <c r="N58" i="42"/>
  <c r="P56" i="43"/>
  <c r="P58" i="43" s="1"/>
  <c r="P60" i="43" s="1"/>
  <c r="N58" i="43"/>
  <c r="P56" i="41"/>
  <c r="P58" i="41" s="1"/>
  <c r="P60" i="41" s="1"/>
  <c r="N58" i="41"/>
  <c r="P56" i="40"/>
  <c r="P58" i="40" s="1"/>
  <c r="P60" i="40" s="1"/>
  <c r="N58" i="40"/>
  <c r="N36" i="39"/>
  <c r="J15" i="58"/>
  <c r="P49" i="54"/>
  <c r="P49" i="47"/>
  <c r="J17" i="58"/>
  <c r="J22" i="58"/>
  <c r="J20" i="58"/>
  <c r="J14" i="58"/>
  <c r="J25" i="58"/>
  <c r="J26" i="58"/>
  <c r="J27" i="58"/>
  <c r="J23" i="58"/>
  <c r="J13" i="58"/>
  <c r="J18" i="58"/>
  <c r="J12" i="58"/>
  <c r="J28" i="58"/>
  <c r="J19" i="58"/>
  <c r="J11" i="58"/>
  <c r="P14" i="45"/>
  <c r="M10" i="45" s="1"/>
  <c r="J21" i="58"/>
  <c r="P49" i="52"/>
  <c r="P26" i="55"/>
  <c r="P16" i="55" s="1"/>
  <c r="P26" i="47"/>
  <c r="P49" i="44"/>
  <c r="P14" i="53"/>
  <c r="M10" i="53" s="1"/>
  <c r="P26" i="52"/>
  <c r="P16" i="52" s="1"/>
  <c r="P14" i="51"/>
  <c r="M10" i="51" s="1"/>
  <c r="P14" i="42"/>
  <c r="P10" i="42" s="1"/>
  <c r="P26" i="54"/>
  <c r="P16" i="54" s="1"/>
  <c r="P58" i="47"/>
  <c r="P60" i="47" s="1"/>
  <c r="P14" i="54"/>
  <c r="P10" i="54" s="1"/>
  <c r="P14" i="43"/>
  <c r="M10" i="43" s="1"/>
  <c r="P14" i="38"/>
  <c r="P26" i="44"/>
  <c r="P16" i="44" s="1"/>
  <c r="P49" i="43"/>
  <c r="P49" i="48"/>
  <c r="P49" i="51"/>
  <c r="P58" i="45"/>
  <c r="P60" i="45" s="1"/>
  <c r="P49" i="45"/>
  <c r="P49" i="49"/>
  <c r="P14" i="46"/>
  <c r="M10" i="46" s="1"/>
  <c r="P49" i="56"/>
  <c r="P26" i="45"/>
  <c r="P26" i="38"/>
  <c r="P49" i="50"/>
  <c r="N56" i="39"/>
  <c r="P14" i="49"/>
  <c r="P26" i="50"/>
  <c r="P26" i="49"/>
  <c r="P16" i="49" s="1"/>
  <c r="P49" i="42"/>
  <c r="P14" i="56"/>
  <c r="M10" i="56" s="1"/>
  <c r="P49" i="46"/>
  <c r="P14" i="40"/>
  <c r="P49" i="40"/>
  <c r="P26" i="56"/>
  <c r="P26" i="46"/>
  <c r="P14" i="35"/>
  <c r="P26" i="48"/>
  <c r="P16" i="48" s="1"/>
  <c r="P56" i="35"/>
  <c r="P58" i="35" s="1"/>
  <c r="P60" i="35" s="1"/>
  <c r="P14" i="41"/>
  <c r="I22" i="57" a="1"/>
  <c r="I9" i="57" a="1"/>
  <c r="M23" i="57" a="1"/>
  <c r="I27" i="57" a="1"/>
  <c r="I13" i="57" a="1"/>
  <c r="I16" i="57" a="1"/>
  <c r="D241" i="63" a="1"/>
  <c r="M12" i="57" a="1"/>
  <c r="S19" i="59" a="1"/>
  <c r="M11" i="57" a="1"/>
  <c r="S25" i="59" a="1"/>
  <c r="I19" i="57" a="1"/>
  <c r="M27" i="57" a="1"/>
  <c r="S17" i="59" a="1"/>
  <c r="S14" i="59" a="1"/>
  <c r="D240" i="63" a="1"/>
  <c r="M14" i="57" a="1"/>
  <c r="S9" i="59" a="1"/>
  <c r="S13" i="59" a="1"/>
  <c r="M21" i="57" a="1"/>
  <c r="E17" i="57" a="1"/>
  <c r="E24" i="57" a="1"/>
  <c r="I24" i="57" a="1"/>
  <c r="S16" i="59" a="1"/>
  <c r="E21" i="57" a="1"/>
  <c r="I21" i="57" a="1"/>
  <c r="E12" i="57" a="1"/>
  <c r="M26" i="57" a="1"/>
  <c r="I23" i="57" a="1"/>
  <c r="I12" i="57" a="1"/>
  <c r="M13" i="57" a="1"/>
  <c r="I18" i="57" a="1"/>
  <c r="I15" i="57" a="1"/>
  <c r="M24" i="57" a="1"/>
  <c r="S10" i="59" a="1"/>
  <c r="M9" i="57" a="1"/>
  <c r="S18" i="59" a="1"/>
  <c r="I26" i="57" a="1"/>
  <c r="I14" i="57" a="1"/>
  <c r="S20" i="59" a="1"/>
  <c r="S26" i="59" a="1"/>
  <c r="M16" i="57" a="1"/>
  <c r="M25" i="57" a="1"/>
  <c r="S23" i="59" a="1"/>
  <c r="E14" i="57" a="1"/>
  <c r="I20" i="57" a="1"/>
  <c r="M20" i="57" a="1"/>
  <c r="M18" i="57" a="1"/>
  <c r="S15" i="59" a="1"/>
  <c r="M22" i="57" a="1"/>
  <c r="I11" i="57" a="1"/>
  <c r="I25" i="57" a="1"/>
  <c r="S24" i="59" a="1"/>
  <c r="S11" i="59" a="1"/>
  <c r="S12" i="59" a="1"/>
  <c r="M15" i="57" a="1"/>
  <c r="I17" i="57" a="1"/>
  <c r="S21" i="59" a="1"/>
  <c r="S22" i="59" a="1"/>
  <c r="M19" i="57" a="1"/>
  <c r="M10" i="57" a="1"/>
  <c r="M17" i="57" a="1"/>
  <c r="I10" i="57" a="1"/>
  <c r="S27" i="59" a="1"/>
  <c r="P16" i="45" l="1"/>
  <c r="P16" i="35"/>
  <c r="P16" i="53"/>
  <c r="P16" i="42"/>
  <c r="P51" i="42" s="1"/>
  <c r="P16" i="46"/>
  <c r="P16" i="50"/>
  <c r="P51" i="50" s="1"/>
  <c r="P16" i="56"/>
  <c r="P16" i="47"/>
  <c r="P51" i="47" s="1"/>
  <c r="P16" i="41"/>
  <c r="P16" i="38"/>
  <c r="J16" i="38" s="1"/>
  <c r="P16" i="51"/>
  <c r="D241" i="63"/>
  <c r="D240" i="63"/>
  <c r="K10" i="58"/>
  <c r="D16" i="54"/>
  <c r="P51" i="54"/>
  <c r="D16" i="53"/>
  <c r="D16" i="47"/>
  <c r="P51" i="44"/>
  <c r="D16" i="52"/>
  <c r="Q17" i="27"/>
  <c r="P16" i="27"/>
  <c r="O16" i="27"/>
  <c r="H29" i="58"/>
  <c r="I9" i="57"/>
  <c r="K9" i="57" s="1"/>
  <c r="M10" i="44"/>
  <c r="P10" i="52"/>
  <c r="M24" i="57"/>
  <c r="O24" i="57" s="1"/>
  <c r="P24" i="57" s="1"/>
  <c r="S24" i="59"/>
  <c r="M17" i="57"/>
  <c r="O17" i="57" s="1"/>
  <c r="P17" i="57" s="1"/>
  <c r="S17" i="59"/>
  <c r="M19" i="57"/>
  <c r="O19" i="57" s="1"/>
  <c r="P19" i="57" s="1"/>
  <c r="S19" i="59"/>
  <c r="S22" i="59"/>
  <c r="M22" i="57"/>
  <c r="O22" i="57" s="1"/>
  <c r="P22" i="57" s="1"/>
  <c r="S20" i="59"/>
  <c r="S15" i="59"/>
  <c r="M15" i="57"/>
  <c r="O15" i="57" s="1"/>
  <c r="P15" i="57" s="1"/>
  <c r="M14" i="57"/>
  <c r="O14" i="57" s="1"/>
  <c r="P14" i="57" s="1"/>
  <c r="S14" i="59"/>
  <c r="M18" i="57"/>
  <c r="O18" i="57" s="1"/>
  <c r="P18" i="57" s="1"/>
  <c r="S18" i="59"/>
  <c r="M13" i="57"/>
  <c r="O13" i="57" s="1"/>
  <c r="P13" i="57" s="1"/>
  <c r="S13" i="59"/>
  <c r="M25" i="57"/>
  <c r="O25" i="57" s="1"/>
  <c r="P25" i="57" s="1"/>
  <c r="S25" i="59"/>
  <c r="M23" i="57"/>
  <c r="O23" i="57" s="1"/>
  <c r="P23" i="57" s="1"/>
  <c r="S23" i="59"/>
  <c r="M21" i="57"/>
  <c r="O21" i="57" s="1"/>
  <c r="P21" i="57" s="1"/>
  <c r="S21" i="59"/>
  <c r="M11" i="57"/>
  <c r="O11" i="57" s="1"/>
  <c r="P11" i="57" s="1"/>
  <c r="S11" i="59"/>
  <c r="M27" i="57"/>
  <c r="O27" i="57" s="1"/>
  <c r="P27" i="57" s="1"/>
  <c r="S27" i="59"/>
  <c r="M16" i="57"/>
  <c r="O16" i="57" s="1"/>
  <c r="P16" i="57" s="1"/>
  <c r="S16" i="59"/>
  <c r="M9" i="57"/>
  <c r="S9" i="59"/>
  <c r="M26" i="57"/>
  <c r="O26" i="57" s="1"/>
  <c r="P26" i="57" s="1"/>
  <c r="S26" i="59"/>
  <c r="M10" i="57"/>
  <c r="O10" i="57" s="1"/>
  <c r="P10" i="57" s="1"/>
  <c r="S10" i="59"/>
  <c r="M12" i="57"/>
  <c r="O12" i="57" s="1"/>
  <c r="P12" i="57" s="1"/>
  <c r="S12" i="59"/>
  <c r="M20" i="57"/>
  <c r="O20" i="57" s="1"/>
  <c r="P20" i="57" s="1"/>
  <c r="K22" i="58"/>
  <c r="K16" i="58"/>
  <c r="K24" i="58"/>
  <c r="K26" i="58"/>
  <c r="K23" i="58"/>
  <c r="K18" i="58"/>
  <c r="K21" i="58"/>
  <c r="K17" i="58"/>
  <c r="K28" i="58"/>
  <c r="K15" i="58"/>
  <c r="K27" i="58"/>
  <c r="K20" i="58"/>
  <c r="K19" i="58"/>
  <c r="K25" i="58"/>
  <c r="M10" i="50"/>
  <c r="P10" i="38"/>
  <c r="M10" i="38"/>
  <c r="P10" i="48"/>
  <c r="P10" i="55"/>
  <c r="G16" i="55"/>
  <c r="I23" i="57"/>
  <c r="K23" i="57" s="1"/>
  <c r="L23" i="57" s="1"/>
  <c r="M10" i="47"/>
  <c r="G16" i="44"/>
  <c r="G16" i="52"/>
  <c r="N58" i="39"/>
  <c r="P10" i="43"/>
  <c r="P10" i="45"/>
  <c r="G16" i="42"/>
  <c r="M10" i="42"/>
  <c r="I17" i="57"/>
  <c r="K17" i="57" s="1"/>
  <c r="L17" i="57" s="1"/>
  <c r="I15" i="57"/>
  <c r="K15" i="57" s="1"/>
  <c r="L15" i="57" s="1"/>
  <c r="I25" i="57"/>
  <c r="K25" i="57" s="1"/>
  <c r="L25" i="57" s="1"/>
  <c r="I21" i="57"/>
  <c r="I27" i="57"/>
  <c r="K27" i="57" s="1"/>
  <c r="L27" i="57" s="1"/>
  <c r="I18" i="57"/>
  <c r="I16" i="57"/>
  <c r="I14" i="57"/>
  <c r="K14" i="57" s="1"/>
  <c r="L14" i="57" s="1"/>
  <c r="I11" i="57"/>
  <c r="I12" i="57"/>
  <c r="I19" i="57"/>
  <c r="I26" i="57"/>
  <c r="I22" i="57"/>
  <c r="K22" i="57" s="1"/>
  <c r="L22" i="57" s="1"/>
  <c r="I13" i="57"/>
  <c r="K13" i="57" s="1"/>
  <c r="L13" i="57" s="1"/>
  <c r="I24" i="57"/>
  <c r="K24" i="57" s="1"/>
  <c r="L24" i="57" s="1"/>
  <c r="G16" i="54"/>
  <c r="D16" i="55"/>
  <c r="P10" i="53"/>
  <c r="D16" i="44"/>
  <c r="I10" i="57"/>
  <c r="I20" i="57"/>
  <c r="G16" i="45"/>
  <c r="P10" i="51"/>
  <c r="M10" i="54"/>
  <c r="G16" i="48"/>
  <c r="G16" i="49"/>
  <c r="G16" i="43"/>
  <c r="K14" i="58"/>
  <c r="G16" i="38"/>
  <c r="G16" i="51"/>
  <c r="G16" i="47"/>
  <c r="D16" i="43"/>
  <c r="P10" i="46"/>
  <c r="E17" i="57"/>
  <c r="G17" i="57" s="1"/>
  <c r="H17" i="57" s="1"/>
  <c r="G16" i="53"/>
  <c r="D16" i="45"/>
  <c r="D16" i="38"/>
  <c r="K13" i="58"/>
  <c r="E14" i="57"/>
  <c r="G14" i="57" s="1"/>
  <c r="H14" i="57" s="1"/>
  <c r="E24" i="57"/>
  <c r="G24" i="57" s="1"/>
  <c r="H24" i="57" s="1"/>
  <c r="E21" i="57"/>
  <c r="G21" i="57" s="1"/>
  <c r="H21" i="57" s="1"/>
  <c r="E12" i="57"/>
  <c r="G12" i="57" s="1"/>
  <c r="H12" i="57" s="1"/>
  <c r="D16" i="48"/>
  <c r="M10" i="40"/>
  <c r="P10" i="40"/>
  <c r="D16" i="49"/>
  <c r="M10" i="35"/>
  <c r="P10" i="35"/>
  <c r="D16" i="40"/>
  <c r="K12" i="58"/>
  <c r="D16" i="46"/>
  <c r="D16" i="51"/>
  <c r="D16" i="56"/>
  <c r="D16" i="50"/>
  <c r="G16" i="46"/>
  <c r="J29" i="58"/>
  <c r="P10" i="41"/>
  <c r="M10" i="41"/>
  <c r="G16" i="41"/>
  <c r="D16" i="35"/>
  <c r="G16" i="40"/>
  <c r="G16" i="35"/>
  <c r="K11" i="58"/>
  <c r="D16" i="41"/>
  <c r="D16" i="42"/>
  <c r="P10" i="56"/>
  <c r="G16" i="56"/>
  <c r="M10" i="49"/>
  <c r="P10" i="49"/>
  <c r="G16" i="50"/>
  <c r="E15" i="57" a="1"/>
  <c r="E11" i="57" a="1"/>
  <c r="E9" i="57" a="1"/>
  <c r="E10" i="57" a="1"/>
  <c r="E25" i="57" a="1"/>
  <c r="E13" i="57" a="1"/>
  <c r="U24" i="57" a="1"/>
  <c r="E26" i="57" a="1"/>
  <c r="E16" i="57" a="1"/>
  <c r="E22" i="57" a="1"/>
  <c r="E23" i="57" a="1"/>
  <c r="U12" i="57" a="1"/>
  <c r="E19" i="57" a="1"/>
  <c r="E18" i="57" a="1"/>
  <c r="U14" i="57" a="1"/>
  <c r="E20" i="57" a="1"/>
  <c r="U17" i="57" a="1"/>
  <c r="E27" i="57" a="1"/>
  <c r="U21" i="57" a="1"/>
  <c r="P51" i="49" l="1"/>
  <c r="P51" i="41"/>
  <c r="P51" i="43"/>
  <c r="P51" i="46"/>
  <c r="U12" i="57"/>
  <c r="U21" i="57"/>
  <c r="U14" i="57"/>
  <c r="U17" i="57"/>
  <c r="U24" i="57"/>
  <c r="J16" i="47"/>
  <c r="M16" i="54"/>
  <c r="P51" i="40"/>
  <c r="P53" i="40" s="1"/>
  <c r="P51" i="56"/>
  <c r="P51" i="48"/>
  <c r="P51" i="51"/>
  <c r="P51" i="53"/>
  <c r="P53" i="53" s="1"/>
  <c r="P51" i="35"/>
  <c r="P51" i="45"/>
  <c r="P51" i="55"/>
  <c r="M16" i="44"/>
  <c r="P51" i="52"/>
  <c r="P51" i="38"/>
  <c r="K29" i="58"/>
  <c r="K31" i="58" s="1"/>
  <c r="Q16" i="27"/>
  <c r="E22" i="57"/>
  <c r="G22" i="57" s="1"/>
  <c r="H22" i="57" s="1"/>
  <c r="G29" i="58"/>
  <c r="E27" i="57"/>
  <c r="G27" i="57" s="1"/>
  <c r="H27" i="57" s="1"/>
  <c r="E18" i="57"/>
  <c r="G18" i="57" s="1"/>
  <c r="H18" i="57" s="1"/>
  <c r="E25" i="57"/>
  <c r="G25" i="57" s="1"/>
  <c r="H25" i="57" s="1"/>
  <c r="E13" i="57"/>
  <c r="G13" i="57" s="1"/>
  <c r="H13" i="57" s="1"/>
  <c r="E15" i="57"/>
  <c r="G15" i="57" s="1"/>
  <c r="H15" i="57" s="1"/>
  <c r="M16" i="38"/>
  <c r="M16" i="43"/>
  <c r="M16" i="47"/>
  <c r="Q22" i="57"/>
  <c r="Q25" i="57"/>
  <c r="E23" i="57"/>
  <c r="G23" i="57" s="1"/>
  <c r="H23" i="57" s="1"/>
  <c r="M16" i="52"/>
  <c r="J16" i="52"/>
  <c r="E20" i="57"/>
  <c r="G20" i="57" s="1"/>
  <c r="H20" i="57" s="1"/>
  <c r="M16" i="55"/>
  <c r="J16" i="55"/>
  <c r="J16" i="54"/>
  <c r="J16" i="43"/>
  <c r="Q24" i="57"/>
  <c r="J16" i="44"/>
  <c r="Q14" i="57"/>
  <c r="Q17" i="57"/>
  <c r="E16" i="57"/>
  <c r="G16" i="57" s="1"/>
  <c r="H16" i="57" s="1"/>
  <c r="Q27" i="57"/>
  <c r="Q15" i="57"/>
  <c r="Q23" i="57"/>
  <c r="J16" i="45"/>
  <c r="M16" i="45"/>
  <c r="J16" i="53"/>
  <c r="M16" i="53"/>
  <c r="Q13" i="57"/>
  <c r="E19" i="57"/>
  <c r="G19" i="57" s="1"/>
  <c r="H19" i="57" s="1"/>
  <c r="E9" i="57"/>
  <c r="E26" i="57"/>
  <c r="G26" i="57" s="1"/>
  <c r="H26" i="57" s="1"/>
  <c r="E11" i="57"/>
  <c r="G11" i="57" s="1"/>
  <c r="H11" i="57" s="1"/>
  <c r="E10" i="57"/>
  <c r="G10" i="57" s="1"/>
  <c r="H10" i="57" s="1"/>
  <c r="P53" i="42"/>
  <c r="P53" i="50"/>
  <c r="Q16" i="57"/>
  <c r="K16" i="57"/>
  <c r="L16" i="57" s="1"/>
  <c r="J16" i="51"/>
  <c r="M16" i="51"/>
  <c r="M28" i="57"/>
  <c r="O28" i="57" s="1"/>
  <c r="P28" i="57" s="1"/>
  <c r="O9" i="57"/>
  <c r="P9" i="57" s="1"/>
  <c r="Q10" i="57"/>
  <c r="K10" i="57"/>
  <c r="L10" i="57" s="1"/>
  <c r="M16" i="46"/>
  <c r="J16" i="46"/>
  <c r="M16" i="50"/>
  <c r="J16" i="50"/>
  <c r="L9" i="57"/>
  <c r="I28" i="57"/>
  <c r="K28" i="57" s="1"/>
  <c r="L28" i="57" s="1"/>
  <c r="Q9" i="57"/>
  <c r="Q19" i="57"/>
  <c r="K19" i="57"/>
  <c r="L19" i="57" s="1"/>
  <c r="M16" i="35"/>
  <c r="J16" i="35"/>
  <c r="J16" i="49"/>
  <c r="M16" i="49"/>
  <c r="Q21" i="57"/>
  <c r="K21" i="57"/>
  <c r="L21" i="57" s="1"/>
  <c r="J16" i="42"/>
  <c r="M16" i="42"/>
  <c r="J16" i="56"/>
  <c r="M16" i="56"/>
  <c r="M16" i="40"/>
  <c r="J16" i="40"/>
  <c r="Q12" i="57"/>
  <c r="K12" i="57"/>
  <c r="L12" i="57" s="1"/>
  <c r="Q26" i="57"/>
  <c r="K26" i="57"/>
  <c r="L26" i="57" s="1"/>
  <c r="M16" i="41"/>
  <c r="J16" i="41"/>
  <c r="M16" i="48"/>
  <c r="J16" i="48"/>
  <c r="Q11" i="57"/>
  <c r="K11" i="57"/>
  <c r="L11" i="57" s="1"/>
  <c r="K20" i="57"/>
  <c r="L20" i="57" s="1"/>
  <c r="Q20" i="57"/>
  <c r="Q18" i="57"/>
  <c r="S18" i="57" s="1"/>
  <c r="T18" i="57" s="1"/>
  <c r="K18" i="57"/>
  <c r="L18" i="57" s="1"/>
  <c r="U10" i="57" a="1"/>
  <c r="U13" i="57" a="1"/>
  <c r="U19" i="57" a="1"/>
  <c r="U18" i="57" a="1"/>
  <c r="U27" i="57" a="1"/>
  <c r="U22" i="57" a="1"/>
  <c r="U26" i="57" a="1"/>
  <c r="V10" i="57" a="1"/>
  <c r="U23" i="57" a="1"/>
  <c r="V21" i="57" a="1"/>
  <c r="U25" i="57" a="1"/>
  <c r="U20" i="57" a="1"/>
  <c r="V12" i="57" a="1"/>
  <c r="U16" i="57" a="1"/>
  <c r="U11" i="57" a="1"/>
  <c r="U15" i="57" a="1"/>
  <c r="U9" i="57" a="1"/>
  <c r="U19" i="57" l="1"/>
  <c r="U11" i="57"/>
  <c r="U13" i="57"/>
  <c r="U16" i="57"/>
  <c r="V21" i="57"/>
  <c r="W21" i="57" s="1"/>
  <c r="U23" i="57"/>
  <c r="V12" i="57"/>
  <c r="W12" i="57" s="1"/>
  <c r="U20" i="57"/>
  <c r="V10" i="57"/>
  <c r="U27" i="57"/>
  <c r="U18" i="57"/>
  <c r="U22" i="57"/>
  <c r="U26" i="57"/>
  <c r="U10" i="57"/>
  <c r="U25" i="57"/>
  <c r="U15" i="57"/>
  <c r="U9" i="57"/>
  <c r="P53" i="52"/>
  <c r="P53" i="46"/>
  <c r="P53" i="55"/>
  <c r="P53" i="54"/>
  <c r="P53" i="51"/>
  <c r="S21" i="57"/>
  <c r="T21" i="57" s="1"/>
  <c r="S14" i="57"/>
  <c r="T14" i="57" s="1"/>
  <c r="S16" i="57"/>
  <c r="T16" i="57" s="1"/>
  <c r="S25" i="57"/>
  <c r="T25" i="57" s="1"/>
  <c r="S23" i="57"/>
  <c r="T23" i="57" s="1"/>
  <c r="S24" i="57"/>
  <c r="T24" i="57" s="1"/>
  <c r="S22" i="57"/>
  <c r="T22" i="57" s="1"/>
  <c r="S20" i="57"/>
  <c r="T20" i="57" s="1"/>
  <c r="S15" i="57"/>
  <c r="T15" i="57" s="1"/>
  <c r="S10" i="57"/>
  <c r="T10" i="57" s="1"/>
  <c r="S13" i="57"/>
  <c r="T13" i="57" s="1"/>
  <c r="S26" i="57"/>
  <c r="T26" i="57" s="1"/>
  <c r="S27" i="57"/>
  <c r="T27" i="57" s="1"/>
  <c r="S11" i="57"/>
  <c r="T11" i="57" s="1"/>
  <c r="S19" i="57"/>
  <c r="T19" i="57" s="1"/>
  <c r="S12" i="57"/>
  <c r="T12" i="57" s="1"/>
  <c r="S17" i="57"/>
  <c r="T17" i="57" s="1"/>
  <c r="P53" i="43"/>
  <c r="P53" i="38"/>
  <c r="P53" i="47"/>
  <c r="P53" i="44"/>
  <c r="P53" i="45"/>
  <c r="P53" i="49"/>
  <c r="G9" i="57"/>
  <c r="H9" i="57" s="1"/>
  <c r="E28" i="57"/>
  <c r="G28" i="57" s="1"/>
  <c r="H28" i="57" s="1"/>
  <c r="P53" i="48"/>
  <c r="P53" i="41"/>
  <c r="P53" i="56"/>
  <c r="S9" i="57"/>
  <c r="T9" i="57" s="1"/>
  <c r="Q28" i="57"/>
  <c r="S28" i="57" s="1"/>
  <c r="T28" i="57" s="1"/>
  <c r="P53" i="35"/>
  <c r="V25" i="57" a="1"/>
  <c r="V9" i="57" a="1"/>
  <c r="V19" i="57" a="1"/>
  <c r="V13" i="57" a="1"/>
  <c r="V14" i="57" a="1"/>
  <c r="V18" i="57" a="1"/>
  <c r="V11" i="57" a="1"/>
  <c r="V22" i="57" a="1"/>
  <c r="V16" i="57" a="1"/>
  <c r="V17" i="57" a="1"/>
  <c r="V26" i="57" a="1"/>
  <c r="V15" i="57" a="1"/>
  <c r="V23" i="57" a="1"/>
  <c r="V27" i="57" a="1"/>
  <c r="V24" i="57" a="1"/>
  <c r="V20" i="57" a="1"/>
  <c r="V18" i="57" l="1"/>
  <c r="V27" i="57"/>
  <c r="W27" i="57" s="1"/>
  <c r="V13" i="57"/>
  <c r="W13" i="57" s="1"/>
  <c r="V22" i="57"/>
  <c r="W22" i="57" s="1"/>
  <c r="V9" i="57"/>
  <c r="W9" i="57" s="1"/>
  <c r="V19" i="57"/>
  <c r="W19" i="57" s="1"/>
  <c r="V20" i="57"/>
  <c r="W20" i="57" s="1"/>
  <c r="V24" i="57"/>
  <c r="W24" i="57" s="1"/>
  <c r="V23" i="57"/>
  <c r="W23" i="57" s="1"/>
  <c r="V25" i="57"/>
  <c r="W25" i="57" s="1"/>
  <c r="V15" i="57"/>
  <c r="W15" i="57" s="1"/>
  <c r="V26" i="57"/>
  <c r="W26" i="57" s="1"/>
  <c r="V14" i="57"/>
  <c r="W14" i="57" s="1"/>
  <c r="V16" i="57"/>
  <c r="W16" i="57" s="1"/>
  <c r="V11" i="57"/>
  <c r="W11" i="57" s="1"/>
  <c r="V17" i="57"/>
  <c r="W17" i="57" s="1"/>
  <c r="W10" i="57"/>
  <c r="U28" i="57"/>
  <c r="W18" i="57" l="1"/>
  <c r="V28" i="57"/>
  <c r="W28" i="57" s="1"/>
  <c r="D19" i="39" l="1"/>
  <c r="E230" i="63" a="1"/>
  <c r="E230" i="63" l="1"/>
  <c r="D18" i="39"/>
  <c r="D20" i="39"/>
  <c r="D230" i="63" a="1"/>
  <c r="D230" i="63" l="1"/>
  <c r="D8" i="39"/>
  <c r="D11" i="39"/>
  <c r="D24" i="39"/>
  <c r="E41" i="39"/>
  <c r="D47" i="39"/>
  <c r="E48" i="39"/>
  <c r="E34" i="39"/>
  <c r="E39" i="39"/>
  <c r="D39" i="39"/>
  <c r="E23" i="39"/>
  <c r="D23" i="39"/>
  <c r="E24" i="39"/>
  <c r="E28" i="39"/>
  <c r="E12" i="39"/>
  <c r="E56" i="39" s="1"/>
  <c r="D12" i="39"/>
  <c r="D56" i="39" s="1"/>
  <c r="D9" i="39"/>
  <c r="E44" i="39"/>
  <c r="E32" i="39"/>
  <c r="E11" i="39"/>
  <c r="E35" i="39"/>
  <c r="E25" i="39"/>
  <c r="E19" i="39"/>
  <c r="E45" i="39"/>
  <c r="E9" i="39"/>
  <c r="E18" i="39"/>
  <c r="D13" i="39"/>
  <c r="E46" i="39"/>
  <c r="D32" i="39"/>
  <c r="E30" i="39"/>
  <c r="D35" i="39"/>
  <c r="D30" i="39"/>
  <c r="D41" i="39"/>
  <c r="E38" i="39"/>
  <c r="H24" i="27" s="1"/>
  <c r="H7" i="27" s="1"/>
  <c r="I7" i="27" s="1"/>
  <c r="D38" i="39"/>
  <c r="H23" i="27" s="1"/>
  <c r="D45" i="39"/>
  <c r="D40" i="39"/>
  <c r="E40" i="39"/>
  <c r="P59" i="39"/>
  <c r="D34" i="39"/>
  <c r="E20" i="39"/>
  <c r="D46" i="39"/>
  <c r="E47" i="39"/>
  <c r="E29" i="39"/>
  <c r="E31" i="39"/>
  <c r="D33" i="39"/>
  <c r="E33" i="39"/>
  <c r="D44" i="39"/>
  <c r="E8" i="39"/>
  <c r="D29" i="39"/>
  <c r="D28" i="39"/>
  <c r="D25" i="39"/>
  <c r="D21" i="39"/>
  <c r="D31" i="39"/>
  <c r="E21" i="39"/>
  <c r="H12" i="39"/>
  <c r="H56" i="39" s="1"/>
  <c r="H33" i="39"/>
  <c r="H32" i="39"/>
  <c r="H25" i="39"/>
  <c r="H13" i="39"/>
  <c r="H47" i="39"/>
  <c r="H44" i="39"/>
  <c r="H48" i="39"/>
  <c r="H30" i="39"/>
  <c r="H39" i="39"/>
  <c r="H46" i="39"/>
  <c r="H20" i="39"/>
  <c r="H45" i="39"/>
  <c r="H38" i="39"/>
  <c r="H27" i="27" s="1"/>
  <c r="H10" i="27" s="1"/>
  <c r="I10" i="27" s="1"/>
  <c r="H31" i="39"/>
  <c r="H41" i="39"/>
  <c r="H29" i="39"/>
  <c r="H24" i="39"/>
  <c r="H28" i="39"/>
  <c r="H40" i="39"/>
  <c r="H34" i="39"/>
  <c r="H23" i="39"/>
  <c r="H35" i="39"/>
  <c r="G47" i="39"/>
  <c r="G23" i="39"/>
  <c r="G31" i="39"/>
  <c r="G44" i="39"/>
  <c r="H18" i="39"/>
  <c r="G45" i="39"/>
  <c r="G48" i="39"/>
  <c r="G34" i="39"/>
  <c r="G29" i="39"/>
  <c r="G40" i="39"/>
  <c r="G13" i="39"/>
  <c r="H9" i="39"/>
  <c r="G33" i="39"/>
  <c r="G28" i="39"/>
  <c r="G20" i="39"/>
  <c r="G12" i="39"/>
  <c r="G56" i="39" s="1"/>
  <c r="H19" i="39"/>
  <c r="G46" i="39"/>
  <c r="G32" i="39"/>
  <c r="G24" i="39"/>
  <c r="G38" i="39"/>
  <c r="H26" i="27" s="1"/>
  <c r="H9" i="27" s="1"/>
  <c r="I9" i="27" s="1"/>
  <c r="G30" i="39"/>
  <c r="H8" i="39"/>
  <c r="G25" i="39"/>
  <c r="G39" i="39"/>
  <c r="G35" i="39"/>
  <c r="G41" i="39"/>
  <c r="G18" i="39"/>
  <c r="F34" i="39"/>
  <c r="F24" i="39"/>
  <c r="F40" i="39"/>
  <c r="F29" i="39"/>
  <c r="F12" i="39"/>
  <c r="F47" i="39"/>
  <c r="F31" i="39"/>
  <c r="F20" i="39"/>
  <c r="F46" i="39"/>
  <c r="F32" i="39"/>
  <c r="G9" i="39"/>
  <c r="F23" i="39"/>
  <c r="F25" i="39"/>
  <c r="F30" i="39"/>
  <c r="G8" i="39"/>
  <c r="F41" i="39"/>
  <c r="F13" i="39"/>
  <c r="F35" i="39"/>
  <c r="F48" i="39"/>
  <c r="F28" i="39"/>
  <c r="F39" i="39"/>
  <c r="F45" i="39"/>
  <c r="F44" i="39"/>
  <c r="G19" i="39"/>
  <c r="F33" i="39"/>
  <c r="F38" i="39"/>
  <c r="H25" i="27" s="1"/>
  <c r="H8" i="27" s="1"/>
  <c r="I8" i="27" s="1"/>
  <c r="O8" i="27" s="1"/>
  <c r="F8" i="39"/>
  <c r="F9" i="39"/>
  <c r="E13" i="39"/>
  <c r="F18" i="39"/>
  <c r="F19" i="39"/>
  <c r="G11" i="39"/>
  <c r="F11" i="39"/>
  <c r="H11" i="39"/>
  <c r="H21" i="39"/>
  <c r="I22" i="39" s="1"/>
  <c r="G21" i="39"/>
  <c r="F21" i="39"/>
  <c r="G26" i="59" a="1"/>
  <c r="F13" i="59" a="1"/>
  <c r="F25" i="59" a="1"/>
  <c r="G230" i="63" a="1"/>
  <c r="C233" i="63" a="1"/>
  <c r="G9" i="59" a="1"/>
  <c r="C232" i="63" a="1"/>
  <c r="F26" i="59" a="1"/>
  <c r="G13" i="59" a="1"/>
  <c r="G17" i="59" a="1"/>
  <c r="F9" i="59" a="1"/>
  <c r="D233" i="63" a="1"/>
  <c r="G24" i="59" a="1"/>
  <c r="G23" i="59" a="1"/>
  <c r="F10" i="59" a="1"/>
  <c r="F235" i="63" a="1"/>
  <c r="G25" i="59" a="1"/>
  <c r="G27" i="59" a="1"/>
  <c r="F11" i="59" a="1"/>
  <c r="D232" i="63" a="1"/>
  <c r="E233" i="63" a="1"/>
  <c r="E234" i="63" a="1"/>
  <c r="F16" i="59" a="1"/>
  <c r="C231" i="63" a="1"/>
  <c r="G12" i="59" a="1"/>
  <c r="D231" i="63" a="1"/>
  <c r="G18" i="59" a="1"/>
  <c r="F19" i="59" a="1"/>
  <c r="G16" i="59" a="1"/>
  <c r="C234" i="63" a="1"/>
  <c r="C230" i="63" a="1"/>
  <c r="G231" i="63" a="1"/>
  <c r="G232" i="63" a="1"/>
  <c r="F21" i="59" a="1"/>
  <c r="F18" i="59" a="1"/>
  <c r="F15" i="59" a="1"/>
  <c r="F20" i="59" a="1"/>
  <c r="G233" i="63" a="1"/>
  <c r="F23" i="59" a="1"/>
  <c r="E232" i="63" a="1"/>
  <c r="G21" i="59" a="1"/>
  <c r="F14" i="59" a="1"/>
  <c r="F24" i="59" a="1"/>
  <c r="E231" i="63" a="1"/>
  <c r="G19" i="59" a="1"/>
  <c r="F27" i="59" a="1"/>
  <c r="G14" i="59" a="1"/>
  <c r="G234" i="63" a="1"/>
  <c r="F12" i="59" a="1"/>
  <c r="F17" i="59" a="1"/>
  <c r="G22" i="59" a="1"/>
  <c r="G11" i="59" a="1"/>
  <c r="G10" i="59" a="1"/>
  <c r="F22" i="59" a="1"/>
  <c r="G15" i="59" a="1"/>
  <c r="D234" i="63" a="1"/>
  <c r="G20" i="59" a="1"/>
  <c r="F235" i="63" l="1"/>
  <c r="Y5" i="59"/>
  <c r="E234" i="63"/>
  <c r="E231" i="63"/>
  <c r="C234" i="63"/>
  <c r="G231" i="63"/>
  <c r="G232" i="63"/>
  <c r="G230" i="63"/>
  <c r="D234" i="63"/>
  <c r="C232" i="63"/>
  <c r="D233" i="63"/>
  <c r="G233" i="63"/>
  <c r="D231" i="63"/>
  <c r="C230" i="63"/>
  <c r="E233" i="63"/>
  <c r="E232" i="63"/>
  <c r="C233" i="63"/>
  <c r="G234" i="63"/>
  <c r="C231" i="63"/>
  <c r="D232" i="63"/>
  <c r="H57" i="39"/>
  <c r="H58" i="39" s="1"/>
  <c r="I26" i="39"/>
  <c r="Q28" i="59"/>
  <c r="Z5" i="59"/>
  <c r="O10" i="27"/>
  <c r="P10" i="27"/>
  <c r="P9" i="27"/>
  <c r="O9" i="27"/>
  <c r="P8" i="27"/>
  <c r="H6" i="27"/>
  <c r="H35" i="27"/>
  <c r="O7" i="27"/>
  <c r="P7" i="27"/>
  <c r="F9" i="59"/>
  <c r="G36" i="39"/>
  <c r="P35" i="39"/>
  <c r="P12" i="39"/>
  <c r="G14" i="39"/>
  <c r="P45" i="39"/>
  <c r="P23" i="39"/>
  <c r="L23" i="30" s="1"/>
  <c r="F23" i="30" s="1"/>
  <c r="G23" i="30" s="1"/>
  <c r="H23" i="30" s="1"/>
  <c r="G49" i="39"/>
  <c r="P13" i="39"/>
  <c r="P30" i="39"/>
  <c r="P48" i="39"/>
  <c r="P38" i="39"/>
  <c r="G22" i="39"/>
  <c r="P46" i="39"/>
  <c r="P33" i="39"/>
  <c r="P40" i="39"/>
  <c r="P32" i="39"/>
  <c r="P47" i="39"/>
  <c r="P29" i="39"/>
  <c r="P11" i="39"/>
  <c r="F56" i="39"/>
  <c r="P56" i="39" s="1"/>
  <c r="H36" i="39"/>
  <c r="P9" i="39"/>
  <c r="P39" i="39"/>
  <c r="L16" i="30" s="1"/>
  <c r="Q13" i="59"/>
  <c r="P28" i="39"/>
  <c r="P24" i="39"/>
  <c r="L21" i="30" s="1"/>
  <c r="P41" i="39"/>
  <c r="P25" i="39"/>
  <c r="P44" i="39"/>
  <c r="P34" i="39"/>
  <c r="G57" i="39"/>
  <c r="G58" i="39" s="1"/>
  <c r="H49" i="39"/>
  <c r="P31" i="39"/>
  <c r="F18" i="59"/>
  <c r="F27" i="59"/>
  <c r="F19" i="59"/>
  <c r="F10" i="59"/>
  <c r="F20" i="59"/>
  <c r="F17" i="59"/>
  <c r="F23" i="59"/>
  <c r="F24" i="59"/>
  <c r="F21" i="59"/>
  <c r="F22" i="59"/>
  <c r="F14" i="59"/>
  <c r="F15" i="59"/>
  <c r="F12" i="59"/>
  <c r="F25" i="59"/>
  <c r="F13" i="59"/>
  <c r="F11" i="59"/>
  <c r="F16" i="59"/>
  <c r="F26" i="59"/>
  <c r="G21" i="59"/>
  <c r="G17" i="59"/>
  <c r="G27" i="59"/>
  <c r="G15" i="59"/>
  <c r="G9" i="59"/>
  <c r="G24" i="59"/>
  <c r="G12" i="59"/>
  <c r="G11" i="59"/>
  <c r="G26" i="59"/>
  <c r="G18" i="59"/>
  <c r="G22" i="59"/>
  <c r="G20" i="59"/>
  <c r="G25" i="59"/>
  <c r="G13" i="59"/>
  <c r="G16" i="59"/>
  <c r="G14" i="59"/>
  <c r="G10" i="59"/>
  <c r="G23" i="59"/>
  <c r="G19" i="59"/>
  <c r="F22" i="39"/>
  <c r="G42" i="39"/>
  <c r="H22" i="39"/>
  <c r="E42" i="39"/>
  <c r="Q15" i="59"/>
  <c r="D36" i="39"/>
  <c r="E14" i="39"/>
  <c r="P19" i="39"/>
  <c r="D22" i="39"/>
  <c r="P8" i="39"/>
  <c r="Q14" i="59"/>
  <c r="Q11" i="59"/>
  <c r="F49" i="39"/>
  <c r="H42" i="39"/>
  <c r="E36" i="39"/>
  <c r="P20" i="39"/>
  <c r="Q12" i="59"/>
  <c r="D49" i="39"/>
  <c r="Q23" i="59"/>
  <c r="F42" i="39"/>
  <c r="E49" i="39"/>
  <c r="Q21" i="59"/>
  <c r="Q25" i="59"/>
  <c r="Q20" i="59"/>
  <c r="D57" i="39"/>
  <c r="F14" i="39"/>
  <c r="E22" i="39"/>
  <c r="Q9" i="59"/>
  <c r="D14" i="39"/>
  <c r="Q27" i="59"/>
  <c r="F36" i="39"/>
  <c r="H14" i="39"/>
  <c r="Q22" i="59"/>
  <c r="Q24" i="59"/>
  <c r="Q26" i="59"/>
  <c r="Q18" i="59"/>
  <c r="Q16" i="59"/>
  <c r="F57" i="39"/>
  <c r="E57" i="39"/>
  <c r="E58" i="39" s="1"/>
  <c r="P18" i="39"/>
  <c r="Q19" i="59"/>
  <c r="Q17" i="59"/>
  <c r="Q10" i="59"/>
  <c r="D42" i="39"/>
  <c r="I17" i="59" a="1"/>
  <c r="F234" i="63" a="1"/>
  <c r="I22" i="59" a="1"/>
  <c r="F232" i="63" a="1"/>
  <c r="I14" i="59" a="1"/>
  <c r="I9" i="59" a="1"/>
  <c r="H19" i="59" a="1"/>
  <c r="I25" i="59" a="1"/>
  <c r="H23" i="59" a="1"/>
  <c r="I19" i="59" a="1"/>
  <c r="I23" i="59" a="1"/>
  <c r="I27" i="59" a="1"/>
  <c r="I16" i="59" a="1"/>
  <c r="I21" i="59" a="1"/>
  <c r="H17" i="59" a="1"/>
  <c r="H24" i="59" a="1"/>
  <c r="I18" i="59" a="1"/>
  <c r="H22" i="59" a="1"/>
  <c r="G28" i="59" a="1"/>
  <c r="H11" i="59" a="1"/>
  <c r="H13" i="59" a="1"/>
  <c r="I11" i="59" a="1"/>
  <c r="H10" i="59" a="1"/>
  <c r="H25" i="59" a="1"/>
  <c r="I13" i="59" a="1"/>
  <c r="F28" i="59" a="1"/>
  <c r="H21" i="59" a="1"/>
  <c r="H20" i="59" a="1"/>
  <c r="I15" i="59" a="1"/>
  <c r="F230" i="63" a="1"/>
  <c r="I10" i="59" a="1"/>
  <c r="I12" i="59" a="1"/>
  <c r="H15" i="59" a="1"/>
  <c r="H12" i="59" a="1"/>
  <c r="H16" i="59" a="1"/>
  <c r="I24" i="59" a="1"/>
  <c r="H18" i="59" a="1"/>
  <c r="F231" i="63" a="1"/>
  <c r="H9" i="59" a="1"/>
  <c r="H26" i="59" a="1"/>
  <c r="H27" i="59" a="1"/>
  <c r="I20" i="59" a="1"/>
  <c r="H14" i="59" a="1"/>
  <c r="F233" i="63" a="1"/>
  <c r="I26" i="59" a="1"/>
  <c r="P21" i="39" l="1"/>
  <c r="F233" i="63"/>
  <c r="F231" i="63"/>
  <c r="F234" i="63"/>
  <c r="F230" i="63"/>
  <c r="F232" i="63"/>
  <c r="W2" i="59"/>
  <c r="P29" i="59" s="1"/>
  <c r="J43" i="59"/>
  <c r="J55" i="59"/>
  <c r="J38" i="59"/>
  <c r="J51" i="59"/>
  <c r="J45" i="59"/>
  <c r="J44" i="59"/>
  <c r="J46" i="59"/>
  <c r="J50" i="59"/>
  <c r="K48" i="59"/>
  <c r="K46" i="59"/>
  <c r="J37" i="59"/>
  <c r="K45" i="59"/>
  <c r="K39" i="59"/>
  <c r="K37" i="59"/>
  <c r="K52" i="59"/>
  <c r="K40" i="59"/>
  <c r="K44" i="59"/>
  <c r="K54" i="59"/>
  <c r="K41" i="59"/>
  <c r="K49" i="59"/>
  <c r="K53" i="59"/>
  <c r="K47" i="59"/>
  <c r="K38" i="59"/>
  <c r="K43" i="59"/>
  <c r="K51" i="59"/>
  <c r="K50" i="59"/>
  <c r="K55" i="59"/>
  <c r="K42" i="59"/>
  <c r="J47" i="59"/>
  <c r="J53" i="59"/>
  <c r="J52" i="59"/>
  <c r="J48" i="59"/>
  <c r="J42" i="59"/>
  <c r="J49" i="59"/>
  <c r="J41" i="59"/>
  <c r="J54" i="59"/>
  <c r="J40" i="59"/>
  <c r="J39" i="59"/>
  <c r="H9" i="59"/>
  <c r="J9" i="59" s="1"/>
  <c r="G26" i="39"/>
  <c r="E26" i="39"/>
  <c r="E51" i="39" s="1"/>
  <c r="H26" i="39"/>
  <c r="F26" i="39"/>
  <c r="F28" i="59"/>
  <c r="I10" i="59"/>
  <c r="K10" i="59" s="1"/>
  <c r="I14" i="59"/>
  <c r="K14" i="59" s="1"/>
  <c r="I16" i="59"/>
  <c r="K16" i="59" s="1"/>
  <c r="I12" i="59"/>
  <c r="K12" i="59" s="1"/>
  <c r="I17" i="59"/>
  <c r="K17" i="59" s="1"/>
  <c r="I11" i="59"/>
  <c r="K11" i="59" s="1"/>
  <c r="I13" i="59"/>
  <c r="K13" i="59" s="1"/>
  <c r="I24" i="59"/>
  <c r="K24" i="59" s="1"/>
  <c r="I18" i="59"/>
  <c r="K18" i="59" s="1"/>
  <c r="I26" i="59"/>
  <c r="K26" i="59" s="1"/>
  <c r="I25" i="59"/>
  <c r="K25" i="59" s="1"/>
  <c r="I21" i="59"/>
  <c r="K21" i="59" s="1"/>
  <c r="I20" i="59"/>
  <c r="K20" i="59" s="1"/>
  <c r="I15" i="59"/>
  <c r="K15" i="59" s="1"/>
  <c r="I23" i="59"/>
  <c r="K23" i="59" s="1"/>
  <c r="I19" i="59"/>
  <c r="K19" i="59" s="1"/>
  <c r="I22" i="59"/>
  <c r="K22" i="59" s="1"/>
  <c r="I27" i="59"/>
  <c r="K27" i="59" s="1"/>
  <c r="I9" i="59"/>
  <c r="K9" i="59" s="1"/>
  <c r="H27" i="59"/>
  <c r="J27" i="59" s="1"/>
  <c r="H14" i="59"/>
  <c r="J14" i="59" s="1"/>
  <c r="H19" i="59"/>
  <c r="J19" i="59" s="1"/>
  <c r="H10" i="59"/>
  <c r="J10" i="59" s="1"/>
  <c r="H18" i="59"/>
  <c r="J18" i="59" s="1"/>
  <c r="H15" i="59"/>
  <c r="J15" i="59" s="1"/>
  <c r="H22" i="59"/>
  <c r="J22" i="59" s="1"/>
  <c r="H16" i="59"/>
  <c r="J16" i="59" s="1"/>
  <c r="H21" i="59"/>
  <c r="J21" i="59" s="1"/>
  <c r="H11" i="59"/>
  <c r="J11" i="59" s="1"/>
  <c r="H24" i="59"/>
  <c r="J24" i="59" s="1"/>
  <c r="H23" i="59"/>
  <c r="J23" i="59" s="1"/>
  <c r="H25" i="59"/>
  <c r="J25" i="59" s="1"/>
  <c r="H17" i="59"/>
  <c r="J17" i="59" s="1"/>
  <c r="H26" i="59"/>
  <c r="J26" i="59" s="1"/>
  <c r="H13" i="59"/>
  <c r="J13" i="59" s="1"/>
  <c r="H12" i="59"/>
  <c r="J12" i="59" s="1"/>
  <c r="H20" i="59"/>
  <c r="J20" i="59" s="1"/>
  <c r="L12" i="30"/>
  <c r="F12" i="30" s="1"/>
  <c r="F10" i="30" s="1"/>
  <c r="L17" i="30"/>
  <c r="F17" i="30" s="1"/>
  <c r="G17" i="30" s="1"/>
  <c r="H17" i="30" s="1"/>
  <c r="F16" i="30"/>
  <c r="Q9" i="27"/>
  <c r="I6" i="27"/>
  <c r="H18" i="27"/>
  <c r="Q8" i="27"/>
  <c r="Q7" i="27"/>
  <c r="Q10" i="27"/>
  <c r="F58" i="39"/>
  <c r="P14" i="39"/>
  <c r="M10" i="39" s="1"/>
  <c r="G28" i="59"/>
  <c r="P57" i="39"/>
  <c r="P58" i="39" s="1"/>
  <c r="P60" i="39" s="1"/>
  <c r="D58" i="39"/>
  <c r="D26" i="39"/>
  <c r="D51" i="39" s="1"/>
  <c r="Q10" i="39"/>
  <c r="P42" i="39"/>
  <c r="P36" i="39"/>
  <c r="L15" i="30" s="1"/>
  <c r="P49" i="39"/>
  <c r="S28" i="59" a="1"/>
  <c r="U28" i="59" a="1"/>
  <c r="H28" i="59" a="1"/>
  <c r="I28" i="59" a="1"/>
  <c r="P6" i="27" l="1"/>
  <c r="O6" i="27"/>
  <c r="L10" i="59"/>
  <c r="M11" i="59"/>
  <c r="L17" i="59"/>
  <c r="M25" i="59"/>
  <c r="M13" i="59"/>
  <c r="J56" i="59"/>
  <c r="L18" i="59"/>
  <c r="M24" i="59"/>
  <c r="M20" i="59"/>
  <c r="L19" i="59"/>
  <c r="L27" i="59"/>
  <c r="M26" i="59"/>
  <c r="M18" i="59"/>
  <c r="K56" i="59"/>
  <c r="M22" i="59"/>
  <c r="L16" i="59"/>
  <c r="M19" i="59"/>
  <c r="L12" i="59"/>
  <c r="L21" i="59"/>
  <c r="M21" i="59"/>
  <c r="L23" i="59"/>
  <c r="M23" i="59"/>
  <c r="L14" i="59"/>
  <c r="M17" i="59"/>
  <c r="L13" i="59"/>
  <c r="M16" i="59"/>
  <c r="M27" i="59"/>
  <c r="M14" i="59"/>
  <c r="L15" i="59"/>
  <c r="M10" i="59"/>
  <c r="L26" i="59"/>
  <c r="L24" i="59"/>
  <c r="L22" i="59"/>
  <c r="L25" i="59"/>
  <c r="M12" i="59"/>
  <c r="M15" i="59"/>
  <c r="L20" i="59"/>
  <c r="L11" i="59"/>
  <c r="M9" i="59"/>
  <c r="L9" i="59"/>
  <c r="I28" i="59"/>
  <c r="K28" i="59" s="1"/>
  <c r="H28" i="59"/>
  <c r="J28" i="59" s="1"/>
  <c r="G10" i="30"/>
  <c r="G12" i="30"/>
  <c r="H12" i="30" s="1"/>
  <c r="F22" i="30"/>
  <c r="G16" i="30"/>
  <c r="H16" i="30" s="1"/>
  <c r="P18" i="27"/>
  <c r="H26" i="29" s="1"/>
  <c r="F15" i="30"/>
  <c r="F18" i="30" s="1"/>
  <c r="I18" i="27"/>
  <c r="P10" i="39"/>
  <c r="L28" i="30" s="1"/>
  <c r="F28" i="30" s="1"/>
  <c r="P26" i="39"/>
  <c r="S28" i="59"/>
  <c r="U28" i="59"/>
  <c r="G16" i="39"/>
  <c r="D10" i="39"/>
  <c r="P16" i="39" l="1"/>
  <c r="P51" i="39" s="1"/>
  <c r="L28" i="59"/>
  <c r="M28" i="59"/>
  <c r="P31" i="59"/>
  <c r="O18" i="59" s="1"/>
  <c r="P30" i="59"/>
  <c r="N18" i="59" s="1"/>
  <c r="F13" i="30"/>
  <c r="G22" i="30"/>
  <c r="H22" i="30" s="1"/>
  <c r="G13" i="30"/>
  <c r="H10" i="30"/>
  <c r="G28" i="30"/>
  <c r="Q6" i="27"/>
  <c r="O18" i="27"/>
  <c r="D16" i="39"/>
  <c r="G15" i="30"/>
  <c r="H15" i="30" s="1"/>
  <c r="N17" i="59" l="1"/>
  <c r="N19" i="59"/>
  <c r="N14" i="59"/>
  <c r="N27" i="59"/>
  <c r="N22" i="59"/>
  <c r="N20" i="59"/>
  <c r="N9" i="59"/>
  <c r="N21" i="59"/>
  <c r="N25" i="59"/>
  <c r="N26" i="59"/>
  <c r="N11" i="59"/>
  <c r="O23" i="59"/>
  <c r="O25" i="59"/>
  <c r="O19" i="59"/>
  <c r="O9" i="59"/>
  <c r="O20" i="59"/>
  <c r="O15" i="59"/>
  <c r="O10" i="59"/>
  <c r="O26" i="59"/>
  <c r="O22" i="59"/>
  <c r="O14" i="59"/>
  <c r="O16" i="59"/>
  <c r="O17" i="59"/>
  <c r="O27" i="59"/>
  <c r="O11" i="59"/>
  <c r="O21" i="59"/>
  <c r="O12" i="59"/>
  <c r="O28" i="59"/>
  <c r="O13" i="59"/>
  <c r="O24" i="59"/>
  <c r="N15" i="59"/>
  <c r="N16" i="59"/>
  <c r="N10" i="59"/>
  <c r="N24" i="59"/>
  <c r="N12" i="59"/>
  <c r="N23" i="59"/>
  <c r="N13" i="59"/>
  <c r="N28" i="59"/>
  <c r="H28" i="30"/>
  <c r="H13" i="30"/>
  <c r="F38" i="30"/>
  <c r="H25" i="29"/>
  <c r="H27" i="29" s="1"/>
  <c r="C24" i="29" s="1"/>
  <c r="Q18" i="27"/>
  <c r="P18" i="59"/>
  <c r="G18" i="30"/>
  <c r="P12" i="59" l="1"/>
  <c r="P13" i="59"/>
  <c r="P23" i="59"/>
  <c r="P9" i="59"/>
  <c r="P26" i="59"/>
  <c r="P17" i="59"/>
  <c r="P20" i="59"/>
  <c r="P22" i="59"/>
  <c r="P21" i="59"/>
  <c r="P27" i="59"/>
  <c r="P19" i="59"/>
  <c r="P14" i="59"/>
  <c r="P11" i="59"/>
  <c r="P10" i="59"/>
  <c r="P25" i="59"/>
  <c r="P16" i="59"/>
  <c r="P15" i="59"/>
  <c r="P24" i="59"/>
  <c r="P28" i="59"/>
  <c r="R28" i="59" s="1"/>
  <c r="T28" i="59" s="1"/>
  <c r="V28" i="59" s="1"/>
  <c r="F29" i="30"/>
  <c r="H29" i="30" s="1"/>
  <c r="H18" i="30"/>
  <c r="R9" i="59" l="1"/>
  <c r="T9" i="59" s="1"/>
  <c r="V9" i="59" s="1"/>
  <c r="R11" i="59"/>
  <c r="T11" i="59" s="1"/>
  <c r="V11" i="59" s="1"/>
  <c r="R16" i="59"/>
  <c r="T16" i="59" s="1"/>
  <c r="V16" i="59" s="1"/>
  <c r="R20" i="59"/>
  <c r="T20" i="59" s="1"/>
  <c r="V20" i="59" s="1"/>
  <c r="R25" i="59"/>
  <c r="T25" i="59" s="1"/>
  <c r="V25" i="59" s="1"/>
  <c r="R21" i="59"/>
  <c r="T21" i="59" s="1"/>
  <c r="V21" i="59" s="1"/>
  <c r="R27" i="59"/>
  <c r="T27" i="59" s="1"/>
  <c r="V27" i="59" s="1"/>
  <c r="R14" i="59"/>
  <c r="T14" i="59" s="1"/>
  <c r="V14" i="59" s="1"/>
  <c r="R13" i="59"/>
  <c r="T13" i="59" s="1"/>
  <c r="V13" i="59" s="1"/>
  <c r="R18" i="59"/>
  <c r="T18" i="59" s="1"/>
  <c r="V18" i="59" s="1"/>
  <c r="R22" i="59"/>
  <c r="T22" i="59" s="1"/>
  <c r="V22" i="59" s="1"/>
  <c r="R15" i="59"/>
  <c r="T15" i="59" s="1"/>
  <c r="V15" i="59" s="1"/>
  <c r="R24" i="59"/>
  <c r="T24" i="59" s="1"/>
  <c r="V24" i="59" s="1"/>
  <c r="R10" i="59"/>
  <c r="T10" i="59" s="1"/>
  <c r="V10" i="59" s="1"/>
  <c r="R19" i="59"/>
  <c r="T19" i="59" s="1"/>
  <c r="V19" i="59" s="1"/>
  <c r="R26" i="59"/>
  <c r="T26" i="59" s="1"/>
  <c r="V26" i="59" s="1"/>
  <c r="R17" i="59"/>
  <c r="T17" i="59" s="1"/>
  <c r="V17" i="59" s="1"/>
  <c r="R12" i="59"/>
  <c r="T12" i="59" s="1"/>
  <c r="V12" i="59" s="1"/>
  <c r="R23" i="59"/>
  <c r="T23" i="59" s="1"/>
  <c r="V23" i="59" s="1"/>
  <c r="P53" i="39" l="1"/>
  <c r="F21" i="30"/>
  <c r="F24" i="30" s="1"/>
  <c r="F26" i="30" s="1"/>
  <c r="M16" i="39" l="1"/>
  <c r="G21" i="30"/>
  <c r="F30" i="30"/>
  <c r="J16" i="39"/>
  <c r="H21" i="30" l="1"/>
  <c r="G24" i="30"/>
  <c r="H24" i="30" l="1"/>
  <c r="G26" i="30"/>
  <c r="H26" i="30" l="1"/>
  <c r="F27" i="30"/>
  <c r="H27" i="3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<sst xmlns="http://schemas.openxmlformats.org/spreadsheetml/2006/main" count="4081" uniqueCount="451">
  <si>
    <t>Month</t>
  </si>
  <si>
    <t>Claims</t>
  </si>
  <si>
    <t>Medical</t>
  </si>
  <si>
    <t>A</t>
  </si>
  <si>
    <t>B</t>
  </si>
  <si>
    <t>C</t>
  </si>
  <si>
    <t>E</t>
  </si>
  <si>
    <t>Date Completed:</t>
  </si>
  <si>
    <t>Plan Year Begin:</t>
  </si>
  <si>
    <t>Report Year Begin:</t>
  </si>
  <si>
    <t>Totals</t>
  </si>
  <si>
    <t>F</t>
  </si>
  <si>
    <t>Invoiced Expense Addendum</t>
  </si>
  <si>
    <t>Week 1</t>
  </si>
  <si>
    <t>Week 2</t>
  </si>
  <si>
    <t>Week 3</t>
  </si>
  <si>
    <t>Week 4</t>
  </si>
  <si>
    <t>Week 5</t>
  </si>
  <si>
    <t>Fixed Costs</t>
  </si>
  <si>
    <t>Rx</t>
  </si>
  <si>
    <t>Adjustments</t>
  </si>
  <si>
    <t>INNOVU</t>
  </si>
  <si>
    <t>Totals:</t>
  </si>
  <si>
    <t>Total</t>
  </si>
  <si>
    <t>DISCREPANCY</t>
  </si>
  <si>
    <t>Rx Rebates</t>
  </si>
  <si>
    <t>Stop Loss Reimbursements</t>
  </si>
  <si>
    <t>Prepay Claims Savings Fees</t>
  </si>
  <si>
    <t>Claims Related Expenses</t>
  </si>
  <si>
    <t>D</t>
  </si>
  <si>
    <t>G</t>
  </si>
  <si>
    <t>INVOICED EXPENSES</t>
  </si>
  <si>
    <t>Reimbs., Chargebacks, &amp; Adjustments</t>
  </si>
  <si>
    <t>ENROLL</t>
  </si>
  <si>
    <t>/\ SL TOTAL /\</t>
  </si>
  <si>
    <t>ADJUSTED CONTROL REPORTS</t>
  </si>
  <si>
    <t>CLAIMS</t>
  </si>
  <si>
    <t>Rate</t>
  </si>
  <si>
    <t>Adjustment</t>
  </si>
  <si>
    <t>RATE ADJUSTMENTS</t>
  </si>
  <si>
    <t>Adjusted Fixed Costs</t>
  </si>
  <si>
    <t>HIGHMARK INVOICES</t>
  </si>
  <si>
    <r>
      <t xml:space="preserve">RELEVANT DATA BELOW
</t>
    </r>
    <r>
      <rPr>
        <b/>
        <sz val="10"/>
        <color rgb="FF7030A0"/>
        <rFont val="Calibri"/>
        <family val="2"/>
        <scheme val="minor"/>
      </rPr>
      <t>Update formulas upon XFER
Backups in column "H"</t>
    </r>
  </si>
  <si>
    <t>PLAN REVIEW &amp; DISCUSSION POINTS</t>
  </si>
  <si>
    <t>OVERVIEW</t>
  </si>
  <si>
    <t>Client Name:</t>
  </si>
  <si>
    <t>=PROPER(Addendum!E2)</t>
  </si>
  <si>
    <t>Report Period To-Date:</t>
  </si>
  <si>
    <t>=G7&amp;" "&amp;G8&amp;" through "&amp;TEXT(DATE(2000,G10-1,1), "mmmm")&amp;" "&amp;(IF(G10=1,YEAR(G9)-1, YEAR(G9)))</t>
  </si>
  <si>
    <t>Report Year Begin Month:</t>
  </si>
  <si>
    <t>=Addendum!B12</t>
  </si>
  <si>
    <t>Report Year Begin Year:</t>
  </si>
  <si>
    <t>=IF(MONTH(G9)=MONTH(DATEVALUE(G7&amp;"1")),(YEAR(G9)-1),IF(MONTH(G9)&gt;MONTH(DATEVALUE(G7&amp;"1")),YEAR(G9), IF(MONTH(G9)&lt;MONTH(DATEVALUE(G7&amp;"1")),YEAR(G9)-1, "ERROR")))</t>
  </si>
  <si>
    <t>Completed Date:</t>
  </si>
  <si>
    <t>=Addendum!B3</t>
  </si>
  <si>
    <t>Completed Month:</t>
  </si>
  <si>
    <t>=MONTH(G9)</t>
  </si>
  <si>
    <t xml:space="preserve">     -   Invoiced Expense Addendum</t>
  </si>
  <si>
    <t>Innovu Total Subscribers:</t>
  </si>
  <si>
    <t>='CR Reconcile'!D35</t>
  </si>
  <si>
    <t>Innovu Avg Subscribers:</t>
  </si>
  <si>
    <t>=AVERAGE('CR Reconcile'!D23:D34)</t>
  </si>
  <si>
    <t>Innovu Paid Claims:</t>
  </si>
  <si>
    <t>=SUM('CR Reconcile'!F18:H18)</t>
  </si>
  <si>
    <t>Innovu Fixed Costs:</t>
  </si>
  <si>
    <t>='CR Reconcile'!I18</t>
  </si>
  <si>
    <t>IEA Total:</t>
  </si>
  <si>
    <t>=Addendum!M22</t>
  </si>
  <si>
    <t>Total Plan Cost:</t>
  </si>
  <si>
    <t>=SUM(G16:G18)</t>
  </si>
  <si>
    <t>Claims Discrepancy:</t>
  </si>
  <si>
    <t>='CR Reconcile'!K18</t>
  </si>
  <si>
    <t>Fixed Cost Discrepancy:</t>
  </si>
  <si>
    <t>='CR Reconcile'!L18</t>
  </si>
  <si>
    <t>We will continue to monitor the program status monthly. If you have any questions regarding the above comments or attached reports, please let us know.</t>
  </si>
  <si>
    <t>Total Discrepancy:</t>
  </si>
  <si>
    <t>=SUM(G23:G24)</t>
  </si>
  <si>
    <r>
      <t xml:space="preserve">NOTE: Stop Loss Reimbursements are reported as received, </t>
    </r>
    <r>
      <rPr>
        <b/>
        <u/>
        <sz val="9"/>
        <color theme="1"/>
        <rFont val="Calibri"/>
        <family val="2"/>
        <scheme val="minor"/>
      </rPr>
      <t>not</t>
    </r>
    <r>
      <rPr>
        <sz val="9"/>
        <color theme="1"/>
        <rFont val="Calibri"/>
        <family val="2"/>
        <scheme val="minor"/>
      </rPr>
      <t xml:space="preserve"> during the month the claim was originally incurred</t>
    </r>
  </si>
  <si>
    <t>H</t>
  </si>
  <si>
    <r>
      <t xml:space="preserve">RELEVANT DATA BELOW
</t>
    </r>
    <r>
      <rPr>
        <b/>
        <sz val="10"/>
        <color rgb="FF7030A0"/>
        <rFont val="Calibri"/>
        <family val="2"/>
        <scheme val="minor"/>
      </rPr>
      <t xml:space="preserve">Update formulas upon XFER
</t>
    </r>
  </si>
  <si>
    <t>BOLDED RED = Update on First Introduction</t>
  </si>
  <si>
    <t>Comprehensive Summary Dashboard</t>
  </si>
  <si>
    <t>RED = Formulaic - No Updates Required</t>
  </si>
  <si>
    <t>BLACK = Hard Coded - Update As Necessary</t>
  </si>
  <si>
    <t>Healthcare KPIs</t>
  </si>
  <si>
    <t>% Change</t>
  </si>
  <si>
    <t>Est. % Change</t>
  </si>
  <si>
    <t>YTD</t>
  </si>
  <si>
    <t>Est. Annualized</t>
  </si>
  <si>
    <t>Average Enrolled Employees</t>
  </si>
  <si>
    <t>Average Enrolled Members</t>
  </si>
  <si>
    <t>Medical Claims</t>
  </si>
  <si>
    <t>Report Year End Month:</t>
  </si>
  <si>
    <t>Rx Claims</t>
  </si>
  <si>
    <t>Report Year End Year:</t>
  </si>
  <si>
    <t>Total Claims</t>
  </si>
  <si>
    <t>Administrative Costs</t>
  </si>
  <si>
    <t>HCC Threshold:</t>
  </si>
  <si>
    <t>Stop Loss Premium</t>
  </si>
  <si>
    <t>PASTE BELOW FROM RECONCILIATION EXPORT</t>
  </si>
  <si>
    <t>Total Fixed Costs</t>
  </si>
  <si>
    <t>Enrolled Subs</t>
  </si>
  <si>
    <t>Enrolled Mems</t>
  </si>
  <si>
    <t>Rebates &amp; Adjustments</t>
  </si>
  <si>
    <t>Admin</t>
  </si>
  <si>
    <t>Budget</t>
  </si>
  <si>
    <t>SL Spec Premium</t>
  </si>
  <si>
    <t>SL Agg Premium</t>
  </si>
  <si>
    <t>EE Contributions</t>
  </si>
  <si>
    <t>PEPM</t>
  </si>
  <si>
    <t>MONTH</t>
  </si>
  <si>
    <t>PY</t>
  </si>
  <si>
    <t>3 YR AVERAGE</t>
  </si>
  <si>
    <t>Total Additional Items</t>
  </si>
  <si>
    <t>Actual Total Cost</t>
  </si>
  <si>
    <t>Actual Cost PEPY</t>
  </si>
  <si>
    <t>Large Claimants</t>
  </si>
  <si>
    <t>Reporting Threshold</t>
  </si>
  <si>
    <t>Claimants over Threshold</t>
  </si>
  <si>
    <t>Average Cost Per Claimant</t>
  </si>
  <si>
    <t xml:space="preserve">Total Cost </t>
  </si>
  <si>
    <t>% of Total Claims</t>
  </si>
  <si>
    <t>Actual PEPM by Plan Year</t>
  </si>
  <si>
    <t>ChartValue Name</t>
  </si>
  <si>
    <t>I</t>
  </si>
  <si>
    <t>Taxes &amp; Fees</t>
  </si>
  <si>
    <t>Controls</t>
  </si>
  <si>
    <t>Enroll</t>
  </si>
  <si>
    <t>UPMC CONTROLS</t>
  </si>
  <si>
    <t>Tiered Enroll</t>
  </si>
  <si>
    <t>EE</t>
  </si>
  <si>
    <t>EE + C</t>
  </si>
  <si>
    <t>EE + C(N)</t>
  </si>
  <si>
    <t>EE + SP</t>
  </si>
  <si>
    <t>Family</t>
  </si>
  <si>
    <t>Invoiced Expenses</t>
  </si>
  <si>
    <t>J</t>
  </si>
  <si>
    <t xml:space="preserve">     -   Demographics</t>
  </si>
  <si>
    <t xml:space="preserve">     -   Major Cost Components</t>
  </si>
  <si>
    <t xml:space="preserve">     -   Financial Performance</t>
  </si>
  <si>
    <t xml:space="preserve">     -   High Cost Claimants</t>
  </si>
  <si>
    <t>RECONCILIATION</t>
  </si>
  <si>
    <t>Actual/Budget</t>
  </si>
  <si>
    <t>Admin:</t>
  </si>
  <si>
    <t>Stop Loss:</t>
  </si>
  <si>
    <t>NOREBT</t>
  </si>
  <si>
    <t>July</t>
  </si>
  <si>
    <t>Group:Organization ID</t>
  </si>
  <si>
    <t>Member:Member ID</t>
  </si>
  <si>
    <t>Group:Group category 2</t>
  </si>
  <si>
    <t>Plan:Coverage tier code</t>
  </si>
  <si>
    <t>Other:Medical/RX Amount Paid</t>
  </si>
  <si>
    <t>District</t>
  </si>
  <si>
    <t>Member ID</t>
  </si>
  <si>
    <t>Status</t>
  </si>
  <si>
    <t>Claims Paid</t>
  </si>
  <si>
    <t>District Spec.</t>
  </si>
  <si>
    <t>Total Over Spec.</t>
  </si>
  <si>
    <t>Mini-Pool</t>
  </si>
  <si>
    <t>HMIG Paid Claims</t>
  </si>
  <si>
    <t>HMIG Outstanding</t>
  </si>
  <si>
    <t>High Claimant Detail</t>
  </si>
  <si>
    <t>High Claimant Summary by District</t>
  </si>
  <si>
    <t>INNOVU REPORTING</t>
  </si>
  <si>
    <t>SPEC DEDs.</t>
  </si>
  <si>
    <t>Spec.</t>
  </si>
  <si>
    <t>Conneaut School District</t>
  </si>
  <si>
    <t>Corry Area School District</t>
  </si>
  <si>
    <t>Crawford County Career &amp; Technical Center</t>
  </si>
  <si>
    <t>Erie City VoTech</t>
  </si>
  <si>
    <t>Fairview School District</t>
  </si>
  <si>
    <t>Ft LeBoeuf School District</t>
  </si>
  <si>
    <t>Girard School District</t>
  </si>
  <si>
    <t>Harborcreek School District</t>
  </si>
  <si>
    <t>Iroquois School District</t>
  </si>
  <si>
    <t>North East School District</t>
  </si>
  <si>
    <t>Northwestern School District</t>
  </si>
  <si>
    <t>Oil City Area School District</t>
  </si>
  <si>
    <t>Penncrest School District</t>
  </si>
  <si>
    <t>St Marys Area School District</t>
  </si>
  <si>
    <t>Valley Grove School District</t>
  </si>
  <si>
    <t>Venango Technology Center</t>
  </si>
  <si>
    <t>Wattsburg Area School District</t>
  </si>
  <si>
    <t>Northwest Tri-County Intermediate Unit #5</t>
  </si>
  <si>
    <t>HCC Reporting Threshold:</t>
  </si>
  <si>
    <t>Mini-Pool Spec:</t>
  </si>
  <si>
    <t>Relationship</t>
  </si>
  <si>
    <t>Members</t>
  </si>
  <si>
    <t>Members Over Spec.</t>
  </si>
  <si>
    <t>TOTAL</t>
  </si>
  <si>
    <t>Rates</t>
  </si>
  <si>
    <t>-&gt;</t>
  </si>
  <si>
    <t>Enrolled EEs</t>
  </si>
  <si>
    <t>REVENUE</t>
  </si>
  <si>
    <t>Trust Contribution</t>
  </si>
  <si>
    <t>Wellness Contribution</t>
  </si>
  <si>
    <t>Misc. Income</t>
  </si>
  <si>
    <t>Total Health &amp; Rx Contributions</t>
  </si>
  <si>
    <t>EXPENSES</t>
  </si>
  <si>
    <t>Misc. Carrier Expenses</t>
  </si>
  <si>
    <t>Net Claims Expenditures</t>
  </si>
  <si>
    <t>ADMINISTRATION</t>
  </si>
  <si>
    <t>Consulting Exp.</t>
  </si>
  <si>
    <t>Total Administrative Expenditures</t>
  </si>
  <si>
    <t>REINSURANCE</t>
  </si>
  <si>
    <t>Mini-Pool Contribution</t>
  </si>
  <si>
    <t>Large Claim Management</t>
  </si>
  <si>
    <t>Total Reinsurance Expenditures</t>
  </si>
  <si>
    <t>MISCELLANEOUS</t>
  </si>
  <si>
    <t>Legal</t>
  </si>
  <si>
    <t>Audit</t>
  </si>
  <si>
    <t>Other</t>
  </si>
  <si>
    <t>Beginning Balance</t>
  </si>
  <si>
    <t>Ending Balance</t>
  </si>
  <si>
    <t>Exec. Liability Policy</t>
  </si>
  <si>
    <t>Franklin Area School District</t>
  </si>
  <si>
    <t>Organization:Organization Name</t>
  </si>
  <si>
    <t>Time Period:Year month number</t>
  </si>
  <si>
    <t>Other:Enrolled Subscriber Count</t>
  </si>
  <si>
    <t>Other:Enrolled Member Count</t>
  </si>
  <si>
    <t>Other:Paid Medical Amount Paid</t>
  </si>
  <si>
    <t>Other:Paid RX Amount Paid</t>
  </si>
  <si>
    <t>Other:Paid Value-Based Adjustments</t>
  </si>
  <si>
    <t>Medical Admin</t>
  </si>
  <si>
    <t>Rx Admin</t>
  </si>
  <si>
    <t>Mini-Pool Reimbursements Total</t>
  </si>
  <si>
    <t>Mini-Pool Reimbursements Monthly</t>
  </si>
  <si>
    <t>Accounting Services</t>
  </si>
  <si>
    <t>Customer Services</t>
  </si>
  <si>
    <t>Total Miscellaneous Expenditures</t>
  </si>
  <si>
    <t>=IF(D$3="","",0)</t>
  </si>
  <si>
    <t>WELLNESS FUND</t>
  </si>
  <si>
    <t>YTD Contributions</t>
  </si>
  <si>
    <t>YTD Expense Requests</t>
  </si>
  <si>
    <t>YTD Balance</t>
  </si>
  <si>
    <t>Beginning Wellness Balance</t>
  </si>
  <si>
    <t>Ending Wellness Balance</t>
  </si>
  <si>
    <t>CASH FLOW</t>
  </si>
  <si>
    <t>Enrolled Members</t>
  </si>
  <si>
    <t>Avg. Cost / Claimant</t>
  </si>
  <si>
    <t>Claims Exceeding Mini-Pool</t>
  </si>
  <si>
    <t>TOTAL TRUST</t>
  </si>
  <si>
    <t>Cash Flow Analysis: District-Level</t>
  </si>
  <si>
    <t>Cash Flow Analysis: Complete Entity</t>
  </si>
  <si>
    <t>Additional Items</t>
  </si>
  <si>
    <t>Reimbs. &amp; Adjs.</t>
  </si>
  <si>
    <t>SLRs</t>
  </si>
  <si>
    <t>Commission</t>
  </si>
  <si>
    <t>Iroquois</t>
  </si>
  <si>
    <t>+ % of Claims -&gt;</t>
  </si>
  <si>
    <t>Performance by District</t>
  </si>
  <si>
    <t>EE Months</t>
  </si>
  <si>
    <t>Conneaut</t>
  </si>
  <si>
    <t>Corry</t>
  </si>
  <si>
    <t>Crawford</t>
  </si>
  <si>
    <t>Erie</t>
  </si>
  <si>
    <t>Fairview</t>
  </si>
  <si>
    <t>Franklin</t>
  </si>
  <si>
    <t>Girard</t>
  </si>
  <si>
    <t>Penncrest</t>
  </si>
  <si>
    <t>Venango</t>
  </si>
  <si>
    <t>Wattsburg</t>
  </si>
  <si>
    <t>NE</t>
  </si>
  <si>
    <t>NW</t>
  </si>
  <si>
    <t>FtLeBoeuf</t>
  </si>
  <si>
    <t>HarborCreek</t>
  </si>
  <si>
    <t>NWIU5</t>
  </si>
  <si>
    <t>OilCity</t>
  </si>
  <si>
    <t>StMarys</t>
  </si>
  <si>
    <t>ValleyGrove</t>
  </si>
  <si>
    <t>Projected Rate</t>
  </si>
  <si>
    <t>Actual Rate</t>
  </si>
  <si>
    <t>Variance</t>
  </si>
  <si>
    <t>YTD Paid</t>
  </si>
  <si>
    <t>Funding</t>
  </si>
  <si>
    <t>Expenses</t>
  </si>
  <si>
    <t>YTD Performance</t>
  </si>
  <si>
    <t>Fund Balance</t>
  </si>
  <si>
    <t>YTD Actual Rate</t>
  </si>
  <si>
    <t>Total Costs</t>
  </si>
  <si>
    <t>Mini-Pool Integrity Analysis</t>
  </si>
  <si>
    <t>Reinsurance</t>
  </si>
  <si>
    <t>Contributions</t>
  </si>
  <si>
    <t>High Claimants</t>
  </si>
  <si>
    <t>Count</t>
  </si>
  <si>
    <t>Over Spec.</t>
  </si>
  <si>
    <t>Mini-Pool Paid</t>
  </si>
  <si>
    <t>YTD P/L</t>
  </si>
  <si>
    <t>Months Reserve</t>
  </si>
  <si>
    <t>Mini-Pool Reimbursements</t>
  </si>
  <si>
    <t>Trust Contributions</t>
  </si>
  <si>
    <t>Contributions PEPY</t>
  </si>
  <si>
    <t>Mini-Pool Contributions</t>
  </si>
  <si>
    <t>RxRebates</t>
  </si>
  <si>
    <t>Ending Pool Balance</t>
  </si>
  <si>
    <t>Beginning Pool Balance</t>
  </si>
  <si>
    <t>&lt;-</t>
  </si>
  <si>
    <t>GASB</t>
  </si>
  <si>
    <t>Trust Cash Flow</t>
  </si>
  <si>
    <t>Annualized Current PEPM</t>
  </si>
  <si>
    <t>Weighting --&gt;</t>
  </si>
  <si>
    <t>Current Period:</t>
  </si>
  <si>
    <t>Credibility Adjustment</t>
  </si>
  <si>
    <t>Credibility</t>
  </si>
  <si>
    <t>Three-Year Weighting</t>
  </si>
  <si>
    <t>Mem Months</t>
  </si>
  <si>
    <t>Cred. Adj. PEPM</t>
  </si>
  <si>
    <t>Annualized Adjustments</t>
  </si>
  <si>
    <t>Trended Claims</t>
  </si>
  <si>
    <t>Proj. Plan Yr</t>
  </si>
  <si>
    <t>Start:</t>
  </si>
  <si>
    <t>Exp. Period</t>
  </si>
  <si>
    <t>Length:</t>
  </si>
  <si>
    <t>Trend Months:</t>
  </si>
  <si>
    <t>Medical Trend:</t>
  </si>
  <si>
    <t>Rx Trend:</t>
  </si>
  <si>
    <t>Combined PEPM</t>
  </si>
  <si>
    <t>Current Funding</t>
  </si>
  <si>
    <t>Projected Funding</t>
  </si>
  <si>
    <t>Required Rate Action</t>
  </si>
  <si>
    <t>Rebates allocated to Rx, all other adjustments are split according to average claims activity</t>
  </si>
  <si>
    <t>Vision Claims</t>
  </si>
  <si>
    <t>HM Carve Out Fee</t>
  </si>
  <si>
    <t>Utilization Management</t>
  </si>
  <si>
    <t>Vision Admin</t>
  </si>
  <si>
    <t>UPMC Admin</t>
  </si>
  <si>
    <t>^final admin expense</t>
  </si>
  <si>
    <t>^*subtract vision out of medical*^</t>
  </si>
  <si>
    <t>Member Age</t>
  </si>
  <si>
    <t>Member Gender</t>
  </si>
  <si>
    <t>Last Enrolled Month</t>
  </si>
  <si>
    <t>Medical Claims Paid</t>
  </si>
  <si>
    <t>Rx Claims Paid</t>
  </si>
  <si>
    <t>Total Claims Paid</t>
  </si>
  <si>
    <t>Prevailing Diagnosis</t>
  </si>
  <si>
    <t>High Claimant Detail with Prevailing Diagnosis</t>
  </si>
  <si>
    <t>Top Drug</t>
  </si>
  <si>
    <t>VISION</t>
  </si>
  <si>
    <t>HIGHMARK INVOICES (ALL CLAIMS)</t>
  </si>
  <si>
    <t>2022-2023</t>
  </si>
  <si>
    <t>Script World Rx Claims</t>
  </si>
  <si>
    <t>Highmark Claims</t>
  </si>
  <si>
    <t>Other Prepay Fees</t>
  </si>
  <si>
    <r>
      <t xml:space="preserve">Week 5/ </t>
    </r>
    <r>
      <rPr>
        <b/>
        <sz val="11"/>
        <color rgb="FF7030A0"/>
        <rFont val="Calibri"/>
        <family val="2"/>
        <scheme val="minor"/>
      </rPr>
      <t>UPMC</t>
    </r>
    <r>
      <rPr>
        <sz val="11"/>
        <color theme="1"/>
        <rFont val="Calibri"/>
        <family val="2"/>
        <scheme val="minor"/>
      </rPr>
      <t>/Script World</t>
    </r>
  </si>
  <si>
    <t>SCRIPT WORLD</t>
  </si>
  <si>
    <t>Harborcreek
Rx Claims</t>
  </si>
  <si>
    <t>Copay Armor</t>
  </si>
  <si>
    <t>CVS Claims</t>
  </si>
  <si>
    <t>Rx Rebates &amp; Discount Guarantees</t>
  </si>
  <si>
    <t>Discount Guarantee</t>
  </si>
  <si>
    <t>Highmark Rebates &amp; Discount Guarantees</t>
  </si>
  <si>
    <t>Highmark Mini-Pool Credit</t>
  </si>
  <si>
    <t>ScriptWorld
Rx Rebates</t>
  </si>
  <si>
    <t>Rebates</t>
  </si>
  <si>
    <t>Erie County Technical School</t>
  </si>
  <si>
    <t>2023-2024</t>
  </si>
  <si>
    <t>Active</t>
  </si>
  <si>
    <t>Self</t>
  </si>
  <si>
    <t>Spouse</t>
  </si>
  <si>
    <t>Child</t>
  </si>
  <si>
    <t>Funding Holiday</t>
  </si>
  <si>
    <t>Swiss Re Reimbs.</t>
  </si>
  <si>
    <t>Swiss Re Premium</t>
  </si>
  <si>
    <t>Swiss Re Stop Loss Reimbursements</t>
  </si>
  <si>
    <t>Retirees</t>
  </si>
  <si>
    <t>Retiree</t>
  </si>
  <si>
    <t>FOLIC ACID TAB 1000MCG</t>
  </si>
  <si>
    <t>Acute myeloblastic leukemia, not having achieved remission</t>
  </si>
  <si>
    <t>M</t>
  </si>
  <si>
    <t>OXYCONTIN</t>
  </si>
  <si>
    <t>Encounter for antineoplastic chemotherapy</t>
  </si>
  <si>
    <t>Other hemolytic-uremic syndrome</t>
  </si>
  <si>
    <t>UBRELVY TAB 50MG</t>
  </si>
  <si>
    <t>Aneurysm of the ascending aorta, without rupture</t>
  </si>
  <si>
    <t>NONE</t>
  </si>
  <si>
    <t>Primary hyperoxaluria</t>
  </si>
  <si>
    <t>Mast cell activation, unspecified</t>
  </si>
  <si>
    <t>ELIQUIS</t>
  </si>
  <si>
    <t>Malignant neoplasm of unspecified ovary</t>
  </si>
  <si>
    <t>REVLIMID CAP 15MG</t>
  </si>
  <si>
    <t>Encounter for antineoplastic immunotherapy</t>
  </si>
  <si>
    <t>REPATHA SURECLICK</t>
  </si>
  <si>
    <t>CABOMETYX</t>
  </si>
  <si>
    <t>ACTEMRA</t>
  </si>
  <si>
    <t>Primary osteoarthritis, right shoulder</t>
  </si>
  <si>
    <t>FLECAINIDE ACETATE</t>
  </si>
  <si>
    <t>ENOXAPARIN SODIUM</t>
  </si>
  <si>
    <t>Coarctation of aorta</t>
  </si>
  <si>
    <t>TRELEGY AER ELLIPTA</t>
  </si>
  <si>
    <t>TRIKAFTA</t>
  </si>
  <si>
    <t>Cystic fibrosis, unspecified</t>
  </si>
  <si>
    <t>BRILINTA</t>
  </si>
  <si>
    <t>Hypertensive heart disease with heart failure</t>
  </si>
  <si>
    <t>Current R12</t>
  </si>
  <si>
    <t>Blend w/ Current R12</t>
  </si>
  <si>
    <t>Current:</t>
  </si>
  <si>
    <t>3Yr Avg:</t>
  </si>
  <si>
    <t>Auto Start</t>
  </si>
  <si>
    <t>Auto End</t>
  </si>
  <si>
    <t>School</t>
  </si>
  <si>
    <t>EEs</t>
  </si>
  <si>
    <t>adjustments</t>
  </si>
  <si>
    <t>rebates</t>
  </si>
  <si>
    <t>Rolling Projection</t>
  </si>
  <si>
    <t>CRYSELLE</t>
  </si>
  <si>
    <t>Spinal muscular atrophy, unspecified</t>
  </si>
  <si>
    <t>CEFADROXIL</t>
  </si>
  <si>
    <t>POMALYST</t>
  </si>
  <si>
    <t>TRESIBA FLEXTOUCH U-10</t>
  </si>
  <si>
    <t>Myositis, unspecified</t>
  </si>
  <si>
    <t>Nontraumatic subarachnoid hemorrhage from l verteb art</t>
  </si>
  <si>
    <t>XARELTO</t>
  </si>
  <si>
    <t>Nontraumatic subacute subdural hemorrhage</t>
  </si>
  <si>
    <t>DRONABINOL</t>
  </si>
  <si>
    <t>Malignant neoplasm of pancreas, unspecified</t>
  </si>
  <si>
    <t>COBRA</t>
  </si>
  <si>
    <t>Hyp hrt &amp; chr kdny dis w hrt fail and stg 1-4/unsp chr kdny</t>
  </si>
  <si>
    <t>Encounter for screening for malignant neoplasm of colon</t>
  </si>
  <si>
    <t>Malig neoplm of upper-outer quadrant of right female breast</t>
  </si>
  <si>
    <t>Paraplegia, complete</t>
  </si>
  <si>
    <t>MIPLYFFA</t>
  </si>
  <si>
    <t>Aphasia</t>
  </si>
  <si>
    <t>MUPIROCIN</t>
  </si>
  <si>
    <t>Athscl heart disease of native coronary artery w/o ang pctrs</t>
  </si>
  <si>
    <t>OMEPRAZOLE</t>
  </si>
  <si>
    <t>Dvtrcli of lg int w perforation and abscess w/o bleeding</t>
  </si>
  <si>
    <t>RINVOQ TAB 15MG ER</t>
  </si>
  <si>
    <t>Bilateral primary osteoarthritis of knee</t>
  </si>
  <si>
    <t>EMGALITY</t>
  </si>
  <si>
    <t>Malignant neoplasm of supraglottis</t>
  </si>
  <si>
    <t>XYWAV SOL 0.5GM/ML</t>
  </si>
  <si>
    <t>Hypersomnia, unspecified</t>
  </si>
  <si>
    <t>XOLAIR</t>
  </si>
  <si>
    <t>Leiomyoma of uterus, unspecified</t>
  </si>
  <si>
    <t>DEXAMETHASONE</t>
  </si>
  <si>
    <t>Benign neoplasm of cerebral meninges</t>
  </si>
  <si>
    <t>LOSARTAN POTASSIUM</t>
  </si>
  <si>
    <t>Malignant neoplasm of unsp kidney, except renal pelvis</t>
  </si>
  <si>
    <t>Esophageal varices with bleeding</t>
  </si>
  <si>
    <t>Benign neoplasm of left ovary</t>
  </si>
  <si>
    <t>SKYRIZI INJ 360/2.4</t>
  </si>
  <si>
    <t>Ulcerative colitis, unspecified, without complications</t>
  </si>
  <si>
    <t>STELARA</t>
  </si>
  <si>
    <t>Unsp subluxation of left ulnohumeral joint, init encntr</t>
  </si>
  <si>
    <t>ZTALMY</t>
  </si>
  <si>
    <t>Cyclin-Dependent Kinase-Like 5 Deficiency Disorder</t>
  </si>
  <si>
    <t>OLMESARTAN-HYDROCHLORO</t>
  </si>
  <si>
    <t>VERZENIO</t>
  </si>
  <si>
    <t>Encounter for antineoplastic radiation therapy</t>
  </si>
  <si>
    <t>Girard Rx Claims</t>
  </si>
  <si>
    <t>NWU5 Rx Claims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</si>
</sst>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.00"/>
    <numFmt numFmtId="166" formatCode="_(&quot;$&quot;* #,##0_);_(&quot;$&quot;* \(#,##0\);_(&quot;$&quot;* &quot;-&quot;??_);_(@_)"/>
    <numFmt numFmtId="167" formatCode="&quot;$&quot;#,##0"/>
    <numFmt numFmtId="168" formatCode="0.0"/>
  </numFmts>
  <fonts count="10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theme="1"/>
      <name val="Tahoma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4"/>
      <color theme="1" tint="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i/>
      <sz val="14"/>
      <name val="Calibri"/>
      <family val="2"/>
      <scheme val="minor"/>
    </font>
    <font>
      <sz val="8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C00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FFC000"/>
      <name val="Calibri"/>
      <family val="2"/>
      <scheme val="minor"/>
    </font>
    <font>
      <b/>
      <sz val="14"/>
      <color rgb="FFFFC00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2"/>
      <color rgb="FF0070C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4"/>
      <color indexed="30"/>
      <name val="Calibri"/>
      <family val="2"/>
      <scheme val="minor"/>
    </font>
    <font>
      <sz val="14"/>
      <color rgb="FFC00000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u val="singleAccounting"/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4"/>
      <color rgb="FFC00000"/>
      <name val="Calibri"/>
      <family val="2"/>
      <scheme val="minor"/>
    </font>
    <font>
      <b/>
      <u val="singleAccounting"/>
      <sz val="14"/>
      <name val="Calibri"/>
      <family val="2"/>
      <scheme val="minor"/>
    </font>
    <font>
      <b/>
      <i/>
      <u val="singleAccounting"/>
      <sz val="14"/>
      <color theme="1"/>
      <name val="Calibri"/>
      <family val="2"/>
      <scheme val="minor"/>
    </font>
    <font>
      <i/>
      <sz val="14"/>
      <color indexed="8"/>
      <name val="Calibri"/>
      <family val="2"/>
      <scheme val="minor"/>
    </font>
    <font>
      <b/>
      <sz val="14"/>
      <color rgb="FF7030A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8"/>
      <color rgb="FF7030A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4"/>
      <color rgb="FFFF0000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4"/>
      <color rgb="FFFFC000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</fonts>
  <fills count="7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/>
      <diagonal/>
    </border>
    <border>
      <left style="dashed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dash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dash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ashed">
        <color theme="0" tint="-0.499984740745262"/>
      </left>
      <right/>
      <top style="thin">
        <color theme="0" tint="-0.499984740745262"/>
      </top>
      <bottom/>
      <diagonal/>
    </border>
    <border>
      <left style="dashed">
        <color theme="0" tint="-0.499984740745262"/>
      </left>
      <right/>
      <top/>
      <bottom style="thin">
        <color theme="0" tint="-0.499984740745262"/>
      </bottom>
      <diagonal/>
    </border>
    <border>
      <left style="dashed">
        <color theme="0" tint="-0.499984740745262"/>
      </left>
      <right/>
      <top/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dashed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medium">
        <color auto="1"/>
      </right>
      <top/>
      <bottom/>
      <diagonal/>
    </border>
    <border>
      <left style="medium">
        <color auto="1"/>
      </left>
      <right style="dashed">
        <color auto="1"/>
      </right>
      <top style="double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dashed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 style="double">
        <color auto="1"/>
      </right>
      <top style="dashed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ashed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 diagonalUp="1" diagonalDown="1"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dashed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double">
        <color auto="1"/>
      </bottom>
      <diagonal/>
    </border>
    <border>
      <left style="dashed">
        <color indexed="64"/>
      </left>
      <right/>
      <top/>
      <bottom style="double">
        <color auto="1"/>
      </bottom>
      <diagonal/>
    </border>
    <border>
      <left/>
      <right style="dashed">
        <color indexed="64"/>
      </right>
      <top style="double">
        <color auto="1"/>
      </top>
      <bottom/>
      <diagonal/>
    </border>
    <border>
      <left style="dashed">
        <color indexed="64"/>
      </left>
      <right/>
      <top style="double">
        <color auto="1"/>
      </top>
      <bottom/>
      <diagonal/>
    </border>
    <border>
      <left/>
      <right style="dotted">
        <color indexed="64"/>
      </right>
      <top/>
      <bottom/>
      <diagonal/>
    </border>
    <border>
      <left/>
      <right style="double">
        <color indexed="64"/>
      </right>
      <top/>
      <bottom style="dashed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ashed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indexed="64"/>
      </right>
      <top/>
      <bottom style="double">
        <color auto="1"/>
      </bottom>
      <diagonal/>
    </border>
  </borders>
  <cellStyleXfs count="17075">
    <xf numFmtId="0" fontId="0" fillId="0" borderId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0" fillId="1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0" fillId="16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0" fillId="20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0" fillId="2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0" fillId="28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0" fillId="32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0" fillId="9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0" fillId="13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0" fillId="17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0" fillId="21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0" fillId="2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0" fillId="29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12" fillId="3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7" fillId="51" borderId="15" applyNumberFormat="0" applyAlignment="0" applyProtection="0"/>
    <xf numFmtId="0" fontId="27" fillId="51" borderId="15" applyNumberFormat="0" applyAlignment="0" applyProtection="0"/>
    <xf numFmtId="0" fontId="27" fillId="51" borderId="15" applyNumberFormat="0" applyAlignment="0" applyProtection="0"/>
    <xf numFmtId="0" fontId="27" fillId="51" borderId="15" applyNumberFormat="0" applyAlignment="0" applyProtection="0"/>
    <xf numFmtId="0" fontId="16" fillId="6" borderId="9" applyNumberFormat="0" applyAlignment="0" applyProtection="0"/>
    <xf numFmtId="0" fontId="27" fillId="51" borderId="15" applyNumberFormat="0" applyAlignment="0" applyProtection="0"/>
    <xf numFmtId="0" fontId="27" fillId="51" borderId="15" applyNumberFormat="0" applyAlignment="0" applyProtection="0"/>
    <xf numFmtId="0" fontId="27" fillId="51" borderId="15" applyNumberFormat="0" applyAlignment="0" applyProtection="0"/>
    <xf numFmtId="0" fontId="27" fillId="51" borderId="15" applyNumberFormat="0" applyAlignment="0" applyProtection="0"/>
    <xf numFmtId="0" fontId="27" fillId="51" borderId="15" applyNumberFormat="0" applyAlignment="0" applyProtection="0"/>
    <xf numFmtId="0" fontId="27" fillId="51" borderId="15" applyNumberFormat="0" applyAlignment="0" applyProtection="0"/>
    <xf numFmtId="0" fontId="27" fillId="51" borderId="15" applyNumberFormat="0" applyAlignment="0" applyProtection="0"/>
    <xf numFmtId="0" fontId="28" fillId="52" borderId="16" applyNumberFormat="0" applyAlignment="0" applyProtection="0"/>
    <xf numFmtId="0" fontId="28" fillId="52" borderId="16" applyNumberFormat="0" applyAlignment="0" applyProtection="0"/>
    <xf numFmtId="0" fontId="28" fillId="52" borderId="16" applyNumberFormat="0" applyAlignment="0" applyProtection="0"/>
    <xf numFmtId="0" fontId="28" fillId="52" borderId="16" applyNumberFormat="0" applyAlignment="0" applyProtection="0"/>
    <xf numFmtId="0" fontId="18" fillId="7" borderId="12" applyNumberFormat="0" applyAlignment="0" applyProtection="0"/>
    <xf numFmtId="0" fontId="28" fillId="52" borderId="16" applyNumberFormat="0" applyAlignment="0" applyProtection="0"/>
    <xf numFmtId="0" fontId="28" fillId="52" borderId="16" applyNumberFormat="0" applyAlignment="0" applyProtection="0"/>
    <xf numFmtId="0" fontId="28" fillId="52" borderId="16" applyNumberFormat="0" applyAlignment="0" applyProtection="0"/>
    <xf numFmtId="0" fontId="28" fillId="52" borderId="16" applyNumberFormat="0" applyAlignment="0" applyProtection="0"/>
    <xf numFmtId="0" fontId="28" fillId="52" borderId="16" applyNumberFormat="0" applyAlignment="0" applyProtection="0"/>
    <xf numFmtId="0" fontId="28" fillId="52" borderId="16" applyNumberFormat="0" applyAlignment="0" applyProtection="0"/>
    <xf numFmtId="0" fontId="28" fillId="52" borderId="16" applyNumberFormat="0" applyAlignment="0" applyProtection="0"/>
    <xf numFmtId="43" fontId="22" fillId="0" borderId="0" applyNumberForma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11" fillId="2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8" fillId="0" borderId="6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9" fillId="0" borderId="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10" fillId="0" borderId="8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15" applyNumberFormat="0" applyAlignment="0" applyProtection="0"/>
    <xf numFmtId="0" fontId="35" fillId="38" borderId="15" applyNumberFormat="0" applyAlignment="0" applyProtection="0"/>
    <xf numFmtId="0" fontId="35" fillId="38" borderId="15" applyNumberFormat="0" applyAlignment="0" applyProtection="0"/>
    <xf numFmtId="0" fontId="35" fillId="38" borderId="15" applyNumberFormat="0" applyAlignment="0" applyProtection="0"/>
    <xf numFmtId="0" fontId="14" fillId="5" borderId="9" applyNumberFormat="0" applyAlignment="0" applyProtection="0"/>
    <xf numFmtId="0" fontId="35" fillId="38" borderId="15" applyNumberFormat="0" applyAlignment="0" applyProtection="0"/>
    <xf numFmtId="0" fontId="35" fillId="38" borderId="15" applyNumberFormat="0" applyAlignment="0" applyProtection="0"/>
    <xf numFmtId="0" fontId="35" fillId="38" borderId="15" applyNumberFormat="0" applyAlignment="0" applyProtection="0"/>
    <xf numFmtId="0" fontId="35" fillId="38" borderId="15" applyNumberFormat="0" applyAlignment="0" applyProtection="0"/>
    <xf numFmtId="0" fontId="35" fillId="38" borderId="15" applyNumberFormat="0" applyAlignment="0" applyProtection="0"/>
    <xf numFmtId="0" fontId="35" fillId="38" borderId="15" applyNumberFormat="0" applyAlignment="0" applyProtection="0"/>
    <xf numFmtId="0" fontId="35" fillId="38" borderId="15" applyNumberFormat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17" fillId="0" borderId="11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6" fillId="0" borderId="20" applyNumberFormat="0" applyFill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13" fillId="4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23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4" borderId="21" applyNumberFormat="0" applyFont="0" applyAlignment="0" applyProtection="0"/>
    <xf numFmtId="0" fontId="22" fillId="54" borderId="21" applyNumberFormat="0" applyFont="0" applyAlignment="0" applyProtection="0"/>
    <xf numFmtId="0" fontId="22" fillId="54" borderId="21" applyNumberFormat="0" applyFont="0" applyAlignment="0" applyProtection="0"/>
    <xf numFmtId="0" fontId="22" fillId="54" borderId="21" applyNumberFormat="0" applyFont="0" applyAlignment="0" applyProtection="0"/>
    <xf numFmtId="0" fontId="24" fillId="54" borderId="21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22" fillId="54" borderId="21" applyNumberFormat="0" applyFont="0" applyAlignment="0" applyProtection="0"/>
    <xf numFmtId="0" fontId="22" fillId="54" borderId="21" applyNumberFormat="0" applyFont="0" applyAlignment="0" applyProtection="0"/>
    <xf numFmtId="0" fontId="22" fillId="54" borderId="21" applyNumberFormat="0" applyFont="0" applyAlignment="0" applyProtection="0"/>
    <xf numFmtId="0" fontId="22" fillId="54" borderId="21" applyNumberFormat="0" applyFont="0" applyAlignment="0" applyProtection="0"/>
    <xf numFmtId="0" fontId="22" fillId="54" borderId="21" applyNumberFormat="0" applyFont="0" applyAlignment="0" applyProtection="0"/>
    <xf numFmtId="0" fontId="22" fillId="54" borderId="21" applyNumberFormat="0" applyFont="0" applyAlignment="0" applyProtection="0"/>
    <xf numFmtId="0" fontId="22" fillId="54" borderId="21" applyNumberFormat="0" applyFont="0" applyAlignment="0" applyProtection="0"/>
    <xf numFmtId="0" fontId="40" fillId="51" borderId="22" applyNumberFormat="0" applyAlignment="0" applyProtection="0"/>
    <xf numFmtId="0" fontId="40" fillId="51" borderId="22" applyNumberFormat="0" applyAlignment="0" applyProtection="0"/>
    <xf numFmtId="0" fontId="40" fillId="51" borderId="22" applyNumberFormat="0" applyAlignment="0" applyProtection="0"/>
    <xf numFmtId="0" fontId="40" fillId="51" borderId="22" applyNumberFormat="0" applyAlignment="0" applyProtection="0"/>
    <xf numFmtId="0" fontId="15" fillId="6" borderId="10" applyNumberFormat="0" applyAlignment="0" applyProtection="0"/>
    <xf numFmtId="0" fontId="40" fillId="51" borderId="22" applyNumberFormat="0" applyAlignment="0" applyProtection="0"/>
    <xf numFmtId="0" fontId="40" fillId="51" borderId="22" applyNumberFormat="0" applyAlignment="0" applyProtection="0"/>
    <xf numFmtId="0" fontId="40" fillId="51" borderId="22" applyNumberFormat="0" applyAlignment="0" applyProtection="0"/>
    <xf numFmtId="0" fontId="40" fillId="51" borderId="22" applyNumberFormat="0" applyAlignment="0" applyProtection="0"/>
    <xf numFmtId="0" fontId="40" fillId="51" borderId="22" applyNumberFormat="0" applyAlignment="0" applyProtection="0"/>
    <xf numFmtId="0" fontId="40" fillId="51" borderId="22" applyNumberFormat="0" applyAlignment="0" applyProtection="0"/>
    <xf numFmtId="0" fontId="40" fillId="51" borderId="22" applyNumberFormat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" fillId="0" borderId="14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2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7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0" fillId="0" borderId="0" xfId="0" applyNumberFormat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right"/>
    </xf>
    <xf numFmtId="44" fontId="0" fillId="0" borderId="26" xfId="0" applyNumberFormat="1" applyBorder="1"/>
    <xf numFmtId="44" fontId="0" fillId="0" borderId="34" xfId="0" applyNumberFormat="1" applyBorder="1"/>
    <xf numFmtId="0" fontId="0" fillId="55" borderId="39" xfId="0" applyFill="1" applyBorder="1" applyAlignment="1">
      <alignment horizontal="center" vertical="center"/>
    </xf>
    <xf numFmtId="0" fontId="0" fillId="55" borderId="1" xfId="0" applyFill="1" applyBorder="1" applyAlignment="1">
      <alignment horizontal="center" vertical="center"/>
    </xf>
    <xf numFmtId="44" fontId="20" fillId="58" borderId="30" xfId="0" applyNumberFormat="1" applyFont="1" applyFill="1" applyBorder="1"/>
    <xf numFmtId="44" fontId="20" fillId="58" borderId="31" xfId="0" applyNumberFormat="1" applyFont="1" applyFill="1" applyBorder="1"/>
    <xf numFmtId="44" fontId="18" fillId="58" borderId="33" xfId="0" applyNumberFormat="1" applyFont="1" applyFill="1" applyBorder="1"/>
    <xf numFmtId="44" fontId="18" fillId="57" borderId="33" xfId="0" applyNumberFormat="1" applyFont="1" applyFill="1" applyBorder="1"/>
    <xf numFmtId="44" fontId="20" fillId="56" borderId="30" xfId="0" applyNumberFormat="1" applyFont="1" applyFill="1" applyBorder="1"/>
    <xf numFmtId="44" fontId="20" fillId="56" borderId="31" xfId="0" applyNumberFormat="1" applyFont="1" applyFill="1" applyBorder="1"/>
    <xf numFmtId="44" fontId="20" fillId="56" borderId="35" xfId="0" applyNumberFormat="1" applyFont="1" applyFill="1" applyBorder="1"/>
    <xf numFmtId="44" fontId="20" fillId="57" borderId="30" xfId="0" applyNumberFormat="1" applyFont="1" applyFill="1" applyBorder="1"/>
    <xf numFmtId="44" fontId="20" fillId="57" borderId="31" xfId="0" applyNumberFormat="1" applyFont="1" applyFill="1" applyBorder="1"/>
    <xf numFmtId="44" fontId="20" fillId="57" borderId="35" xfId="0" applyNumberFormat="1" applyFont="1" applyFill="1" applyBorder="1"/>
    <xf numFmtId="44" fontId="4" fillId="0" borderId="32" xfId="0" applyNumberFormat="1" applyFont="1" applyBorder="1"/>
    <xf numFmtId="44" fontId="20" fillId="59" borderId="30" xfId="0" applyNumberFormat="1" applyFont="1" applyFill="1" applyBorder="1"/>
    <xf numFmtId="44" fontId="20" fillId="59" borderId="31" xfId="0" applyNumberFormat="1" applyFont="1" applyFill="1" applyBorder="1"/>
    <xf numFmtId="44" fontId="20" fillId="59" borderId="35" xfId="0" applyNumberFormat="1" applyFont="1" applyFill="1" applyBorder="1"/>
    <xf numFmtId="44" fontId="18" fillId="59" borderId="33" xfId="0" applyNumberFormat="1" applyFont="1" applyFill="1" applyBorder="1"/>
    <xf numFmtId="44" fontId="0" fillId="0" borderId="36" xfId="0" applyNumberFormat="1" applyBorder="1"/>
    <xf numFmtId="44" fontId="0" fillId="0" borderId="24" xfId="0" applyNumberFormat="1" applyBorder="1"/>
    <xf numFmtId="0" fontId="53" fillId="0" borderId="0" xfId="0" applyFont="1"/>
    <xf numFmtId="0" fontId="18" fillId="59" borderId="45" xfId="0" applyFont="1" applyFill="1" applyBorder="1" applyAlignment="1">
      <alignment horizontal="center"/>
    </xf>
    <xf numFmtId="0" fontId="4" fillId="55" borderId="48" xfId="0" applyFont="1" applyFill="1" applyBorder="1" applyAlignment="1">
      <alignment horizontal="center" vertical="center"/>
    </xf>
    <xf numFmtId="0" fontId="4" fillId="55" borderId="49" xfId="0" applyFont="1" applyFill="1" applyBorder="1" applyAlignment="1">
      <alignment horizontal="center" vertical="center"/>
    </xf>
    <xf numFmtId="0" fontId="4" fillId="55" borderId="50" xfId="0" applyFont="1" applyFill="1" applyBorder="1" applyAlignment="1">
      <alignment horizontal="center" vertical="center"/>
    </xf>
    <xf numFmtId="0" fontId="18" fillId="57" borderId="46" xfId="0" applyFont="1" applyFill="1" applyBorder="1" applyAlignment="1">
      <alignment horizontal="center"/>
    </xf>
    <xf numFmtId="0" fontId="18" fillId="58" borderId="47" xfId="0" applyFont="1" applyFill="1" applyBorder="1" applyAlignment="1">
      <alignment horizontal="center"/>
    </xf>
    <xf numFmtId="0" fontId="53" fillId="0" borderId="0" xfId="0" applyFont="1" applyAlignment="1">
      <alignment horizontal="center"/>
    </xf>
    <xf numFmtId="0" fontId="20" fillId="62" borderId="54" xfId="0" applyFont="1" applyFill="1" applyBorder="1"/>
    <xf numFmtId="165" fontId="0" fillId="0" borderId="51" xfId="0" applyNumberFormat="1" applyBorder="1" applyAlignment="1">
      <alignment horizontal="center"/>
    </xf>
    <xf numFmtId="165" fontId="52" fillId="0" borderId="51" xfId="0" applyNumberFormat="1" applyFont="1" applyBorder="1" applyAlignment="1">
      <alignment horizontal="center"/>
    </xf>
    <xf numFmtId="44" fontId="0" fillId="0" borderId="53" xfId="0" applyNumberFormat="1" applyBorder="1"/>
    <xf numFmtId="44" fontId="18" fillId="62" borderId="56" xfId="0" applyNumberFormat="1" applyFont="1" applyFill="1" applyBorder="1"/>
    <xf numFmtId="3" fontId="0" fillId="0" borderId="51" xfId="0" applyNumberFormat="1" applyBorder="1" applyAlignment="1">
      <alignment horizontal="center"/>
    </xf>
    <xf numFmtId="3" fontId="0" fillId="0" borderId="52" xfId="0" applyNumberFormat="1" applyBorder="1" applyAlignment="1">
      <alignment horizontal="center"/>
    </xf>
    <xf numFmtId="3" fontId="18" fillId="59" borderId="54" xfId="0" applyNumberFormat="1" applyFont="1" applyFill="1" applyBorder="1" applyAlignment="1">
      <alignment horizontal="center"/>
    </xf>
    <xf numFmtId="3" fontId="18" fillId="57" borderId="55" xfId="0" applyNumberFormat="1" applyFont="1" applyFill="1" applyBorder="1" applyAlignment="1">
      <alignment horizontal="center"/>
    </xf>
    <xf numFmtId="3" fontId="4" fillId="0" borderId="53" xfId="0" applyNumberFormat="1" applyFont="1" applyBorder="1" applyAlignment="1">
      <alignment horizontal="center"/>
    </xf>
    <xf numFmtId="3" fontId="18" fillId="58" borderId="56" xfId="0" applyNumberFormat="1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quotePrefix="1"/>
    <xf numFmtId="0" fontId="52" fillId="0" borderId="0" xfId="0" quotePrefix="1" applyFont="1"/>
    <xf numFmtId="14" fontId="0" fillId="0" borderId="0" xfId="0" applyNumberFormat="1" applyAlignment="1">
      <alignment horizontal="center"/>
    </xf>
    <xf numFmtId="0" fontId="52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18" fillId="0" borderId="0" xfId="0" applyFont="1" applyAlignment="1">
      <alignment horizontal="right" vertical="top"/>
    </xf>
    <xf numFmtId="3" fontId="61" fillId="0" borderId="0" xfId="0" applyNumberFormat="1" applyFont="1" applyAlignment="1">
      <alignment horizontal="center" vertical="top"/>
    </xf>
    <xf numFmtId="0" fontId="0" fillId="0" borderId="0" xfId="0" quotePrefix="1" applyAlignment="1">
      <alignment vertical="top"/>
    </xf>
    <xf numFmtId="165" fontId="61" fillId="0" borderId="0" xfId="0" applyNumberFormat="1" applyFont="1" applyAlignment="1">
      <alignment horizontal="center"/>
    </xf>
    <xf numFmtId="165" fontId="5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52" fillId="0" borderId="0" xfId="0" applyNumberFormat="1" applyFont="1" applyAlignment="1">
      <alignment horizontal="center" vertical="top"/>
    </xf>
    <xf numFmtId="0" fontId="65" fillId="0" borderId="0" xfId="0" applyFont="1"/>
    <xf numFmtId="0" fontId="0" fillId="0" borderId="0" xfId="0" applyAlignment="1">
      <alignment wrapText="1"/>
    </xf>
    <xf numFmtId="0" fontId="66" fillId="0" borderId="58" xfId="0" applyFont="1" applyBorder="1" applyAlignment="1">
      <alignment horizontal="left" vertical="center"/>
    </xf>
    <xf numFmtId="0" fontId="56" fillId="0" borderId="59" xfId="0" applyFont="1" applyBorder="1" applyAlignment="1">
      <alignment horizontal="center" vertical="top"/>
    </xf>
    <xf numFmtId="0" fontId="0" fillId="0" borderId="60" xfId="0" applyBorder="1" applyAlignment="1">
      <alignment horizontal="center"/>
    </xf>
    <xf numFmtId="0" fontId="67" fillId="0" borderId="61" xfId="0" applyFont="1" applyBorder="1" applyAlignment="1">
      <alignment horizontal="left" vertical="center"/>
    </xf>
    <xf numFmtId="0" fontId="56" fillId="0" borderId="0" xfId="0" applyFont="1" applyAlignment="1">
      <alignment horizontal="center" vertical="top"/>
    </xf>
    <xf numFmtId="0" fontId="0" fillId="0" borderId="62" xfId="0" applyBorder="1"/>
    <xf numFmtId="0" fontId="68" fillId="0" borderId="63" xfId="0" applyFont="1" applyBorder="1" applyAlignment="1">
      <alignment horizontal="left" vertical="center"/>
    </xf>
    <xf numFmtId="0" fontId="56" fillId="0" borderId="64" xfId="0" applyFont="1" applyBorder="1" applyAlignment="1">
      <alignment horizontal="center" vertical="top"/>
    </xf>
    <xf numFmtId="0" fontId="0" fillId="0" borderId="65" xfId="0" applyBorder="1"/>
    <xf numFmtId="0" fontId="69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52" fillId="0" borderId="0" xfId="0" applyFont="1"/>
    <xf numFmtId="14" fontId="5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0" xfId="0" quotePrefix="1" applyNumberFormat="1" applyAlignment="1">
      <alignment horizontal="center" vertical="center"/>
    </xf>
    <xf numFmtId="0" fontId="61" fillId="0" borderId="0" xfId="0" applyFont="1" applyAlignment="1">
      <alignment horizontal="center"/>
    </xf>
    <xf numFmtId="0" fontId="61" fillId="0" borderId="0" xfId="0" applyFont="1"/>
    <xf numFmtId="0" fontId="61" fillId="0" borderId="0" xfId="0" quotePrefix="1" applyFont="1"/>
    <xf numFmtId="0" fontId="61" fillId="0" borderId="0" xfId="0" quotePrefix="1" applyFont="1" applyAlignment="1">
      <alignment vertical="top"/>
    </xf>
    <xf numFmtId="167" fontId="53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165" fontId="18" fillId="0" borderId="0" xfId="0" applyNumberFormat="1" applyFont="1" applyAlignment="1">
      <alignment horizontal="center"/>
    </xf>
    <xf numFmtId="44" fontId="1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18" fillId="0" borderId="0" xfId="0" applyFont="1"/>
    <xf numFmtId="0" fontId="18" fillId="0" borderId="0" xfId="0" quotePrefix="1" applyFont="1"/>
    <xf numFmtId="0" fontId="18" fillId="0" borderId="66" xfId="0" applyFont="1" applyBorder="1" applyAlignment="1">
      <alignment horizontal="right"/>
    </xf>
    <xf numFmtId="1" fontId="61" fillId="0" borderId="24" xfId="0" applyNumberFormat="1" applyFont="1" applyBorder="1" applyAlignment="1">
      <alignment horizontal="center" vertical="center"/>
    </xf>
    <xf numFmtId="44" fontId="52" fillId="0" borderId="0" xfId="0" applyNumberFormat="1" applyFont="1" applyAlignment="1">
      <alignment horizontal="center"/>
    </xf>
    <xf numFmtId="1" fontId="61" fillId="0" borderId="0" xfId="0" applyNumberFormat="1" applyFont="1" applyAlignment="1">
      <alignment horizontal="center" vertical="center"/>
    </xf>
    <xf numFmtId="44" fontId="61" fillId="0" borderId="0" xfId="0" applyNumberFormat="1" applyFont="1" applyAlignment="1">
      <alignment horizontal="center"/>
    </xf>
    <xf numFmtId="1" fontId="61" fillId="0" borderId="1" xfId="0" applyNumberFormat="1" applyFont="1" applyBorder="1" applyAlignment="1">
      <alignment horizontal="center" vertical="center"/>
    </xf>
    <xf numFmtId="44" fontId="61" fillId="0" borderId="1" xfId="0" applyNumberFormat="1" applyFont="1" applyBorder="1" applyAlignment="1">
      <alignment horizontal="center"/>
    </xf>
    <xf numFmtId="44" fontId="61" fillId="0" borderId="24" xfId="0" applyNumberFormat="1" applyFont="1" applyBorder="1" applyAlignment="1">
      <alignment horizontal="center"/>
    </xf>
    <xf numFmtId="44" fontId="52" fillId="0" borderId="0" xfId="0" applyNumberFormat="1" applyFont="1"/>
    <xf numFmtId="1" fontId="61" fillId="0" borderId="69" xfId="0" applyNumberFormat="1" applyFont="1" applyBorder="1" applyAlignment="1">
      <alignment horizontal="center" vertical="center"/>
    </xf>
    <xf numFmtId="1" fontId="61" fillId="0" borderId="70" xfId="0" applyNumberFormat="1" applyFont="1" applyBorder="1" applyAlignment="1">
      <alignment horizontal="center" vertical="center"/>
    </xf>
    <xf numFmtId="44" fontId="61" fillId="0" borderId="0" xfId="0" applyNumberFormat="1" applyFont="1" applyAlignment="1">
      <alignment horizontal="center" vertical="top"/>
    </xf>
    <xf numFmtId="1" fontId="0" fillId="0" borderId="70" xfId="0" applyNumberFormat="1" applyBorder="1" applyAlignment="1">
      <alignment horizontal="center" vertical="center"/>
    </xf>
    <xf numFmtId="1" fontId="0" fillId="0" borderId="7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4" fontId="4" fillId="0" borderId="70" xfId="0" applyNumberFormat="1" applyFont="1" applyBorder="1"/>
    <xf numFmtId="44" fontId="18" fillId="56" borderId="77" xfId="0" applyNumberFormat="1" applyFont="1" applyFill="1" applyBorder="1"/>
    <xf numFmtId="44" fontId="4" fillId="0" borderId="69" xfId="0" applyNumberFormat="1" applyFont="1" applyBorder="1"/>
    <xf numFmtId="44" fontId="0" fillId="0" borderId="38" xfId="0" applyNumberFormat="1" applyBorder="1"/>
    <xf numFmtId="44" fontId="0" fillId="0" borderId="32" xfId="0" applyNumberFormat="1" applyBorder="1"/>
    <xf numFmtId="44" fontId="20" fillId="63" borderId="30" xfId="0" applyNumberFormat="1" applyFont="1" applyFill="1" applyBorder="1"/>
    <xf numFmtId="44" fontId="20" fillId="63" borderId="31" xfId="0" applyNumberFormat="1" applyFont="1" applyFill="1" applyBorder="1"/>
    <xf numFmtId="44" fontId="18" fillId="63" borderId="77" xfId="0" applyNumberFormat="1" applyFont="1" applyFill="1" applyBorder="1"/>
    <xf numFmtId="44" fontId="20" fillId="63" borderId="33" xfId="0" applyNumberFormat="1" applyFont="1" applyFill="1" applyBorder="1"/>
    <xf numFmtId="0" fontId="0" fillId="55" borderId="71" xfId="0" applyFill="1" applyBorder="1" applyAlignment="1">
      <alignment horizontal="center" vertical="center"/>
    </xf>
    <xf numFmtId="0" fontId="0" fillId="55" borderId="68" xfId="0" applyFill="1" applyBorder="1" applyAlignment="1">
      <alignment horizontal="center" vertical="center"/>
    </xf>
    <xf numFmtId="3" fontId="0" fillId="0" borderId="38" xfId="0" applyNumberFormat="1" applyBorder="1" applyAlignment="1">
      <alignment horizontal="center"/>
    </xf>
    <xf numFmtId="3" fontId="0" fillId="0" borderId="32" xfId="0" applyNumberFormat="1" applyBorder="1" applyAlignment="1">
      <alignment horizontal="center"/>
    </xf>
    <xf numFmtId="1" fontId="18" fillId="56" borderId="33" xfId="0" applyNumberFormat="1" applyFont="1" applyFill="1" applyBorder="1" applyAlignment="1">
      <alignment horizontal="center"/>
    </xf>
    <xf numFmtId="1" fontId="18" fillId="63" borderId="77" xfId="0" applyNumberFormat="1" applyFont="1" applyFill="1" applyBorder="1" applyAlignment="1">
      <alignment horizontal="center"/>
    </xf>
    <xf numFmtId="44" fontId="53" fillId="0" borderId="0" xfId="0" applyNumberFormat="1" applyFont="1" applyAlignment="1">
      <alignment vertical="center"/>
    </xf>
    <xf numFmtId="44" fontId="61" fillId="0" borderId="0" xfId="0" quotePrefix="1" applyNumberFormat="1" applyFont="1" applyAlignment="1">
      <alignment vertical="center"/>
    </xf>
    <xf numFmtId="44" fontId="61" fillId="0" borderId="0" xfId="0" applyNumberFormat="1" applyFont="1" applyAlignment="1">
      <alignment vertical="center"/>
    </xf>
    <xf numFmtId="0" fontId="46" fillId="64" borderId="0" xfId="0" applyFont="1" applyFill="1" applyProtection="1">
      <protection locked="0"/>
    </xf>
    <xf numFmtId="0" fontId="46" fillId="64" borderId="0" xfId="0" applyFont="1" applyFill="1" applyAlignment="1" applyProtection="1">
      <alignment wrapText="1"/>
      <protection locked="0"/>
    </xf>
    <xf numFmtId="0" fontId="0" fillId="64" borderId="0" xfId="0" applyFill="1" applyAlignment="1">
      <alignment horizontal="left"/>
    </xf>
    <xf numFmtId="37" fontId="0" fillId="64" borderId="0" xfId="17072" applyNumberFormat="1" applyFont="1" applyFill="1" applyAlignment="1">
      <alignment horizontal="center" vertical="center" wrapText="1"/>
    </xf>
    <xf numFmtId="10" fontId="45" fillId="64" borderId="0" xfId="0" applyNumberFormat="1" applyFont="1" applyFill="1" applyAlignment="1">
      <alignment horizontal="center" wrapText="1"/>
    </xf>
    <xf numFmtId="37" fontId="52" fillId="64" borderId="0" xfId="17072" applyNumberFormat="1" applyFont="1" applyFill="1" applyAlignment="1">
      <alignment horizontal="center" vertical="center" wrapText="1"/>
    </xf>
    <xf numFmtId="0" fontId="4" fillId="64" borderId="0" xfId="0" applyFont="1" applyFill="1" applyAlignment="1">
      <alignment horizontal="left"/>
    </xf>
    <xf numFmtId="10" fontId="70" fillId="64" borderId="0" xfId="0" applyNumberFormat="1" applyFont="1" applyFill="1" applyAlignment="1">
      <alignment horizontal="center" wrapText="1"/>
    </xf>
    <xf numFmtId="10" fontId="4" fillId="64" borderId="0" xfId="0" applyNumberFormat="1" applyFont="1" applyFill="1" applyAlignment="1">
      <alignment horizontal="center" wrapText="1"/>
    </xf>
    <xf numFmtId="10" fontId="4" fillId="64" borderId="0" xfId="17073" applyNumberFormat="1" applyFont="1" applyFill="1" applyAlignment="1">
      <alignment horizontal="center" wrapText="1"/>
    </xf>
    <xf numFmtId="0" fontId="4" fillId="64" borderId="0" xfId="0" applyFont="1" applyFill="1" applyAlignment="1">
      <alignment wrapText="1"/>
    </xf>
    <xf numFmtId="0" fontId="0" fillId="64" borderId="0" xfId="0" applyFill="1"/>
    <xf numFmtId="0" fontId="0" fillId="64" borderId="0" xfId="0" applyFill="1" applyAlignment="1">
      <alignment wrapText="1"/>
    </xf>
    <xf numFmtId="167" fontId="45" fillId="64" borderId="0" xfId="0" applyNumberFormat="1" applyFont="1" applyFill="1" applyAlignment="1">
      <alignment horizontal="center" wrapText="1"/>
    </xf>
    <xf numFmtId="0" fontId="45" fillId="64" borderId="0" xfId="0" applyFont="1" applyFill="1" applyAlignment="1">
      <alignment wrapText="1"/>
    </xf>
    <xf numFmtId="10" fontId="0" fillId="64" borderId="0" xfId="0" applyNumberFormat="1" applyFill="1" applyAlignment="1">
      <alignment horizontal="center" wrapText="1"/>
    </xf>
    <xf numFmtId="0" fontId="55" fillId="64" borderId="0" xfId="0" applyFont="1" applyFill="1" applyAlignment="1">
      <alignment horizontal="center"/>
    </xf>
    <xf numFmtId="0" fontId="59" fillId="64" borderId="0" xfId="0" applyFont="1" applyFill="1"/>
    <xf numFmtId="0" fontId="60" fillId="64" borderId="0" xfId="0" applyFont="1" applyFill="1"/>
    <xf numFmtId="0" fontId="62" fillId="64" borderId="0" xfId="0" applyFont="1" applyFill="1"/>
    <xf numFmtId="0" fontId="46" fillId="64" borderId="0" xfId="0" applyFont="1" applyFill="1"/>
    <xf numFmtId="0" fontId="50" fillId="64" borderId="0" xfId="0" applyFont="1" applyFill="1" applyAlignment="1">
      <alignment horizontal="center"/>
    </xf>
    <xf numFmtId="0" fontId="51" fillId="64" borderId="0" xfId="0" applyFont="1" applyFill="1" applyAlignment="1">
      <alignment horizontal="left" vertical="center"/>
    </xf>
    <xf numFmtId="44" fontId="3" fillId="64" borderId="44" xfId="0" applyNumberFormat="1" applyFont="1" applyFill="1" applyBorder="1" applyAlignment="1">
      <alignment horizontal="center" vertical="center"/>
    </xf>
    <xf numFmtId="0" fontId="3" fillId="64" borderId="0" xfId="0" applyFont="1" applyFill="1" applyAlignment="1">
      <alignment horizontal="center"/>
    </xf>
    <xf numFmtId="0" fontId="44" fillId="64" borderId="0" xfId="0" applyFont="1" applyFill="1" applyAlignment="1">
      <alignment horizontal="center"/>
    </xf>
    <xf numFmtId="42" fontId="3" fillId="64" borderId="0" xfId="0" applyNumberFormat="1" applyFont="1" applyFill="1" applyAlignment="1">
      <alignment horizontal="center"/>
    </xf>
    <xf numFmtId="0" fontId="2" fillId="64" borderId="0" xfId="0" applyFont="1" applyFill="1"/>
    <xf numFmtId="42" fontId="0" fillId="64" borderId="0" xfId="0" applyNumberFormat="1" applyFill="1"/>
    <xf numFmtId="0" fontId="0" fillId="64" borderId="0" xfId="0" applyFill="1" applyAlignment="1">
      <alignment horizontal="right"/>
    </xf>
    <xf numFmtId="44" fontId="0" fillId="64" borderId="0" xfId="0" applyNumberFormat="1" applyFill="1"/>
    <xf numFmtId="166" fontId="0" fillId="64" borderId="70" xfId="0" applyNumberFormat="1" applyFill="1" applyBorder="1" applyAlignment="1">
      <alignment wrapText="1"/>
    </xf>
    <xf numFmtId="166" fontId="0" fillId="64" borderId="0" xfId="0" applyNumberFormat="1" applyFill="1" applyAlignment="1">
      <alignment wrapText="1"/>
    </xf>
    <xf numFmtId="166" fontId="0" fillId="64" borderId="71" xfId="0" applyNumberFormat="1" applyFill="1" applyBorder="1" applyAlignment="1">
      <alignment wrapText="1"/>
    </xf>
    <xf numFmtId="166" fontId="0" fillId="64" borderId="1" xfId="0" applyNumberFormat="1" applyFill="1" applyBorder="1" applyAlignment="1">
      <alignment wrapText="1"/>
    </xf>
    <xf numFmtId="166" fontId="0" fillId="64" borderId="80" xfId="0" applyNumberFormat="1" applyFill="1" applyBorder="1" applyAlignment="1">
      <alignment wrapText="1"/>
    </xf>
    <xf numFmtId="166" fontId="0" fillId="64" borderId="82" xfId="0" applyNumberFormat="1" applyFill="1" applyBorder="1" applyAlignment="1">
      <alignment wrapText="1"/>
    </xf>
    <xf numFmtId="10" fontId="45" fillId="65" borderId="79" xfId="0" applyNumberFormat="1" applyFont="1" applyFill="1" applyBorder="1" applyAlignment="1">
      <alignment horizontal="center" wrapText="1"/>
    </xf>
    <xf numFmtId="10" fontId="45" fillId="65" borderId="81" xfId="0" applyNumberFormat="1" applyFont="1" applyFill="1" applyBorder="1" applyAlignment="1">
      <alignment horizontal="center" wrapText="1"/>
    </xf>
    <xf numFmtId="10" fontId="45" fillId="65" borderId="0" xfId="0" applyNumberFormat="1" applyFont="1" applyFill="1" applyAlignment="1">
      <alignment horizontal="center" wrapText="1"/>
    </xf>
    <xf numFmtId="10" fontId="45" fillId="65" borderId="67" xfId="0" applyNumberFormat="1" applyFont="1" applyFill="1" applyBorder="1" applyAlignment="1">
      <alignment horizontal="center" wrapText="1"/>
    </xf>
    <xf numFmtId="10" fontId="45" fillId="65" borderId="66" xfId="0" applyNumberFormat="1" applyFont="1" applyFill="1" applyBorder="1" applyAlignment="1">
      <alignment horizontal="center" wrapText="1"/>
    </xf>
    <xf numFmtId="10" fontId="45" fillId="65" borderId="68" xfId="0" applyNumberFormat="1" applyFont="1" applyFill="1" applyBorder="1" applyAlignment="1">
      <alignment horizontal="center" wrapText="1"/>
    </xf>
    <xf numFmtId="10" fontId="45" fillId="65" borderId="83" xfId="0" applyNumberFormat="1" applyFont="1" applyFill="1" applyBorder="1" applyAlignment="1">
      <alignment horizontal="center" wrapText="1"/>
    </xf>
    <xf numFmtId="0" fontId="0" fillId="64" borderId="69" xfId="0" applyFill="1" applyBorder="1" applyAlignment="1">
      <alignment horizontal="center" wrapText="1"/>
    </xf>
    <xf numFmtId="0" fontId="0" fillId="64" borderId="24" xfId="0" applyFill="1" applyBorder="1" applyAlignment="1">
      <alignment horizontal="center" wrapText="1"/>
    </xf>
    <xf numFmtId="1" fontId="52" fillId="64" borderId="24" xfId="0" applyNumberFormat="1" applyFont="1" applyFill="1" applyBorder="1" applyAlignment="1">
      <alignment horizontal="center" wrapText="1"/>
    </xf>
    <xf numFmtId="166" fontId="52" fillId="64" borderId="0" xfId="0" applyNumberFormat="1" applyFont="1" applyFill="1" applyAlignment="1">
      <alignment wrapText="1"/>
    </xf>
    <xf numFmtId="166" fontId="52" fillId="64" borderId="1" xfId="0" applyNumberFormat="1" applyFont="1" applyFill="1" applyBorder="1" applyAlignment="1">
      <alignment wrapText="1"/>
    </xf>
    <xf numFmtId="0" fontId="0" fillId="64" borderId="78" xfId="0" applyFill="1" applyBorder="1" applyAlignment="1">
      <alignment horizontal="center" wrapText="1"/>
    </xf>
    <xf numFmtId="44" fontId="2" fillId="64" borderId="44" xfId="0" applyNumberFormat="1" applyFont="1" applyFill="1" applyBorder="1" applyAlignment="1">
      <alignment horizontal="center" vertical="center"/>
    </xf>
    <xf numFmtId="44" fontId="2" fillId="64" borderId="0" xfId="0" applyNumberFormat="1" applyFont="1" applyFill="1" applyAlignment="1">
      <alignment horizontal="center" vertical="center"/>
    </xf>
    <xf numFmtId="0" fontId="77" fillId="66" borderId="0" xfId="0" applyFont="1" applyFill="1" applyAlignment="1">
      <alignment horizontal="center" vertical="top" wrapText="1"/>
    </xf>
    <xf numFmtId="0" fontId="54" fillId="66" borderId="0" xfId="0" applyFont="1" applyFill="1" applyAlignment="1">
      <alignment vertical="center"/>
    </xf>
    <xf numFmtId="0" fontId="78" fillId="66" borderId="84" xfId="0" applyFont="1" applyFill="1" applyBorder="1" applyAlignment="1">
      <alignment horizontal="center" vertical="center" wrapText="1"/>
    </xf>
    <xf numFmtId="0" fontId="78" fillId="66" borderId="4" xfId="0" applyFont="1" applyFill="1" applyBorder="1" applyAlignment="1">
      <alignment horizontal="center" vertical="center" wrapText="1"/>
    </xf>
    <xf numFmtId="0" fontId="78" fillId="66" borderId="85" xfId="0" applyFont="1" applyFill="1" applyBorder="1" applyAlignment="1">
      <alignment horizontal="center" vertical="center" wrapText="1"/>
    </xf>
    <xf numFmtId="0" fontId="54" fillId="66" borderId="3" xfId="0" applyFont="1" applyFill="1" applyBorder="1" applyAlignment="1">
      <alignment horizontal="center" vertical="center"/>
    </xf>
    <xf numFmtId="44" fontId="54" fillId="66" borderId="3" xfId="0" applyNumberFormat="1" applyFont="1" applyFill="1" applyBorder="1" applyAlignment="1">
      <alignment horizontal="center" vertical="center"/>
    </xf>
    <xf numFmtId="0" fontId="51" fillId="65" borderId="0" xfId="0" applyFont="1" applyFill="1" applyAlignment="1">
      <alignment horizontal="left" vertical="center"/>
    </xf>
    <xf numFmtId="44" fontId="2" fillId="65" borderId="44" xfId="0" applyNumberFormat="1" applyFont="1" applyFill="1" applyBorder="1" applyAlignment="1">
      <alignment horizontal="center" vertical="center"/>
    </xf>
    <xf numFmtId="44" fontId="3" fillId="65" borderId="44" xfId="0" applyNumberFormat="1" applyFont="1" applyFill="1" applyBorder="1" applyAlignment="1">
      <alignment horizontal="center" vertical="center"/>
    </xf>
    <xf numFmtId="0" fontId="62" fillId="64" borderId="0" xfId="0" applyFont="1" applyFill="1" applyAlignment="1">
      <alignment horizontal="left"/>
    </xf>
    <xf numFmtId="37" fontId="0" fillId="0" borderId="69" xfId="0" applyNumberFormat="1" applyBorder="1" applyAlignment="1">
      <alignment horizontal="center"/>
    </xf>
    <xf numFmtId="37" fontId="0" fillId="0" borderId="24" xfId="0" applyNumberFormat="1" applyBorder="1" applyAlignment="1">
      <alignment horizontal="center"/>
    </xf>
    <xf numFmtId="37" fontId="0" fillId="0" borderId="67" xfId="0" applyNumberFormat="1" applyBorder="1" applyAlignment="1">
      <alignment horizontal="center"/>
    </xf>
    <xf numFmtId="37" fontId="0" fillId="0" borderId="70" xfId="0" applyNumberFormat="1" applyBorder="1" applyAlignment="1">
      <alignment horizontal="center"/>
    </xf>
    <xf numFmtId="37" fontId="0" fillId="0" borderId="0" xfId="0" applyNumberFormat="1" applyAlignment="1">
      <alignment horizontal="center"/>
    </xf>
    <xf numFmtId="37" fontId="0" fillId="0" borderId="66" xfId="0" applyNumberFormat="1" applyBorder="1" applyAlignment="1">
      <alignment horizontal="center"/>
    </xf>
    <xf numFmtId="0" fontId="21" fillId="64" borderId="0" xfId="0" applyFont="1" applyFill="1" applyAlignment="1" applyProtection="1">
      <alignment horizontal="center"/>
      <protection locked="0"/>
    </xf>
    <xf numFmtId="0" fontId="49" fillId="64" borderId="0" xfId="0" applyFont="1" applyFill="1" applyAlignment="1">
      <alignment horizontal="center"/>
    </xf>
    <xf numFmtId="0" fontId="20" fillId="59" borderId="0" xfId="0" applyFont="1" applyFill="1"/>
    <xf numFmtId="0" fontId="20" fillId="59" borderId="0" xfId="0" applyFont="1" applyFill="1" applyAlignment="1">
      <alignment horizontal="center"/>
    </xf>
    <xf numFmtId="49" fontId="0" fillId="0" borderId="0" xfId="0" applyNumberFormat="1"/>
    <xf numFmtId="44" fontId="21" fillId="64" borderId="0" xfId="0" applyNumberFormat="1" applyFont="1" applyFill="1" applyAlignment="1" applyProtection="1">
      <alignment horizontal="center"/>
      <protection locked="0"/>
    </xf>
    <xf numFmtId="44" fontId="49" fillId="64" borderId="0" xfId="0" applyNumberFormat="1" applyFont="1" applyFill="1" applyAlignment="1">
      <alignment horizontal="center"/>
    </xf>
    <xf numFmtId="0" fontId="4" fillId="0" borderId="0" xfId="0" applyFont="1"/>
    <xf numFmtId="166" fontId="4" fillId="0" borderId="0" xfId="0" applyNumberFormat="1" applyFont="1"/>
    <xf numFmtId="0" fontId="0" fillId="64" borderId="0" xfId="0" applyFill="1" applyAlignment="1">
      <alignment horizontal="center"/>
    </xf>
    <xf numFmtId="0" fontId="53" fillId="0" borderId="0" xfId="0" quotePrefix="1" applyFont="1" applyAlignment="1">
      <alignment horizontal="right"/>
    </xf>
    <xf numFmtId="3" fontId="0" fillId="0" borderId="0" xfId="0" applyNumberFormat="1"/>
    <xf numFmtId="0" fontId="18" fillId="59" borderId="0" xfId="0" applyFont="1" applyFill="1"/>
    <xf numFmtId="2" fontId="0" fillId="0" borderId="0" xfId="0" applyNumberFormat="1"/>
    <xf numFmtId="1" fontId="0" fillId="0" borderId="0" xfId="0" applyNumberFormat="1"/>
    <xf numFmtId="1" fontId="18" fillId="59" borderId="0" xfId="0" applyNumberFormat="1" applyFont="1" applyFill="1"/>
    <xf numFmtId="44" fontId="53" fillId="0" borderId="0" xfId="0" quotePrefix="1" applyNumberFormat="1" applyFont="1" applyAlignment="1">
      <alignment horizontal="right"/>
    </xf>
    <xf numFmtId="8" fontId="0" fillId="0" borderId="0" xfId="0" applyNumberFormat="1"/>
    <xf numFmtId="0" fontId="74" fillId="0" borderId="0" xfId="0" quotePrefix="1" applyFont="1" applyAlignment="1">
      <alignment horizontal="center"/>
    </xf>
    <xf numFmtId="0" fontId="74" fillId="0" borderId="0" xfId="0" applyFont="1" applyAlignment="1">
      <alignment horizontal="center"/>
    </xf>
    <xf numFmtId="0" fontId="74" fillId="0" borderId="0" xfId="0" applyFont="1" applyAlignment="1">
      <alignment horizontal="center" vertical="center"/>
    </xf>
    <xf numFmtId="0" fontId="74" fillId="0" borderId="0" xfId="0" quotePrefix="1" applyFont="1" applyAlignment="1">
      <alignment horizontal="center" vertical="center"/>
    </xf>
    <xf numFmtId="49" fontId="18" fillId="59" borderId="0" xfId="0" applyNumberFormat="1" applyFont="1" applyFill="1"/>
    <xf numFmtId="0" fontId="54" fillId="66" borderId="0" xfId="0" applyFont="1" applyFill="1" applyAlignment="1">
      <alignment horizontal="center" vertical="center"/>
    </xf>
    <xf numFmtId="0" fontId="54" fillId="66" borderId="0" xfId="0" applyFont="1" applyFill="1" applyAlignment="1">
      <alignment horizontal="center"/>
    </xf>
    <xf numFmtId="0" fontId="54" fillId="66" borderId="86" xfId="0" applyFont="1" applyFill="1" applyBorder="1" applyAlignment="1">
      <alignment horizontal="center"/>
    </xf>
    <xf numFmtId="0" fontId="54" fillId="66" borderId="87" xfId="0" applyFont="1" applyFill="1" applyBorder="1" applyAlignment="1">
      <alignment horizontal="center"/>
    </xf>
    <xf numFmtId="166" fontId="2" fillId="64" borderId="0" xfId="0" applyNumberFormat="1" applyFont="1" applyFill="1"/>
    <xf numFmtId="0" fontId="2" fillId="64" borderId="80" xfId="0" applyFont="1" applyFill="1" applyBorder="1" applyAlignment="1">
      <alignment horizontal="center"/>
    </xf>
    <xf numFmtId="0" fontId="2" fillId="64" borderId="0" xfId="0" applyFont="1" applyFill="1" applyAlignment="1">
      <alignment horizontal="center"/>
    </xf>
    <xf numFmtId="44" fontId="2" fillId="64" borderId="81" xfId="0" applyNumberFormat="1" applyFont="1" applyFill="1" applyBorder="1" applyAlignment="1">
      <alignment horizontal="center"/>
    </xf>
    <xf numFmtId="44" fontId="2" fillId="64" borderId="0" xfId="0" applyNumberFormat="1" applyFont="1" applyFill="1"/>
    <xf numFmtId="0" fontId="2" fillId="65" borderId="0" xfId="0" applyFont="1" applyFill="1"/>
    <xf numFmtId="166" fontId="2" fillId="65" borderId="0" xfId="0" applyNumberFormat="1" applyFont="1" applyFill="1"/>
    <xf numFmtId="0" fontId="2" fillId="65" borderId="80" xfId="0" applyFont="1" applyFill="1" applyBorder="1" applyAlignment="1">
      <alignment horizontal="center"/>
    </xf>
    <xf numFmtId="0" fontId="2" fillId="65" borderId="0" xfId="0" applyFont="1" applyFill="1" applyAlignment="1">
      <alignment horizontal="center"/>
    </xf>
    <xf numFmtId="44" fontId="2" fillId="65" borderId="81" xfId="0" applyNumberFormat="1" applyFont="1" applyFill="1" applyBorder="1" applyAlignment="1">
      <alignment horizontal="center"/>
    </xf>
    <xf numFmtId="44" fontId="2" fillId="65" borderId="0" xfId="0" applyNumberFormat="1" applyFont="1" applyFill="1"/>
    <xf numFmtId="0" fontId="54" fillId="66" borderId="0" xfId="0" applyFont="1" applyFill="1"/>
    <xf numFmtId="44" fontId="54" fillId="66" borderId="0" xfId="0" applyNumberFormat="1" applyFont="1" applyFill="1"/>
    <xf numFmtId="44" fontId="54" fillId="66" borderId="87" xfId="0" applyNumberFormat="1" applyFont="1" applyFill="1" applyBorder="1" applyAlignment="1">
      <alignment horizontal="center"/>
    </xf>
    <xf numFmtId="0" fontId="2" fillId="0" borderId="0" xfId="0" applyFont="1"/>
    <xf numFmtId="44" fontId="54" fillId="66" borderId="0" xfId="0" applyNumberFormat="1" applyFont="1" applyFill="1" applyAlignment="1">
      <alignment horizontal="center"/>
    </xf>
    <xf numFmtId="44" fontId="2" fillId="0" borderId="0" xfId="0" applyNumberFormat="1" applyFont="1"/>
    <xf numFmtId="44" fontId="2" fillId="0" borderId="0" xfId="0" quotePrefix="1" applyNumberFormat="1" applyFont="1"/>
    <xf numFmtId="2" fontId="54" fillId="66" borderId="86" xfId="0" applyNumberFormat="1" applyFont="1" applyFill="1" applyBorder="1" applyAlignment="1">
      <alignment horizontal="center" vertical="center"/>
    </xf>
    <xf numFmtId="2" fontId="54" fillId="66" borderId="0" xfId="0" applyNumberFormat="1" applyFont="1" applyFill="1" applyAlignment="1">
      <alignment horizontal="center" vertical="center"/>
    </xf>
    <xf numFmtId="2" fontId="54" fillId="66" borderId="87" xfId="0" applyNumberFormat="1" applyFont="1" applyFill="1" applyBorder="1" applyAlignment="1">
      <alignment horizontal="center" vertical="center"/>
    </xf>
    <xf numFmtId="2" fontId="54" fillId="66" borderId="88" xfId="0" applyNumberFormat="1" applyFont="1" applyFill="1" applyBorder="1" applyAlignment="1">
      <alignment horizontal="center" vertical="center"/>
    </xf>
    <xf numFmtId="0" fontId="54" fillId="66" borderId="89" xfId="0" applyFont="1" applyFill="1" applyBorder="1" applyAlignment="1">
      <alignment horizontal="center" vertical="center"/>
    </xf>
    <xf numFmtId="0" fontId="54" fillId="67" borderId="0" xfId="0" applyFont="1" applyFill="1" applyAlignment="1">
      <alignment horizontal="center" vertical="center"/>
    </xf>
    <xf numFmtId="0" fontId="49" fillId="64" borderId="0" xfId="0" applyFont="1" applyFill="1" applyAlignment="1">
      <alignment horizontal="right"/>
    </xf>
    <xf numFmtId="3" fontId="46" fillId="64" borderId="70" xfId="0" applyNumberFormat="1" applyFont="1" applyFill="1" applyBorder="1" applyAlignment="1">
      <alignment horizontal="center"/>
    </xf>
    <xf numFmtId="3" fontId="46" fillId="64" borderId="0" xfId="0" applyNumberFormat="1" applyFont="1" applyFill="1" applyAlignment="1">
      <alignment horizontal="center"/>
    </xf>
    <xf numFmtId="3" fontId="46" fillId="64" borderId="66" xfId="0" applyNumberFormat="1" applyFont="1" applyFill="1" applyBorder="1" applyAlignment="1">
      <alignment horizontal="center"/>
    </xf>
    <xf numFmtId="3" fontId="46" fillId="64" borderId="91" xfId="0" applyNumberFormat="1" applyFont="1" applyFill="1" applyBorder="1" applyAlignment="1">
      <alignment horizontal="center"/>
    </xf>
    <xf numFmtId="3" fontId="21" fillId="64" borderId="0" xfId="0" applyNumberFormat="1" applyFont="1" applyFill="1" applyAlignment="1">
      <alignment horizontal="center"/>
    </xf>
    <xf numFmtId="0" fontId="85" fillId="0" borderId="0" xfId="0" applyFont="1"/>
    <xf numFmtId="0" fontId="3" fillId="55" borderId="0" xfId="0" applyFont="1" applyFill="1" applyAlignment="1">
      <alignment vertical="center"/>
    </xf>
    <xf numFmtId="0" fontId="2" fillId="55" borderId="70" xfId="0" applyFont="1" applyFill="1" applyBorder="1" applyAlignment="1">
      <alignment vertical="center"/>
    </xf>
    <xf numFmtId="0" fontId="2" fillId="55" borderId="0" xfId="0" applyFont="1" applyFill="1" applyAlignment="1">
      <alignment vertical="center"/>
    </xf>
    <xf numFmtId="0" fontId="2" fillId="55" borderId="66" xfId="0" applyFont="1" applyFill="1" applyBorder="1" applyAlignment="1">
      <alignment vertical="center"/>
    </xf>
    <xf numFmtId="44" fontId="87" fillId="55" borderId="0" xfId="0" applyNumberFormat="1" applyFont="1" applyFill="1" applyAlignment="1">
      <alignment vertical="center"/>
    </xf>
    <xf numFmtId="44" fontId="21" fillId="0" borderId="0" xfId="0" applyNumberFormat="1" applyFont="1" applyAlignment="1">
      <alignment vertical="center"/>
    </xf>
    <xf numFmtId="0" fontId="86" fillId="64" borderId="0" xfId="0" applyFont="1" applyFill="1" applyAlignment="1">
      <alignment horizontal="right"/>
    </xf>
    <xf numFmtId="44" fontId="2" fillId="64" borderId="70" xfId="0" applyNumberFormat="1" applyFont="1" applyFill="1" applyBorder="1"/>
    <xf numFmtId="44" fontId="2" fillId="64" borderId="66" xfId="0" applyNumberFormat="1" applyFont="1" applyFill="1" applyBorder="1"/>
    <xf numFmtId="44" fontId="2" fillId="64" borderId="91" xfId="0" applyNumberFormat="1" applyFont="1" applyFill="1" applyBorder="1"/>
    <xf numFmtId="44" fontId="88" fillId="0" borderId="0" xfId="0" applyNumberFormat="1" applyFont="1"/>
    <xf numFmtId="0" fontId="51" fillId="64" borderId="0" xfId="0" applyFont="1" applyFill="1" applyAlignment="1">
      <alignment horizontal="right"/>
    </xf>
    <xf numFmtId="44" fontId="3" fillId="64" borderId="92" xfId="0" applyNumberFormat="1" applyFont="1" applyFill="1" applyBorder="1"/>
    <xf numFmtId="44" fontId="3" fillId="64" borderId="93" xfId="0" applyNumberFormat="1" applyFont="1" applyFill="1" applyBorder="1"/>
    <xf numFmtId="44" fontId="3" fillId="64" borderId="94" xfId="0" applyNumberFormat="1" applyFont="1" applyFill="1" applyBorder="1"/>
    <xf numFmtId="44" fontId="3" fillId="64" borderId="95" xfId="0" applyNumberFormat="1" applyFont="1" applyFill="1" applyBorder="1"/>
    <xf numFmtId="0" fontId="2" fillId="64" borderId="70" xfId="0" applyFont="1" applyFill="1" applyBorder="1"/>
    <xf numFmtId="0" fontId="2" fillId="64" borderId="66" xfId="0" applyFont="1" applyFill="1" applyBorder="1"/>
    <xf numFmtId="0" fontId="2" fillId="64" borderId="91" xfId="0" applyFont="1" applyFill="1" applyBorder="1"/>
    <xf numFmtId="44" fontId="88" fillId="0" borderId="0" xfId="0" applyNumberFormat="1" applyFont="1" applyAlignment="1">
      <alignment vertical="center"/>
    </xf>
    <xf numFmtId="0" fontId="3" fillId="64" borderId="0" xfId="0" applyFont="1" applyFill="1"/>
    <xf numFmtId="0" fontId="89" fillId="64" borderId="0" xfId="0" applyFont="1" applyFill="1" applyAlignment="1">
      <alignment horizontal="right"/>
    </xf>
    <xf numFmtId="44" fontId="85" fillId="64" borderId="70" xfId="0" applyNumberFormat="1" applyFont="1" applyFill="1" applyBorder="1"/>
    <xf numFmtId="44" fontId="85" fillId="64" borderId="0" xfId="0" applyNumberFormat="1" applyFont="1" applyFill="1"/>
    <xf numFmtId="44" fontId="85" fillId="64" borderId="66" xfId="0" applyNumberFormat="1" applyFont="1" applyFill="1" applyBorder="1"/>
    <xf numFmtId="44" fontId="85" fillId="64" borderId="91" xfId="0" applyNumberFormat="1" applyFont="1" applyFill="1" applyBorder="1"/>
    <xf numFmtId="0" fontId="21" fillId="55" borderId="0" xfId="0" applyFont="1" applyFill="1" applyAlignment="1">
      <alignment vertical="center"/>
    </xf>
    <xf numFmtId="44" fontId="21" fillId="55" borderId="70" xfId="0" applyNumberFormat="1" applyFont="1" applyFill="1" applyBorder="1" applyAlignment="1">
      <alignment vertical="center"/>
    </xf>
    <xf numFmtId="44" fontId="21" fillId="55" borderId="0" xfId="0" applyNumberFormat="1" applyFont="1" applyFill="1" applyAlignment="1">
      <alignment vertical="center"/>
    </xf>
    <xf numFmtId="44" fontId="21" fillId="55" borderId="66" xfId="0" applyNumberFormat="1" applyFont="1" applyFill="1" applyBorder="1" applyAlignment="1">
      <alignment vertical="center"/>
    </xf>
    <xf numFmtId="44" fontId="21" fillId="55" borderId="91" xfId="0" applyNumberFormat="1" applyFont="1" applyFill="1" applyBorder="1" applyAlignment="1">
      <alignment vertical="center"/>
    </xf>
    <xf numFmtId="44" fontId="90" fillId="55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44" fontId="2" fillId="64" borderId="97" xfId="0" applyNumberFormat="1" applyFont="1" applyFill="1" applyBorder="1" applyAlignment="1">
      <alignment vertical="center"/>
    </xf>
    <xf numFmtId="44" fontId="91" fillId="64" borderId="96" xfId="0" applyNumberFormat="1" applyFont="1" applyFill="1" applyBorder="1" applyAlignment="1">
      <alignment vertical="center"/>
    </xf>
    <xf numFmtId="0" fontId="51" fillId="55" borderId="0" xfId="0" applyFont="1" applyFill="1" applyAlignment="1">
      <alignment horizontal="right"/>
    </xf>
    <xf numFmtId="44" fontId="3" fillId="55" borderId="92" xfId="0" applyNumberFormat="1" applyFont="1" applyFill="1" applyBorder="1"/>
    <xf numFmtId="44" fontId="3" fillId="55" borderId="93" xfId="0" applyNumberFormat="1" applyFont="1" applyFill="1" applyBorder="1"/>
    <xf numFmtId="44" fontId="3" fillId="55" borderId="94" xfId="0" applyNumberFormat="1" applyFont="1" applyFill="1" applyBorder="1"/>
    <xf numFmtId="44" fontId="3" fillId="55" borderId="95" xfId="0" applyNumberFormat="1" applyFont="1" applyFill="1" applyBorder="1"/>
    <xf numFmtId="0" fontId="54" fillId="67" borderId="90" xfId="0" applyFont="1" applyFill="1" applyBorder="1" applyAlignment="1">
      <alignment horizontal="center" vertical="center"/>
    </xf>
    <xf numFmtId="0" fontId="46" fillId="0" borderId="0" xfId="0" applyFont="1"/>
    <xf numFmtId="44" fontId="21" fillId="0" borderId="0" xfId="0" applyNumberFormat="1" applyFont="1"/>
    <xf numFmtId="0" fontId="93" fillId="0" borderId="0" xfId="0" quotePrefix="1" applyFont="1" applyAlignment="1">
      <alignment horizontal="center" vertical="center"/>
    </xf>
    <xf numFmtId="44" fontId="72" fillId="0" borderId="0" xfId="0" applyNumberFormat="1" applyFont="1" applyAlignment="1">
      <alignment vertical="center"/>
    </xf>
    <xf numFmtId="0" fontId="86" fillId="0" borderId="0" xfId="0" applyFont="1" applyAlignment="1">
      <alignment horizontal="right"/>
    </xf>
    <xf numFmtId="44" fontId="2" fillId="0" borderId="26" xfId="0" applyNumberFormat="1" applyFont="1" applyBorder="1"/>
    <xf numFmtId="44" fontId="2" fillId="0" borderId="34" xfId="0" applyNumberFormat="1" applyFont="1" applyBorder="1"/>
    <xf numFmtId="44" fontId="3" fillId="0" borderId="70" xfId="0" applyNumberFormat="1" applyFont="1" applyBorder="1"/>
    <xf numFmtId="3" fontId="2" fillId="0" borderId="38" xfId="0" applyNumberFormat="1" applyFont="1" applyBorder="1" applyAlignment="1">
      <alignment horizontal="center"/>
    </xf>
    <xf numFmtId="3" fontId="2" fillId="0" borderId="32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44" fontId="94" fillId="0" borderId="30" xfId="0" applyNumberFormat="1" applyFont="1" applyBorder="1"/>
    <xf numFmtId="44" fontId="94" fillId="0" borderId="31" xfId="0" applyNumberFormat="1" applyFont="1" applyBorder="1"/>
    <xf numFmtId="44" fontId="94" fillId="0" borderId="35" xfId="0" applyNumberFormat="1" applyFont="1" applyBorder="1"/>
    <xf numFmtId="44" fontId="54" fillId="0" borderId="77" xfId="0" applyNumberFormat="1" applyFont="1" applyBorder="1"/>
    <xf numFmtId="1" fontId="54" fillId="0" borderId="33" xfId="0" applyNumberFormat="1" applyFont="1" applyBorder="1" applyAlignment="1">
      <alignment horizontal="center"/>
    </xf>
    <xf numFmtId="0" fontId="94" fillId="0" borderId="39" xfId="0" applyFont="1" applyBorder="1" applyAlignment="1">
      <alignment horizontal="center" vertical="center"/>
    </xf>
    <xf numFmtId="0" fontId="94" fillId="0" borderId="1" xfId="0" applyFont="1" applyBorder="1" applyAlignment="1">
      <alignment horizontal="center" vertical="center"/>
    </xf>
    <xf numFmtId="0" fontId="78" fillId="0" borderId="1" xfId="0" applyFont="1" applyBorder="1" applyAlignment="1">
      <alignment horizontal="center" vertical="center" wrapText="1"/>
    </xf>
    <xf numFmtId="0" fontId="78" fillId="0" borderId="100" xfId="0" applyFont="1" applyBorder="1" applyAlignment="1">
      <alignment horizontal="center" vertical="center" wrapText="1"/>
    </xf>
    <xf numFmtId="44" fontId="94" fillId="0" borderId="102" xfId="0" applyNumberFormat="1" applyFont="1" applyBorder="1"/>
    <xf numFmtId="44" fontId="2" fillId="0" borderId="101" xfId="0" applyNumberFormat="1" applyFont="1" applyBorder="1"/>
    <xf numFmtId="10" fontId="65" fillId="0" borderId="0" xfId="0" applyNumberFormat="1" applyFont="1" applyAlignment="1">
      <alignment horizontal="center"/>
    </xf>
    <xf numFmtId="0" fontId="65" fillId="0" borderId="0" xfId="0" quotePrefix="1" applyFont="1"/>
    <xf numFmtId="0" fontId="94" fillId="0" borderId="71" xfId="0" applyFont="1" applyBorder="1" applyAlignment="1">
      <alignment horizontal="center" vertical="center"/>
    </xf>
    <xf numFmtId="0" fontId="94" fillId="0" borderId="68" xfId="0" applyFont="1" applyBorder="1" applyAlignment="1">
      <alignment horizontal="center" vertical="center"/>
    </xf>
    <xf numFmtId="44" fontId="2" fillId="0" borderId="36" xfId="0" applyNumberFormat="1" applyFont="1" applyBorder="1"/>
    <xf numFmtId="44" fontId="2" fillId="0" borderId="24" xfId="0" applyNumberFormat="1" applyFont="1" applyBorder="1"/>
    <xf numFmtId="44" fontId="3" fillId="0" borderId="69" xfId="0" applyNumberFormat="1" applyFont="1" applyBorder="1"/>
    <xf numFmtId="37" fontId="2" fillId="0" borderId="69" xfId="0" applyNumberFormat="1" applyFont="1" applyBorder="1" applyAlignment="1">
      <alignment horizontal="center"/>
    </xf>
    <xf numFmtId="37" fontId="2" fillId="0" borderId="24" xfId="0" applyNumberFormat="1" applyFont="1" applyBorder="1" applyAlignment="1">
      <alignment horizontal="center"/>
    </xf>
    <xf numFmtId="37" fontId="2" fillId="0" borderId="67" xfId="0" applyNumberFormat="1" applyFont="1" applyBorder="1" applyAlignment="1">
      <alignment horizontal="center"/>
    </xf>
    <xf numFmtId="44" fontId="2" fillId="0" borderId="38" xfId="0" applyNumberFormat="1" applyFont="1" applyBorder="1"/>
    <xf numFmtId="37" fontId="2" fillId="0" borderId="70" xfId="0" applyNumberFormat="1" applyFont="1" applyBorder="1" applyAlignment="1">
      <alignment horizontal="center"/>
    </xf>
    <xf numFmtId="37" fontId="2" fillId="0" borderId="0" xfId="0" applyNumberFormat="1" applyFont="1" applyAlignment="1">
      <alignment horizontal="center"/>
    </xf>
    <xf numFmtId="37" fontId="2" fillId="0" borderId="66" xfId="0" applyNumberFormat="1" applyFont="1" applyBorder="1" applyAlignment="1">
      <alignment horizontal="center"/>
    </xf>
    <xf numFmtId="44" fontId="2" fillId="0" borderId="32" xfId="0" applyNumberFormat="1" applyFont="1" applyBorder="1"/>
    <xf numFmtId="1" fontId="54" fillId="0" borderId="77" xfId="0" applyNumberFormat="1" applyFont="1" applyBorder="1" applyAlignment="1">
      <alignment horizontal="center"/>
    </xf>
    <xf numFmtId="44" fontId="94" fillId="0" borderId="33" xfId="0" applyNumberFormat="1" applyFont="1" applyBorder="1"/>
    <xf numFmtId="44" fontId="2" fillId="64" borderId="80" xfId="0" applyNumberFormat="1" applyFont="1" applyFill="1" applyBorder="1" applyAlignment="1">
      <alignment horizontal="center"/>
    </xf>
    <xf numFmtId="44" fontId="2" fillId="65" borderId="80" xfId="0" applyNumberFormat="1" applyFont="1" applyFill="1" applyBorder="1" applyAlignment="1">
      <alignment horizontal="center"/>
    </xf>
    <xf numFmtId="44" fontId="2" fillId="64" borderId="0" xfId="0" applyNumberFormat="1" applyFont="1" applyFill="1" applyAlignment="1">
      <alignment horizontal="center"/>
    </xf>
    <xf numFmtId="44" fontId="2" fillId="65" borderId="0" xfId="0" applyNumberFormat="1" applyFont="1" applyFill="1" applyAlignment="1">
      <alignment horizontal="center"/>
    </xf>
    <xf numFmtId="3" fontId="2" fillId="64" borderId="0" xfId="0" applyNumberFormat="1" applyFont="1" applyFill="1" applyAlignment="1">
      <alignment horizontal="center"/>
    </xf>
    <xf numFmtId="3" fontId="2" fillId="65" borderId="0" xfId="0" applyNumberFormat="1" applyFont="1" applyFill="1" applyAlignment="1">
      <alignment horizontal="center"/>
    </xf>
    <xf numFmtId="3" fontId="54" fillId="66" borderId="0" xfId="0" applyNumberFormat="1" applyFont="1" applyFill="1" applyAlignment="1">
      <alignment horizontal="center"/>
    </xf>
    <xf numFmtId="0" fontId="94" fillId="66" borderId="86" xfId="0" applyFont="1" applyFill="1" applyBorder="1" applyAlignment="1">
      <alignment horizontal="center"/>
    </xf>
    <xf numFmtId="0" fontId="94" fillId="66" borderId="0" xfId="0" applyFont="1" applyFill="1" applyAlignment="1">
      <alignment horizontal="center"/>
    </xf>
    <xf numFmtId="0" fontId="94" fillId="66" borderId="87" xfId="0" applyFont="1" applyFill="1" applyBorder="1" applyAlignment="1">
      <alignment horizontal="center"/>
    </xf>
    <xf numFmtId="165" fontId="2" fillId="64" borderId="0" xfId="0" applyNumberFormat="1" applyFont="1" applyFill="1" applyAlignment="1">
      <alignment horizontal="center"/>
    </xf>
    <xf numFmtId="165" fontId="2" fillId="65" borderId="0" xfId="0" applyNumberFormat="1" applyFont="1" applyFill="1" applyAlignment="1">
      <alignment horizontal="center"/>
    </xf>
    <xf numFmtId="165" fontId="54" fillId="66" borderId="0" xfId="0" applyNumberFormat="1" applyFont="1" applyFill="1" applyAlignment="1">
      <alignment horizontal="center"/>
    </xf>
    <xf numFmtId="44" fontId="54" fillId="66" borderId="86" xfId="0" applyNumberFormat="1" applyFont="1" applyFill="1" applyBorder="1" applyAlignment="1">
      <alignment horizontal="center"/>
    </xf>
    <xf numFmtId="7" fontId="2" fillId="64" borderId="0" xfId="0" applyNumberFormat="1" applyFont="1" applyFill="1" applyAlignment="1">
      <alignment horizontal="center"/>
    </xf>
    <xf numFmtId="7" fontId="2" fillId="65" borderId="0" xfId="0" applyNumberFormat="1" applyFont="1" applyFill="1" applyAlignment="1">
      <alignment horizontal="center"/>
    </xf>
    <xf numFmtId="7" fontId="54" fillId="66" borderId="0" xfId="0" applyNumberFormat="1" applyFont="1" applyFill="1" applyAlignment="1">
      <alignment horizontal="center"/>
    </xf>
    <xf numFmtId="10" fontId="86" fillId="64" borderId="81" xfId="0" applyNumberFormat="1" applyFont="1" applyFill="1" applyBorder="1" applyAlignment="1">
      <alignment horizontal="center"/>
    </xf>
    <xf numFmtId="10" fontId="86" fillId="65" borderId="81" xfId="0" applyNumberFormat="1" applyFont="1" applyFill="1" applyBorder="1" applyAlignment="1">
      <alignment horizontal="center"/>
    </xf>
    <xf numFmtId="10" fontId="79" fillId="66" borderId="87" xfId="0" applyNumberFormat="1" applyFont="1" applyFill="1" applyBorder="1" applyAlignment="1">
      <alignment horizontal="center"/>
    </xf>
    <xf numFmtId="0" fontId="86" fillId="64" borderId="0" xfId="0" applyFont="1" applyFill="1" applyAlignment="1">
      <alignment horizontal="center"/>
    </xf>
    <xf numFmtId="0" fontId="92" fillId="64" borderId="0" xfId="0" applyFont="1" applyFill="1" applyAlignment="1">
      <alignment horizontal="center"/>
    </xf>
    <xf numFmtId="0" fontId="2" fillId="64" borderId="81" xfId="0" applyFont="1" applyFill="1" applyBorder="1" applyAlignment="1">
      <alignment horizontal="center"/>
    </xf>
    <xf numFmtId="0" fontId="2" fillId="65" borderId="81" xfId="0" applyFont="1" applyFill="1" applyBorder="1" applyAlignment="1">
      <alignment horizontal="center"/>
    </xf>
    <xf numFmtId="1" fontId="54" fillId="66" borderId="87" xfId="0" applyNumberFormat="1" applyFont="1" applyFill="1" applyBorder="1" applyAlignment="1">
      <alignment horizontal="center"/>
    </xf>
    <xf numFmtId="168" fontId="0" fillId="0" borderId="0" xfId="0" applyNumberFormat="1" applyAlignment="1">
      <alignment horizontal="center"/>
    </xf>
    <xf numFmtId="168" fontId="2" fillId="64" borderId="0" xfId="0" applyNumberFormat="1" applyFont="1" applyFill="1" applyAlignment="1">
      <alignment horizontal="center"/>
    </xf>
    <xf numFmtId="168" fontId="2" fillId="65" borderId="0" xfId="0" applyNumberFormat="1" applyFont="1" applyFill="1" applyAlignment="1">
      <alignment horizontal="center"/>
    </xf>
    <xf numFmtId="168" fontId="54" fillId="66" borderId="0" xfId="0" applyNumberFormat="1" applyFont="1" applyFill="1" applyAlignment="1">
      <alignment horizontal="center"/>
    </xf>
    <xf numFmtId="166" fontId="0" fillId="64" borderId="24" xfId="17072" applyNumberFormat="1" applyFont="1" applyFill="1" applyBorder="1" applyAlignment="1">
      <alignment vertical="center" wrapText="1"/>
    </xf>
    <xf numFmtId="166" fontId="0" fillId="64" borderId="0" xfId="17072" applyNumberFormat="1" applyFont="1" applyFill="1" applyBorder="1" applyAlignment="1">
      <alignment vertical="center" wrapText="1"/>
    </xf>
    <xf numFmtId="166" fontId="4" fillId="64" borderId="1" xfId="17072" applyNumberFormat="1" applyFont="1" applyFill="1" applyBorder="1" applyAlignment="1">
      <alignment vertical="center" wrapText="1"/>
    </xf>
    <xf numFmtId="166" fontId="0" fillId="64" borderId="69" xfId="17072" applyNumberFormat="1" applyFont="1" applyFill="1" applyBorder="1" applyAlignment="1">
      <alignment vertical="center" wrapText="1"/>
    </xf>
    <xf numFmtId="166" fontId="0" fillId="64" borderId="78" xfId="17072" applyNumberFormat="1" applyFont="1" applyFill="1" applyBorder="1" applyAlignment="1">
      <alignment vertical="center" wrapText="1"/>
    </xf>
    <xf numFmtId="10" fontId="45" fillId="65" borderId="79" xfId="0" applyNumberFormat="1" applyFont="1" applyFill="1" applyBorder="1" applyAlignment="1">
      <alignment wrapText="1"/>
    </xf>
    <xf numFmtId="166" fontId="52" fillId="64" borderId="24" xfId="17072" applyNumberFormat="1" applyFont="1" applyFill="1" applyBorder="1" applyAlignment="1">
      <alignment vertical="center" wrapText="1"/>
    </xf>
    <xf numFmtId="10" fontId="45" fillId="65" borderId="67" xfId="0" applyNumberFormat="1" applyFont="1" applyFill="1" applyBorder="1" applyAlignment="1">
      <alignment wrapText="1"/>
    </xf>
    <xf numFmtId="166" fontId="0" fillId="64" borderId="70" xfId="17072" applyNumberFormat="1" applyFont="1" applyFill="1" applyBorder="1" applyAlignment="1">
      <alignment vertical="center" wrapText="1"/>
    </xf>
    <xf numFmtId="166" fontId="0" fillId="64" borderId="80" xfId="17072" applyNumberFormat="1" applyFont="1" applyFill="1" applyBorder="1" applyAlignment="1">
      <alignment vertical="center" wrapText="1"/>
    </xf>
    <xf numFmtId="10" fontId="45" fillId="65" borderId="81" xfId="0" applyNumberFormat="1" applyFont="1" applyFill="1" applyBorder="1" applyAlignment="1">
      <alignment wrapText="1"/>
    </xf>
    <xf numFmtId="166" fontId="52" fillId="64" borderId="0" xfId="17072" applyNumberFormat="1" applyFont="1" applyFill="1" applyBorder="1" applyAlignment="1">
      <alignment vertical="center" wrapText="1"/>
    </xf>
    <xf numFmtId="10" fontId="45" fillId="65" borderId="66" xfId="0" applyNumberFormat="1" applyFont="1" applyFill="1" applyBorder="1" applyAlignment="1">
      <alignment wrapText="1"/>
    </xf>
    <xf numFmtId="166" fontId="4" fillId="64" borderId="71" xfId="17072" applyNumberFormat="1" applyFont="1" applyFill="1" applyBorder="1" applyAlignment="1">
      <alignment vertical="center" wrapText="1"/>
    </xf>
    <xf numFmtId="166" fontId="4" fillId="64" borderId="82" xfId="17072" applyNumberFormat="1" applyFont="1" applyFill="1" applyBorder="1" applyAlignment="1">
      <alignment vertical="center" wrapText="1"/>
    </xf>
    <xf numFmtId="10" fontId="70" fillId="65" borderId="83" xfId="0" applyNumberFormat="1" applyFont="1" applyFill="1" applyBorder="1" applyAlignment="1">
      <alignment wrapText="1"/>
    </xf>
    <xf numFmtId="166" fontId="53" fillId="64" borderId="1" xfId="17072" applyNumberFormat="1" applyFont="1" applyFill="1" applyBorder="1" applyAlignment="1">
      <alignment vertical="center" wrapText="1"/>
    </xf>
    <xf numFmtId="10" fontId="70" fillId="65" borderId="68" xfId="0" applyNumberFormat="1" applyFont="1" applyFill="1" applyBorder="1" applyAlignment="1">
      <alignment wrapText="1"/>
    </xf>
    <xf numFmtId="166" fontId="0" fillId="64" borderId="0" xfId="17072" applyNumberFormat="1" applyFont="1" applyFill="1" applyAlignment="1">
      <alignment vertical="center" wrapText="1"/>
    </xf>
    <xf numFmtId="10" fontId="45" fillId="64" borderId="0" xfId="0" applyNumberFormat="1" applyFont="1" applyFill="1" applyAlignment="1">
      <alignment wrapText="1"/>
    </xf>
    <xf numFmtId="166" fontId="52" fillId="64" borderId="0" xfId="17072" applyNumberFormat="1" applyFont="1" applyFill="1" applyAlignment="1">
      <alignment vertical="center" wrapText="1"/>
    </xf>
    <xf numFmtId="166" fontId="4" fillId="64" borderId="69" xfId="17072" applyNumberFormat="1" applyFont="1" applyFill="1" applyBorder="1" applyAlignment="1">
      <alignment vertical="center" wrapText="1"/>
    </xf>
    <xf numFmtId="166" fontId="4" fillId="64" borderId="78" xfId="17072" applyNumberFormat="1" applyFont="1" applyFill="1" applyBorder="1" applyAlignment="1">
      <alignment vertical="center" wrapText="1"/>
    </xf>
    <xf numFmtId="10" fontId="70" fillId="65" borderId="79" xfId="0" applyNumberFormat="1" applyFont="1" applyFill="1" applyBorder="1" applyAlignment="1">
      <alignment wrapText="1"/>
    </xf>
    <xf numFmtId="166" fontId="4" fillId="64" borderId="24" xfId="17072" applyNumberFormat="1" applyFont="1" applyFill="1" applyBorder="1" applyAlignment="1">
      <alignment vertical="center" wrapText="1"/>
    </xf>
    <xf numFmtId="166" fontId="53" fillId="64" borderId="24" xfId="17072" applyNumberFormat="1" applyFont="1" applyFill="1" applyBorder="1" applyAlignment="1">
      <alignment vertical="center" wrapText="1"/>
    </xf>
    <xf numFmtId="10" fontId="70" fillId="65" borderId="67" xfId="0" applyNumberFormat="1" applyFont="1" applyFill="1" applyBorder="1" applyAlignment="1">
      <alignment wrapText="1"/>
    </xf>
    <xf numFmtId="166" fontId="4" fillId="64" borderId="70" xfId="17072" applyNumberFormat="1" applyFont="1" applyFill="1" applyBorder="1" applyAlignment="1">
      <alignment vertical="center" wrapText="1"/>
    </xf>
    <xf numFmtId="166" fontId="4" fillId="64" borderId="80" xfId="17072" applyNumberFormat="1" applyFont="1" applyFill="1" applyBorder="1" applyAlignment="1">
      <alignment vertical="center" wrapText="1"/>
    </xf>
    <xf numFmtId="10" fontId="70" fillId="65" borderId="81" xfId="0" applyNumberFormat="1" applyFont="1" applyFill="1" applyBorder="1" applyAlignment="1">
      <alignment wrapText="1"/>
    </xf>
    <xf numFmtId="166" fontId="4" fillId="64" borderId="0" xfId="17072" applyNumberFormat="1" applyFont="1" applyFill="1" applyBorder="1" applyAlignment="1">
      <alignment vertical="center" wrapText="1"/>
    </xf>
    <xf numFmtId="166" fontId="53" fillId="64" borderId="0" xfId="17072" applyNumberFormat="1" applyFont="1" applyFill="1" applyBorder="1" applyAlignment="1">
      <alignment vertical="center" wrapText="1"/>
    </xf>
    <xf numFmtId="10" fontId="70" fillId="65" borderId="66" xfId="0" applyNumberFormat="1" applyFont="1" applyFill="1" applyBorder="1" applyAlignment="1">
      <alignment wrapText="1"/>
    </xf>
    <xf numFmtId="10" fontId="45" fillId="65" borderId="83" xfId="0" applyNumberFormat="1" applyFont="1" applyFill="1" applyBorder="1" applyAlignment="1">
      <alignment wrapText="1"/>
    </xf>
    <xf numFmtId="10" fontId="45" fillId="65" borderId="68" xfId="0" applyNumberFormat="1" applyFont="1" applyFill="1" applyBorder="1" applyAlignment="1">
      <alignment wrapText="1"/>
    </xf>
    <xf numFmtId="44" fontId="0" fillId="0" borderId="104" xfId="0" applyNumberFormat="1" applyBorder="1"/>
    <xf numFmtId="44" fontId="53" fillId="0" borderId="104" xfId="0" applyNumberFormat="1" applyFont="1" applyBorder="1"/>
    <xf numFmtId="44" fontId="0" fillId="0" borderId="98" xfId="0" applyNumberFormat="1" applyBorder="1"/>
    <xf numFmtId="44" fontId="53" fillId="0" borderId="98" xfId="0" applyNumberFormat="1" applyFont="1" applyBorder="1"/>
    <xf numFmtId="44" fontId="0" fillId="0" borderId="105" xfId="0" applyNumberFormat="1" applyBorder="1"/>
    <xf numFmtId="44" fontId="53" fillId="0" borderId="105" xfId="0" applyNumberFormat="1" applyFont="1" applyBorder="1"/>
    <xf numFmtId="44" fontId="0" fillId="0" borderId="103" xfId="0" applyNumberFormat="1" applyBorder="1"/>
    <xf numFmtId="44" fontId="53" fillId="0" borderId="103" xfId="0" applyNumberFormat="1" applyFont="1" applyBorder="1"/>
    <xf numFmtId="0" fontId="0" fillId="0" borderId="106" xfId="0" applyBorder="1"/>
    <xf numFmtId="0" fontId="0" fillId="0" borderId="104" xfId="0" applyBorder="1" applyAlignment="1">
      <alignment horizontal="center"/>
    </xf>
    <xf numFmtId="0" fontId="53" fillId="0" borderId="104" xfId="0" applyFont="1" applyBorder="1" applyAlignment="1">
      <alignment horizontal="center"/>
    </xf>
    <xf numFmtId="0" fontId="48" fillId="64" borderId="0" xfId="0" applyFont="1" applyFill="1" applyAlignment="1" applyProtection="1">
      <alignment horizontal="center"/>
      <protection locked="0"/>
    </xf>
    <xf numFmtId="0" fontId="80" fillId="64" borderId="0" xfId="0" applyFont="1" applyFill="1" applyAlignment="1" applyProtection="1">
      <alignment horizontal="center"/>
      <protection locked="0"/>
    </xf>
    <xf numFmtId="0" fontId="46" fillId="64" borderId="0" xfId="0" applyFont="1" applyFill="1" applyAlignment="1" applyProtection="1">
      <alignment horizontal="center"/>
      <protection locked="0"/>
    </xf>
    <xf numFmtId="44" fontId="2" fillId="64" borderId="0" xfId="0" applyNumberFormat="1" applyFont="1" applyFill="1" applyAlignment="1">
      <alignment vertical="center"/>
    </xf>
    <xf numFmtId="44" fontId="91" fillId="64" borderId="0" xfId="0" applyNumberFormat="1" applyFont="1" applyFill="1" applyAlignment="1">
      <alignment vertical="center"/>
    </xf>
    <xf numFmtId="0" fontId="97" fillId="55" borderId="70" xfId="0" applyFont="1" applyFill="1" applyBorder="1" applyAlignment="1">
      <alignment horizontal="center" vertical="center"/>
    </xf>
    <xf numFmtId="0" fontId="97" fillId="55" borderId="0" xfId="0" applyFont="1" applyFill="1" applyAlignment="1">
      <alignment horizontal="center" vertical="center"/>
    </xf>
    <xf numFmtId="0" fontId="97" fillId="55" borderId="66" xfId="0" applyFont="1" applyFill="1" applyBorder="1" applyAlignment="1">
      <alignment horizontal="center" vertical="center"/>
    </xf>
    <xf numFmtId="165" fontId="2" fillId="64" borderId="80" xfId="0" applyNumberFormat="1" applyFont="1" applyFill="1" applyBorder="1" applyAlignment="1">
      <alignment horizontal="center"/>
    </xf>
    <xf numFmtId="165" fontId="2" fillId="65" borderId="80" xfId="0" applyNumberFormat="1" applyFont="1" applyFill="1" applyBorder="1" applyAlignment="1">
      <alignment horizontal="center"/>
    </xf>
    <xf numFmtId="165" fontId="54" fillId="66" borderId="86" xfId="0" applyNumberFormat="1" applyFont="1" applyFill="1" applyBorder="1" applyAlignment="1">
      <alignment horizontal="center"/>
    </xf>
    <xf numFmtId="0" fontId="78" fillId="66" borderId="86" xfId="0" applyFont="1" applyFill="1" applyBorder="1" applyAlignment="1">
      <alignment horizontal="center"/>
    </xf>
    <xf numFmtId="0" fontId="78" fillId="66" borderId="0" xfId="0" applyFont="1" applyFill="1" applyAlignment="1">
      <alignment horizontal="center"/>
    </xf>
    <xf numFmtId="165" fontId="2" fillId="0" borderId="70" xfId="0" applyNumberFormat="1" applyFont="1" applyBorder="1" applyAlignment="1">
      <alignment horizontal="center"/>
    </xf>
    <xf numFmtId="165" fontId="2" fillId="0" borderId="66" xfId="0" applyNumberFormat="1" applyFont="1" applyBorder="1" applyAlignment="1">
      <alignment horizontal="center"/>
    </xf>
    <xf numFmtId="165" fontId="2" fillId="0" borderId="69" xfId="0" applyNumberFormat="1" applyFont="1" applyBorder="1" applyAlignment="1">
      <alignment horizontal="center"/>
    </xf>
    <xf numFmtId="165" fontId="2" fillId="0" borderId="67" xfId="0" applyNumberFormat="1" applyFont="1" applyBorder="1" applyAlignment="1">
      <alignment horizontal="center"/>
    </xf>
    <xf numFmtId="165" fontId="2" fillId="0" borderId="71" xfId="0" applyNumberFormat="1" applyFont="1" applyBorder="1" applyAlignment="1">
      <alignment horizontal="center"/>
    </xf>
    <xf numFmtId="165" fontId="2" fillId="0" borderId="68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45" fillId="0" borderId="71" xfId="0" applyFont="1" applyBorder="1" applyAlignment="1">
      <alignment horizontal="center"/>
    </xf>
    <xf numFmtId="0" fontId="45" fillId="0" borderId="68" xfId="0" applyFont="1" applyBorder="1" applyAlignment="1">
      <alignment horizontal="center"/>
    </xf>
    <xf numFmtId="0" fontId="2" fillId="0" borderId="0" xfId="0" applyFont="1" applyAlignment="1">
      <alignment horizontal="right"/>
    </xf>
    <xf numFmtId="165" fontId="2" fillId="64" borderId="81" xfId="0" applyNumberFormat="1" applyFont="1" applyFill="1" applyBorder="1" applyAlignment="1">
      <alignment horizontal="center"/>
    </xf>
    <xf numFmtId="165" fontId="2" fillId="65" borderId="81" xfId="0" applyNumberFormat="1" applyFont="1" applyFill="1" applyBorder="1" applyAlignment="1">
      <alignment horizontal="center"/>
    </xf>
    <xf numFmtId="10" fontId="98" fillId="64" borderId="0" xfId="0" applyNumberFormat="1" applyFont="1" applyFill="1" applyAlignment="1">
      <alignment horizontal="center"/>
    </xf>
    <xf numFmtId="10" fontId="2" fillId="64" borderId="0" xfId="0" applyNumberFormat="1" applyFont="1" applyFill="1" applyAlignment="1">
      <alignment horizontal="center"/>
    </xf>
    <xf numFmtId="10" fontId="2" fillId="65" borderId="0" xfId="0" applyNumberFormat="1" applyFont="1" applyFill="1" applyAlignment="1">
      <alignment horizontal="center"/>
    </xf>
    <xf numFmtId="10" fontId="54" fillId="66" borderId="0" xfId="0" applyNumberFormat="1" applyFont="1" applyFill="1" applyAlignment="1">
      <alignment horizontal="center"/>
    </xf>
    <xf numFmtId="10" fontId="18" fillId="0" borderId="0" xfId="0" applyNumberFormat="1" applyFont="1" applyAlignment="1">
      <alignment horizontal="center"/>
    </xf>
    <xf numFmtId="0" fontId="45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99" fillId="0" borderId="0" xfId="0" applyFont="1" applyAlignment="1">
      <alignment horizontal="right"/>
    </xf>
    <xf numFmtId="0" fontId="99" fillId="0" borderId="0" xfId="0" applyFont="1"/>
    <xf numFmtId="14" fontId="52" fillId="0" borderId="107" xfId="0" applyNumberFormat="1" applyFont="1" applyBorder="1" applyAlignment="1">
      <alignment horizontal="center"/>
    </xf>
    <xf numFmtId="0" fontId="52" fillId="0" borderId="107" xfId="0" applyFont="1" applyBorder="1" applyAlignment="1">
      <alignment horizontal="center"/>
    </xf>
    <xf numFmtId="0" fontId="100" fillId="0" borderId="0" xfId="0" applyFont="1"/>
    <xf numFmtId="165" fontId="0" fillId="0" borderId="0" xfId="0" applyNumberFormat="1"/>
    <xf numFmtId="165" fontId="54" fillId="66" borderId="98" xfId="0" applyNumberFormat="1" applyFont="1" applyFill="1" applyBorder="1" applyAlignment="1">
      <alignment horizontal="center"/>
    </xf>
    <xf numFmtId="10" fontId="54" fillId="66" borderId="86" xfId="0" applyNumberFormat="1" applyFont="1" applyFill="1" applyBorder="1" applyAlignment="1">
      <alignment horizontal="center"/>
    </xf>
    <xf numFmtId="44" fontId="2" fillId="64" borderId="110" xfId="0" applyNumberFormat="1" applyFont="1" applyFill="1" applyBorder="1"/>
    <xf numFmtId="44" fontId="2" fillId="64" borderId="111" xfId="0" applyNumberFormat="1" applyFont="1" applyFill="1" applyBorder="1"/>
    <xf numFmtId="44" fontId="2" fillId="64" borderId="112" xfId="0" applyNumberFormat="1" applyFont="1" applyFill="1" applyBorder="1"/>
    <xf numFmtId="17" fontId="0" fillId="0" borderId="0" xfId="0" applyNumberFormat="1" applyAlignment="1">
      <alignment horizontal="right"/>
    </xf>
    <xf numFmtId="0" fontId="0" fillId="0" borderId="1" xfId="0" applyBorder="1" applyAlignment="1">
      <alignment horizontal="center"/>
    </xf>
    <xf numFmtId="44" fontId="0" fillId="0" borderId="0" xfId="17074" applyFont="1" applyBorder="1"/>
    <xf numFmtId="44" fontId="0" fillId="0" borderId="0" xfId="17074" applyFont="1" applyFill="1" applyBorder="1"/>
    <xf numFmtId="0" fontId="95" fillId="0" borderId="1" xfId="0" applyFont="1" applyBorder="1" applyAlignment="1">
      <alignment horizontal="center"/>
    </xf>
    <xf numFmtId="0" fontId="54" fillId="0" borderId="36" xfId="0" applyFont="1" applyBorder="1" applyAlignment="1">
      <alignment horizontal="center" vertical="center"/>
    </xf>
    <xf numFmtId="0" fontId="54" fillId="0" borderId="24" xfId="0" applyFont="1" applyBorder="1" applyAlignment="1">
      <alignment horizontal="center" vertical="center"/>
    </xf>
    <xf numFmtId="0" fontId="54" fillId="0" borderId="99" xfId="0" applyFont="1" applyBorder="1" applyAlignment="1">
      <alignment horizontal="center" vertical="center"/>
    </xf>
    <xf numFmtId="17" fontId="0" fillId="0" borderId="0" xfId="17072" applyNumberFormat="1" applyFont="1" applyBorder="1" applyAlignment="1">
      <alignment horizontal="right"/>
    </xf>
    <xf numFmtId="0" fontId="95" fillId="0" borderId="0" xfId="0" applyFont="1" applyAlignment="1">
      <alignment horizontal="center"/>
    </xf>
    <xf numFmtId="44" fontId="79" fillId="66" borderId="3" xfId="0" applyNumberFormat="1" applyFont="1" applyFill="1" applyBorder="1" applyAlignment="1">
      <alignment horizontal="center" vertical="center"/>
    </xf>
    <xf numFmtId="0" fontId="86" fillId="64" borderId="66" xfId="0" applyFont="1" applyFill="1" applyBorder="1" applyAlignment="1">
      <alignment horizontal="right"/>
    </xf>
    <xf numFmtId="0" fontId="0" fillId="0" borderId="69" xfId="0" applyBorder="1" applyAlignment="1">
      <alignment horizontal="center"/>
    </xf>
    <xf numFmtId="0" fontId="0" fillId="0" borderId="24" xfId="0" applyBorder="1" applyAlignment="1">
      <alignment horizontal="center"/>
    </xf>
    <xf numFmtId="44" fontId="0" fillId="0" borderId="24" xfId="17074" applyFont="1" applyBorder="1" applyAlignment="1">
      <alignment horizontal="center"/>
    </xf>
    <xf numFmtId="44" fontId="2" fillId="64" borderId="96" xfId="0" applyNumberFormat="1" applyFont="1" applyFill="1" applyBorder="1"/>
    <xf numFmtId="44" fontId="2" fillId="64" borderId="97" xfId="0" applyNumberFormat="1" applyFont="1" applyFill="1" applyBorder="1"/>
    <xf numFmtId="44" fontId="2" fillId="65" borderId="0" xfId="0" applyNumberFormat="1" applyFont="1" applyFill="1" applyAlignment="1">
      <alignment horizontal="center" vertical="center"/>
    </xf>
    <xf numFmtId="44" fontId="54" fillId="66" borderId="0" xfId="0" applyNumberFormat="1" applyFont="1" applyFill="1" applyAlignment="1">
      <alignment horizontal="center" vertical="center"/>
    </xf>
    <xf numFmtId="44" fontId="2" fillId="65" borderId="42" xfId="0" applyNumberFormat="1" applyFont="1" applyFill="1" applyBorder="1" applyAlignment="1">
      <alignment horizontal="center" vertical="center"/>
    </xf>
    <xf numFmtId="44" fontId="2" fillId="65" borderId="5" xfId="0" applyNumberFormat="1" applyFont="1" applyFill="1" applyBorder="1" applyAlignment="1">
      <alignment horizontal="center" vertical="center"/>
    </xf>
    <xf numFmtId="44" fontId="2" fillId="65" borderId="113" xfId="0" applyNumberFormat="1" applyFont="1" applyFill="1" applyBorder="1" applyAlignment="1">
      <alignment horizontal="center" vertical="center"/>
    </xf>
    <xf numFmtId="44" fontId="2" fillId="64" borderId="114" xfId="0" applyNumberFormat="1" applyFont="1" applyFill="1" applyBorder="1" applyAlignment="1">
      <alignment horizontal="center" vertical="center"/>
    </xf>
    <xf numFmtId="44" fontId="3" fillId="64" borderId="80" xfId="0" applyNumberFormat="1" applyFont="1" applyFill="1" applyBorder="1" applyAlignment="1">
      <alignment horizontal="center" vertical="center"/>
    </xf>
    <xf numFmtId="44" fontId="3" fillId="64" borderId="115" xfId="0" applyNumberFormat="1" applyFont="1" applyFill="1" applyBorder="1" applyAlignment="1">
      <alignment horizontal="center" vertical="center"/>
    </xf>
    <xf numFmtId="44" fontId="54" fillId="66" borderId="116" xfId="0" applyNumberFormat="1" applyFont="1" applyFill="1" applyBorder="1" applyAlignment="1">
      <alignment horizontal="center" vertical="center"/>
    </xf>
    <xf numFmtId="44" fontId="54" fillId="66" borderId="117" xfId="0" applyNumberFormat="1" applyFont="1" applyFill="1" applyBorder="1" applyAlignment="1">
      <alignment horizontal="center" vertical="center"/>
    </xf>
    <xf numFmtId="0" fontId="0" fillId="0" borderId="70" xfId="0" applyBorder="1" applyAlignment="1">
      <alignment horizontal="center"/>
    </xf>
    <xf numFmtId="0" fontId="101" fillId="55" borderId="70" xfId="0" applyFont="1" applyFill="1" applyBorder="1" applyAlignment="1">
      <alignment horizontal="center" vertical="center"/>
    </xf>
    <xf numFmtId="44" fontId="61" fillId="0" borderId="24" xfId="0" quotePrefix="1" applyNumberFormat="1" applyFont="1" applyBorder="1" applyAlignment="1">
      <alignment horizontal="center"/>
    </xf>
    <xf numFmtId="44" fontId="0" fillId="0" borderId="24" xfId="0" applyNumberFormat="1" applyBorder="1" applyAlignment="1">
      <alignment horizontal="center"/>
    </xf>
    <xf numFmtId="44" fontId="61" fillId="0" borderId="0" xfId="0" quotePrefix="1" applyNumberFormat="1" applyFont="1" applyAlignment="1">
      <alignment horizontal="center"/>
    </xf>
    <xf numFmtId="44" fontId="0" fillId="0" borderId="0" xfId="0" applyNumberFormat="1" applyAlignment="1">
      <alignment horizontal="center"/>
    </xf>
    <xf numFmtId="44" fontId="61" fillId="0" borderId="1" xfId="0" quotePrefix="1" applyNumberFormat="1" applyFon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61" fillId="0" borderId="0" xfId="0" quotePrefix="1" applyNumberFormat="1" applyFont="1" applyAlignment="1">
      <alignment horizontal="center" vertical="top"/>
    </xf>
    <xf numFmtId="44" fontId="0" fillId="0" borderId="0" xfId="17074" applyFont="1" applyBorder="1" applyAlignment="1">
      <alignment horizontal="center"/>
    </xf>
    <xf numFmtId="44" fontId="0" fillId="0" borderId="66" xfId="17074" applyFont="1" applyBorder="1" applyAlignment="1">
      <alignment horizontal="center"/>
    </xf>
    <xf numFmtId="44" fontId="2" fillId="64" borderId="118" xfId="0" applyNumberFormat="1" applyFont="1" applyFill="1" applyBorder="1" applyAlignment="1">
      <alignment horizontal="center"/>
    </xf>
    <xf numFmtId="44" fontId="2" fillId="65" borderId="118" xfId="0" applyNumberFormat="1" applyFont="1" applyFill="1" applyBorder="1" applyAlignment="1">
      <alignment horizontal="center"/>
    </xf>
    <xf numFmtId="0" fontId="0" fillId="0" borderId="90" xfId="0" applyBorder="1"/>
    <xf numFmtId="4" fontId="0" fillId="0" borderId="0" xfId="0" applyNumberFormat="1"/>
    <xf numFmtId="4" fontId="20" fillId="59" borderId="0" xfId="0" applyNumberFormat="1" applyFont="1" applyFill="1"/>
    <xf numFmtId="0" fontId="2" fillId="0" borderId="0" xfId="0" applyFont="1" applyAlignment="1">
      <alignment horizontal="center"/>
    </xf>
    <xf numFmtId="0" fontId="54" fillId="66" borderId="0" xfId="0" applyFont="1" applyFill="1" applyAlignment="1">
      <alignment horizontal="center" wrapText="1"/>
    </xf>
    <xf numFmtId="44" fontId="54" fillId="66" borderId="0" xfId="0" applyNumberFormat="1" applyFont="1" applyFill="1" applyAlignment="1">
      <alignment horizontal="center" wrapText="1"/>
    </xf>
    <xf numFmtId="0" fontId="2" fillId="0" borderId="0" xfId="0" applyFont="1" applyAlignment="1">
      <alignment wrapText="1"/>
    </xf>
    <xf numFmtId="167" fontId="21" fillId="64" borderId="0" xfId="0" applyNumberFormat="1" applyFont="1" applyFill="1" applyAlignment="1" applyProtection="1">
      <alignment horizontal="center"/>
      <protection locked="0"/>
    </xf>
    <xf numFmtId="167" fontId="49" fillId="64" borderId="0" xfId="0" applyNumberFormat="1" applyFont="1" applyFill="1" applyAlignment="1">
      <alignment horizontal="center"/>
    </xf>
    <xf numFmtId="167" fontId="54" fillId="66" borderId="0" xfId="0" applyNumberFormat="1" applyFont="1" applyFill="1" applyAlignment="1">
      <alignment horizontal="center" wrapText="1"/>
    </xf>
    <xf numFmtId="167" fontId="102" fillId="64" borderId="0" xfId="0" applyNumberFormat="1" applyFont="1" applyFill="1" applyAlignment="1">
      <alignment horizontal="center"/>
    </xf>
    <xf numFmtId="44" fontId="21" fillId="64" borderId="0" xfId="17072" applyNumberFormat="1" applyFont="1" applyFill="1" applyAlignment="1" applyProtection="1">
      <alignment horizontal="center"/>
      <protection locked="0"/>
    </xf>
    <xf numFmtId="44" fontId="102" fillId="64" borderId="0" xfId="17072" applyNumberFormat="1" applyFont="1" applyFill="1" applyAlignment="1">
      <alignment horizontal="center"/>
    </xf>
    <xf numFmtId="44" fontId="54" fillId="66" borderId="0" xfId="17072" applyNumberFormat="1" applyFont="1" applyFill="1" applyAlignment="1">
      <alignment horizontal="center" wrapText="1"/>
    </xf>
    <xf numFmtId="167" fontId="0" fillId="0" borderId="0" xfId="0" applyNumberFormat="1" applyAlignment="1">
      <alignment horizontal="center"/>
    </xf>
    <xf numFmtId="167" fontId="4" fillId="0" borderId="0" xfId="0" applyNumberFormat="1" applyFont="1" applyAlignment="1">
      <alignment horizontal="center"/>
    </xf>
    <xf numFmtId="44" fontId="4" fillId="0" borderId="0" xfId="17072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167" fontId="2" fillId="0" borderId="0" xfId="0" quotePrefix="1" applyNumberFormat="1" applyFont="1" applyAlignment="1">
      <alignment horizontal="center"/>
    </xf>
    <xf numFmtId="44" fontId="3" fillId="0" borderId="0" xfId="17072" applyNumberFormat="1" applyFont="1" applyAlignment="1">
      <alignment horizontal="center"/>
    </xf>
    <xf numFmtId="0" fontId="0" fillId="68" borderId="0" xfId="0" applyFill="1"/>
    <xf numFmtId="0" fontId="0" fillId="0" borderId="71" xfId="0" applyBorder="1" applyAlignment="1">
      <alignment horizontal="center"/>
    </xf>
    <xf numFmtId="44" fontId="0" fillId="0" borderId="1" xfId="17074" applyFont="1" applyBorder="1" applyAlignment="1">
      <alignment horizontal="center"/>
    </xf>
    <xf numFmtId="44" fontId="0" fillId="0" borderId="68" xfId="17074" applyFont="1" applyBorder="1" applyAlignment="1">
      <alignment horizontal="center"/>
    </xf>
    <xf numFmtId="44" fontId="0" fillId="0" borderId="0" xfId="17074" applyFont="1"/>
    <xf numFmtId="44" fontId="2" fillId="64" borderId="119" xfId="0" applyNumberFormat="1" applyFont="1" applyFill="1" applyBorder="1"/>
    <xf numFmtId="0" fontId="18" fillId="0" borderId="1" xfId="0" applyFont="1" applyBorder="1"/>
    <xf numFmtId="44" fontId="1" fillId="0" borderId="24" xfId="0" applyNumberFormat="1" applyFont="1" applyBorder="1" applyAlignment="1">
      <alignment horizontal="center"/>
    </xf>
    <xf numFmtId="44" fontId="1" fillId="0" borderId="0" xfId="0" applyNumberFormat="1" applyFont="1" applyAlignment="1">
      <alignment horizontal="center"/>
    </xf>
    <xf numFmtId="44" fontId="1" fillId="0" borderId="1" xfId="0" applyNumberFormat="1" applyFont="1" applyBorder="1" applyAlignment="1">
      <alignment horizontal="center"/>
    </xf>
    <xf numFmtId="44" fontId="0" fillId="0" borderId="107" xfId="17074" applyFont="1" applyBorder="1"/>
    <xf numFmtId="44" fontId="3" fillId="0" borderId="0" xfId="17072" applyNumberFormat="1" applyFont="1" applyFill="1" applyAlignment="1">
      <alignment horizontal="center"/>
    </xf>
    <xf numFmtId="0" fontId="94" fillId="0" borderId="39" xfId="0" applyFont="1" applyBorder="1" applyAlignment="1">
      <alignment horizontal="center" vertical="center" wrapText="1"/>
    </xf>
    <xf numFmtId="44" fontId="46" fillId="0" borderId="0" xfId="0" applyNumberFormat="1" applyFont="1"/>
    <xf numFmtId="44" fontId="46" fillId="0" borderId="0" xfId="0" applyNumberFormat="1" applyFont="1" applyAlignment="1">
      <alignment vertical="center"/>
    </xf>
    <xf numFmtId="44" fontId="85" fillId="0" borderId="0" xfId="0" applyNumberFormat="1" applyFont="1"/>
    <xf numFmtId="44" fontId="104" fillId="0" borderId="0" xfId="0" applyNumberFormat="1" applyFont="1" applyAlignment="1">
      <alignment vertical="center"/>
    </xf>
    <xf numFmtId="0" fontId="2" fillId="66" borderId="0" xfId="0" applyFont="1" applyFill="1"/>
    <xf numFmtId="0" fontId="2" fillId="66" borderId="0" xfId="0" applyFont="1" applyFill="1" applyAlignment="1">
      <alignment horizontal="center"/>
    </xf>
    <xf numFmtId="167" fontId="2" fillId="66" borderId="0" xfId="0" applyNumberFormat="1" applyFont="1" applyFill="1" applyAlignment="1">
      <alignment horizontal="center"/>
    </xf>
    <xf numFmtId="167" fontId="54" fillId="66" borderId="0" xfId="0" applyNumberFormat="1" applyFont="1" applyFill="1" applyAlignment="1">
      <alignment horizontal="center"/>
    </xf>
    <xf numFmtId="44" fontId="3" fillId="0" borderId="32" xfId="0" applyNumberFormat="1" applyFont="1" applyBorder="1"/>
    <xf numFmtId="44" fontId="54" fillId="0" borderId="33" xfId="0" applyNumberFormat="1" applyFont="1" applyBorder="1"/>
    <xf numFmtId="0" fontId="0" fillId="55" borderId="1" xfId="0" applyFill="1" applyBorder="1" applyAlignment="1">
      <alignment horizontal="center" vertical="center" wrapText="1"/>
    </xf>
    <xf numFmtId="44" fontId="20" fillId="58" borderId="33" xfId="0" applyNumberFormat="1" applyFont="1" applyFill="1" applyBorder="1"/>
    <xf numFmtId="44" fontId="0" fillId="0" borderId="121" xfId="0" applyNumberFormat="1" applyBorder="1"/>
    <xf numFmtId="0" fontId="2" fillId="64" borderId="96" xfId="0" applyFont="1" applyFill="1" applyBorder="1"/>
    <xf numFmtId="165" fontId="0" fillId="0" borderId="0" xfId="17074" applyNumberFormat="1" applyFont="1" applyBorder="1" applyAlignment="1">
      <alignment horizontal="center"/>
    </xf>
    <xf numFmtId="165" fontId="0" fillId="0" borderId="66" xfId="0" applyNumberFormat="1" applyBorder="1" applyAlignment="1">
      <alignment horizontal="center"/>
    </xf>
    <xf numFmtId="165" fontId="0" fillId="0" borderId="67" xfId="0" applyNumberFormat="1" applyBorder="1" applyAlignment="1">
      <alignment horizontal="center"/>
    </xf>
    <xf numFmtId="165" fontId="0" fillId="0" borderId="68" xfId="0" applyNumberFormat="1" applyBorder="1" applyAlignment="1">
      <alignment horizontal="center"/>
    </xf>
    <xf numFmtId="165" fontId="0" fillId="0" borderId="67" xfId="17074" applyNumberFormat="1" applyFont="1" applyBorder="1" applyAlignment="1">
      <alignment horizontal="center"/>
    </xf>
    <xf numFmtId="165" fontId="0" fillId="0" borderId="66" xfId="17074" applyNumberFormat="1" applyFont="1" applyBorder="1" applyAlignment="1">
      <alignment horizontal="center"/>
    </xf>
    <xf numFmtId="8" fontId="0" fillId="0" borderId="0" xfId="0" applyNumberFormat="1" applyAlignment="1">
      <alignment horizontal="center"/>
    </xf>
    <xf numFmtId="8" fontId="0" fillId="0" borderId="66" xfId="0" applyNumberFormat="1" applyBorder="1" applyAlignment="1">
      <alignment horizontal="center"/>
    </xf>
    <xf numFmtId="44" fontId="2" fillId="64" borderId="87" xfId="0" applyNumberFormat="1" applyFont="1" applyFill="1" applyBorder="1" applyAlignment="1">
      <alignment horizontal="center"/>
    </xf>
    <xf numFmtId="44" fontId="2" fillId="65" borderId="87" xfId="0" applyNumberFormat="1" applyFont="1" applyFill="1" applyBorder="1" applyAlignment="1">
      <alignment horizontal="center"/>
    </xf>
    <xf numFmtId="44" fontId="3" fillId="64" borderId="123" xfId="0" applyNumberFormat="1" applyFont="1" applyFill="1" applyBorder="1"/>
    <xf numFmtId="44" fontId="3" fillId="64" borderId="96" xfId="0" applyNumberFormat="1" applyFont="1" applyFill="1" applyBorder="1"/>
    <xf numFmtId="44" fontId="61" fillId="0" borderId="0" xfId="17074" applyFont="1" applyBorder="1" applyAlignment="1">
      <alignment horizontal="center"/>
    </xf>
    <xf numFmtId="44" fontId="3" fillId="0" borderId="121" xfId="0" applyNumberFormat="1" applyFont="1" applyBorder="1" applyAlignment="1">
      <alignment horizontal="center"/>
    </xf>
    <xf numFmtId="44" fontId="3" fillId="0" borderId="126" xfId="0" applyNumberFormat="1" applyFont="1" applyBorder="1" applyAlignment="1">
      <alignment horizontal="center"/>
    </xf>
    <xf numFmtId="44" fontId="3" fillId="0" borderId="125" xfId="0" applyNumberFormat="1" applyFont="1" applyBorder="1" applyAlignment="1">
      <alignment horizontal="center"/>
    </xf>
    <xf numFmtId="0" fontId="3" fillId="64" borderId="70" xfId="0" applyFont="1" applyFill="1" applyBorder="1" applyAlignment="1">
      <alignment horizontal="center"/>
    </xf>
    <xf numFmtId="44" fontId="61" fillId="59" borderId="24" xfId="0" applyNumberFormat="1" applyFont="1" applyFill="1" applyBorder="1" applyAlignment="1">
      <alignment horizontal="center"/>
    </xf>
    <xf numFmtId="44" fontId="61" fillId="59" borderId="0" xfId="0" applyNumberFormat="1" applyFont="1" applyFill="1" applyAlignment="1">
      <alignment horizontal="center"/>
    </xf>
    <xf numFmtId="44" fontId="1" fillId="0" borderId="24" xfId="17074" applyFont="1" applyBorder="1" applyAlignment="1">
      <alignment horizontal="center"/>
    </xf>
    <xf numFmtId="44" fontId="1" fillId="0" borderId="0" xfId="17074" applyFont="1" applyBorder="1" applyAlignment="1">
      <alignment horizontal="center"/>
    </xf>
    <xf numFmtId="0" fontId="3" fillId="64" borderId="66" xfId="0" applyFont="1" applyFill="1" applyBorder="1" applyAlignment="1">
      <alignment horizontal="center"/>
    </xf>
    <xf numFmtId="14" fontId="0" fillId="0" borderId="0" xfId="0" applyNumberFormat="1"/>
    <xf numFmtId="10" fontId="2" fillId="69" borderId="0" xfId="0" applyNumberFormat="1" applyFont="1" applyFill="1" applyAlignment="1">
      <alignment horizontal="center"/>
    </xf>
    <xf numFmtId="0" fontId="78" fillId="66" borderId="87" xfId="0" applyFont="1" applyFill="1" applyBorder="1" applyAlignment="1">
      <alignment horizontal="center"/>
    </xf>
    <xf numFmtId="0" fontId="105" fillId="64" borderId="0" xfId="0" applyFont="1" applyFill="1" applyAlignment="1" applyProtection="1">
      <alignment horizontal="center"/>
      <protection locked="0"/>
    </xf>
    <xf numFmtId="0" fontId="106" fillId="64" borderId="0" xfId="0" applyFont="1" applyFill="1" applyAlignment="1">
      <alignment horizontal="right"/>
    </xf>
    <xf numFmtId="10" fontId="106" fillId="64" borderId="0" xfId="0" applyNumberFormat="1" applyFont="1" applyFill="1" applyAlignment="1">
      <alignment horizontal="center"/>
    </xf>
    <xf numFmtId="10" fontId="107" fillId="64" borderId="0" xfId="0" applyNumberFormat="1" applyFont="1" applyFill="1" applyAlignment="1">
      <alignment horizontal="center"/>
    </xf>
    <xf numFmtId="1" fontId="107" fillId="64" borderId="0" xfId="0" applyNumberFormat="1" applyFont="1" applyFill="1" applyAlignment="1">
      <alignment horizontal="left"/>
    </xf>
    <xf numFmtId="10" fontId="107" fillId="64" borderId="0" xfId="0" applyNumberFormat="1" applyFont="1" applyFill="1" applyAlignment="1">
      <alignment horizontal="left"/>
    </xf>
    <xf numFmtId="1" fontId="0" fillId="0" borderId="0" xfId="0" applyNumberFormat="1" applyAlignment="1">
      <alignment horizontal="center"/>
    </xf>
    <xf numFmtId="44" fontId="0" fillId="0" borderId="0" xfId="17074" applyFont="1" applyAlignment="1"/>
    <xf numFmtId="44" fontId="2" fillId="0" borderId="67" xfId="0" applyNumberFormat="1" applyFont="1" applyBorder="1" applyAlignment="1">
      <alignment horizontal="center"/>
    </xf>
    <xf numFmtId="44" fontId="2" fillId="0" borderId="69" xfId="0" applyNumberFormat="1" applyFont="1" applyBorder="1" applyAlignment="1">
      <alignment horizontal="center"/>
    </xf>
    <xf numFmtId="44" fontId="2" fillId="0" borderId="71" xfId="0" applyNumberFormat="1" applyFont="1" applyBorder="1" applyAlignment="1">
      <alignment horizontal="center"/>
    </xf>
    <xf numFmtId="44" fontId="2" fillId="0" borderId="68" xfId="0" applyNumberFormat="1" applyFont="1" applyBorder="1" applyAlignment="1">
      <alignment horizontal="center"/>
    </xf>
    <xf numFmtId="44" fontId="2" fillId="0" borderId="70" xfId="0" applyNumberFormat="1" applyFont="1" applyBorder="1" applyAlignment="1">
      <alignment horizontal="center"/>
    </xf>
    <xf numFmtId="44" fontId="2" fillId="0" borderId="66" xfId="0" applyNumberFormat="1" applyFont="1" applyBorder="1" applyAlignment="1">
      <alignment horizontal="center"/>
    </xf>
    <xf numFmtId="44" fontId="3" fillId="0" borderId="24" xfId="0" applyNumberFormat="1" applyFont="1" applyBorder="1" applyAlignment="1">
      <alignment horizontal="center"/>
    </xf>
    <xf numFmtId="0" fontId="46" fillId="0" borderId="0" xfId="0" applyFont="1" applyAlignment="1">
      <alignment horizontal="center" wrapText="1"/>
    </xf>
    <xf numFmtId="0" fontId="46" fillId="0" borderId="0" xfId="0" applyFont="1" applyAlignment="1">
      <alignment horizontal="left" wrapText="1"/>
    </xf>
    <xf numFmtId="167" fontId="46" fillId="0" borderId="0" xfId="0" applyNumberFormat="1" applyFont="1" applyAlignment="1">
      <alignment horizontal="center" wrapText="1"/>
    </xf>
    <xf numFmtId="167" fontId="21" fillId="0" borderId="0" xfId="0" applyNumberFormat="1" applyFont="1" applyAlignment="1">
      <alignment horizontal="center" wrapText="1"/>
    </xf>
    <xf numFmtId="0" fontId="75" fillId="66" borderId="0" xfId="0" applyFont="1" applyFill="1" applyAlignment="1">
      <alignment horizontal="left"/>
    </xf>
    <xf numFmtId="0" fontId="63" fillId="64" borderId="0" xfId="0" applyFont="1" applyFill="1"/>
    <xf numFmtId="0" fontId="59" fillId="64" borderId="0" xfId="0" applyFont="1" applyFill="1" applyAlignment="1">
      <alignment horizontal="center"/>
    </xf>
    <xf numFmtId="0" fontId="59" fillId="64" borderId="0" xfId="0" applyFont="1" applyFill="1" applyAlignment="1">
      <alignment horizontal="left" vertical="center" wrapText="1"/>
    </xf>
    <xf numFmtId="0" fontId="62" fillId="64" borderId="0" xfId="0" applyFont="1" applyFill="1" applyAlignment="1">
      <alignment horizontal="left"/>
    </xf>
    <xf numFmtId="0" fontId="60" fillId="64" borderId="0" xfId="0" applyFont="1" applyFill="1" applyAlignment="1">
      <alignment horizontal="left" wrapText="1"/>
    </xf>
    <xf numFmtId="0" fontId="58" fillId="64" borderId="0" xfId="0" applyFont="1" applyFill="1" applyAlignment="1">
      <alignment horizontal="left"/>
    </xf>
    <xf numFmtId="0" fontId="55" fillId="64" borderId="0" xfId="0" applyFont="1" applyFill="1" applyAlignment="1">
      <alignment horizontal="center"/>
    </xf>
    <xf numFmtId="0" fontId="56" fillId="0" borderId="0" xfId="0" applyFont="1" applyAlignment="1">
      <alignment horizontal="center" vertical="top" wrapText="1"/>
    </xf>
    <xf numFmtId="0" fontId="56" fillId="0" borderId="0" xfId="0" applyFont="1" applyAlignment="1">
      <alignment horizontal="center" vertical="top"/>
    </xf>
    <xf numFmtId="0" fontId="81" fillId="64" borderId="0" xfId="0" applyFont="1" applyFill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48" fillId="64" borderId="0" xfId="0" applyFont="1" applyFill="1" applyAlignment="1" applyProtection="1">
      <alignment horizontal="center"/>
      <protection locked="0"/>
    </xf>
    <xf numFmtId="0" fontId="80" fillId="64" borderId="0" xfId="0" applyFont="1" applyFill="1" applyAlignment="1" applyProtection="1">
      <alignment horizontal="center"/>
      <protection locked="0"/>
    </xf>
    <xf numFmtId="0" fontId="54" fillId="66" borderId="0" xfId="0" applyFont="1" applyFill="1" applyAlignment="1">
      <alignment horizontal="center" vertical="center"/>
    </xf>
    <xf numFmtId="0" fontId="18" fillId="66" borderId="0" xfId="0" applyFont="1" applyFill="1" applyAlignment="1">
      <alignment horizontal="center" vertical="center" wrapText="1"/>
    </xf>
    <xf numFmtId="0" fontId="76" fillId="66" borderId="0" xfId="0" applyFont="1" applyFill="1" applyAlignment="1">
      <alignment horizontal="center" vertical="center" wrapText="1"/>
    </xf>
    <xf numFmtId="0" fontId="18" fillId="66" borderId="0" xfId="0" applyFont="1" applyFill="1" applyAlignment="1" applyProtection="1">
      <alignment horizontal="center" wrapText="1"/>
      <protection locked="0"/>
    </xf>
    <xf numFmtId="37" fontId="0" fillId="64" borderId="0" xfId="17072" applyNumberFormat="1" applyFont="1" applyFill="1" applyAlignment="1">
      <alignment horizontal="center" vertical="center" wrapText="1"/>
    </xf>
    <xf numFmtId="0" fontId="71" fillId="0" borderId="0" xfId="0" applyFont="1" applyAlignment="1">
      <alignment horizontal="center" vertical="top"/>
    </xf>
    <xf numFmtId="166" fontId="0" fillId="64" borderId="0" xfId="0" applyNumberFormat="1" applyFill="1" applyAlignment="1">
      <alignment wrapText="1"/>
    </xf>
    <xf numFmtId="166" fontId="0" fillId="64" borderId="1" xfId="0" applyNumberFormat="1" applyFill="1" applyBorder="1" applyAlignment="1">
      <alignment wrapText="1"/>
    </xf>
    <xf numFmtId="10" fontId="4" fillId="64" borderId="0" xfId="0" applyNumberFormat="1" applyFont="1" applyFill="1" applyAlignment="1">
      <alignment horizontal="center" wrapText="1"/>
    </xf>
    <xf numFmtId="167" fontId="45" fillId="64" borderId="0" xfId="0" applyNumberFormat="1" applyFont="1" applyFill="1" applyAlignment="1">
      <alignment horizontal="center" wrapText="1"/>
    </xf>
    <xf numFmtId="10" fontId="0" fillId="64" borderId="0" xfId="0" applyNumberFormat="1" applyFill="1" applyAlignment="1">
      <alignment horizontal="center" wrapText="1"/>
    </xf>
    <xf numFmtId="0" fontId="0" fillId="64" borderId="0" xfId="0" applyFill="1" applyAlignment="1">
      <alignment horizontal="right"/>
    </xf>
    <xf numFmtId="0" fontId="45" fillId="64" borderId="0" xfId="0" applyFont="1" applyFill="1" applyAlignment="1">
      <alignment horizontal="right"/>
    </xf>
    <xf numFmtId="0" fontId="49" fillId="64" borderId="0" xfId="0" applyFont="1" applyFill="1" applyAlignment="1">
      <alignment horizontal="center"/>
    </xf>
    <xf numFmtId="0" fontId="46" fillId="64" borderId="0" xfId="0" applyFont="1" applyFill="1" applyAlignment="1" applyProtection="1">
      <alignment horizontal="center"/>
      <protection locked="0"/>
    </xf>
    <xf numFmtId="0" fontId="54" fillId="66" borderId="42" xfId="0" applyFont="1" applyFill="1" applyBorder="1" applyAlignment="1">
      <alignment horizontal="center" vertical="center" wrapText="1"/>
    </xf>
    <xf numFmtId="0" fontId="54" fillId="66" borderId="43" xfId="0" applyFont="1" applyFill="1" applyBorder="1" applyAlignment="1">
      <alignment horizontal="center" vertical="center" wrapText="1"/>
    </xf>
    <xf numFmtId="0" fontId="54" fillId="66" borderId="84" xfId="0" applyFont="1" applyFill="1" applyBorder="1" applyAlignment="1">
      <alignment horizontal="center" vertical="center" wrapText="1"/>
    </xf>
    <xf numFmtId="0" fontId="54" fillId="66" borderId="4" xfId="0" applyFont="1" applyFill="1" applyBorder="1" applyAlignment="1">
      <alignment horizontal="center" vertical="center" wrapText="1"/>
    </xf>
    <xf numFmtId="0" fontId="54" fillId="66" borderId="85" xfId="0" applyFont="1" applyFill="1" applyBorder="1" applyAlignment="1">
      <alignment horizontal="center" vertical="center" wrapText="1"/>
    </xf>
    <xf numFmtId="0" fontId="54" fillId="66" borderId="5" xfId="0" applyFont="1" applyFill="1" applyBorder="1" applyAlignment="1">
      <alignment horizontal="center" vertical="center" wrapText="1"/>
    </xf>
    <xf numFmtId="0" fontId="54" fillId="66" borderId="25" xfId="0" applyFont="1" applyFill="1" applyBorder="1" applyAlignment="1">
      <alignment horizontal="center" vertical="center" wrapText="1"/>
    </xf>
    <xf numFmtId="10" fontId="106" fillId="64" borderId="0" xfId="0" applyNumberFormat="1" applyFont="1" applyFill="1" applyAlignment="1">
      <alignment horizontal="center"/>
    </xf>
    <xf numFmtId="10" fontId="53" fillId="0" borderId="108" xfId="0" applyNumberFormat="1" applyFont="1" applyBorder="1" applyAlignment="1">
      <alignment horizontal="center"/>
    </xf>
    <xf numFmtId="10" fontId="53" fillId="0" borderId="109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0" fontId="52" fillId="64" borderId="0" xfId="0" applyNumberFormat="1" applyFont="1" applyFill="1" applyAlignment="1">
      <alignment horizontal="center" vertical="top" wrapText="1"/>
    </xf>
    <xf numFmtId="0" fontId="54" fillId="66" borderId="0" xfId="0" applyFont="1" applyFill="1" applyAlignment="1">
      <alignment horizontal="center"/>
    </xf>
    <xf numFmtId="0" fontId="54" fillId="66" borderId="86" xfId="0" applyFont="1" applyFill="1" applyBorder="1" applyAlignment="1">
      <alignment horizontal="center" vertical="center"/>
    </xf>
    <xf numFmtId="0" fontId="54" fillId="66" borderId="0" xfId="0" applyFont="1" applyFill="1" applyAlignment="1">
      <alignment horizontal="center" vertical="center" wrapText="1"/>
    </xf>
    <xf numFmtId="0" fontId="54" fillId="66" borderId="98" xfId="0" applyFont="1" applyFill="1" applyBorder="1" applyAlignment="1">
      <alignment horizontal="center" vertical="center"/>
    </xf>
    <xf numFmtId="0" fontId="21" fillId="64" borderId="0" xfId="0" applyFont="1" applyFill="1" applyAlignment="1">
      <alignment horizontal="right"/>
    </xf>
    <xf numFmtId="0" fontId="21" fillId="64" borderId="91" xfId="0" applyFont="1" applyFill="1" applyBorder="1" applyAlignment="1">
      <alignment horizontal="right"/>
    </xf>
    <xf numFmtId="0" fontId="54" fillId="66" borderId="86" xfId="0" applyFont="1" applyFill="1" applyBorder="1" applyAlignment="1">
      <alignment horizontal="center"/>
    </xf>
    <xf numFmtId="0" fontId="54" fillId="66" borderId="87" xfId="0" applyFont="1" applyFill="1" applyBorder="1" applyAlignment="1">
      <alignment horizontal="center"/>
    </xf>
    <xf numFmtId="0" fontId="54" fillId="66" borderId="98" xfId="0" applyFont="1" applyFill="1" applyBorder="1" applyAlignment="1">
      <alignment horizontal="center" wrapText="1"/>
    </xf>
    <xf numFmtId="44" fontId="2" fillId="64" borderId="96" xfId="0" applyNumberFormat="1" applyFont="1" applyFill="1" applyBorder="1" applyAlignment="1">
      <alignment horizontal="center" vertical="center"/>
    </xf>
    <xf numFmtId="0" fontId="3" fillId="64" borderId="0" xfId="0" applyFont="1" applyFill="1" applyAlignment="1">
      <alignment horizontal="right" vertical="center"/>
    </xf>
    <xf numFmtId="0" fontId="3" fillId="64" borderId="91" xfId="0" applyFont="1" applyFill="1" applyBorder="1" applyAlignment="1">
      <alignment horizontal="right" vertical="center"/>
    </xf>
    <xf numFmtId="0" fontId="86" fillId="55" borderId="70" xfId="0" applyFont="1" applyFill="1" applyBorder="1" applyAlignment="1">
      <alignment horizontal="center" vertical="center"/>
    </xf>
    <xf numFmtId="0" fontId="86" fillId="55" borderId="0" xfId="0" applyFont="1" applyFill="1" applyAlignment="1">
      <alignment horizontal="center" vertical="center"/>
    </xf>
    <xf numFmtId="0" fontId="86" fillId="55" borderId="66" xfId="0" applyFont="1" applyFill="1" applyBorder="1" applyAlignment="1">
      <alignment horizontal="center" vertical="center"/>
    </xf>
    <xf numFmtId="0" fontId="86" fillId="55" borderId="91" xfId="0" applyFont="1" applyFill="1" applyBorder="1" applyAlignment="1">
      <alignment horizontal="center" vertical="center"/>
    </xf>
    <xf numFmtId="0" fontId="82" fillId="64" borderId="0" xfId="0" applyFont="1" applyFill="1" applyAlignment="1">
      <alignment horizontal="center"/>
    </xf>
    <xf numFmtId="0" fontId="80" fillId="64" borderId="0" xfId="0" applyFont="1" applyFill="1" applyAlignment="1">
      <alignment horizontal="center"/>
    </xf>
    <xf numFmtId="0" fontId="86" fillId="64" borderId="0" xfId="0" applyFont="1" applyFill="1" applyAlignment="1">
      <alignment horizontal="center"/>
    </xf>
    <xf numFmtId="0" fontId="54" fillId="0" borderId="36" xfId="0" applyFont="1" applyBorder="1" applyAlignment="1">
      <alignment horizontal="center" vertical="center"/>
    </xf>
    <xf numFmtId="0" fontId="54" fillId="0" borderId="24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0" fontId="54" fillId="0" borderId="40" xfId="0" applyFont="1" applyBorder="1" applyAlignment="1">
      <alignment horizontal="center" vertical="center"/>
    </xf>
    <xf numFmtId="0" fontId="54" fillId="0" borderId="69" xfId="0" applyFont="1" applyBorder="1" applyAlignment="1">
      <alignment horizontal="center" vertical="center"/>
    </xf>
    <xf numFmtId="0" fontId="54" fillId="0" borderId="71" xfId="0" applyFont="1" applyBorder="1" applyAlignment="1">
      <alignment horizontal="center" vertical="center"/>
    </xf>
    <xf numFmtId="0" fontId="54" fillId="0" borderId="38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/>
    </xf>
    <xf numFmtId="0" fontId="54" fillId="0" borderId="99" xfId="0" applyFont="1" applyBorder="1" applyAlignment="1">
      <alignment horizontal="center" vertical="center"/>
    </xf>
    <xf numFmtId="0" fontId="83" fillId="64" borderId="0" xfId="0" applyFont="1" applyFill="1" applyAlignment="1">
      <alignment horizontal="center"/>
    </xf>
    <xf numFmtId="0" fontId="84" fillId="64" borderId="0" xfId="0" applyFont="1" applyFill="1" applyAlignment="1">
      <alignment horizontal="center"/>
    </xf>
    <xf numFmtId="0" fontId="92" fillId="64" borderId="0" xfId="0" applyFont="1" applyFill="1" applyAlignment="1">
      <alignment horizontal="center"/>
    </xf>
    <xf numFmtId="0" fontId="95" fillId="0" borderId="1" xfId="0" applyFont="1" applyBorder="1" applyAlignment="1">
      <alignment horizontal="center"/>
    </xf>
    <xf numFmtId="0" fontId="54" fillId="0" borderId="27" xfId="0" applyFont="1" applyBorder="1" applyAlignment="1">
      <alignment horizontal="center" vertical="center"/>
    </xf>
    <xf numFmtId="0" fontId="54" fillId="0" borderId="28" xfId="0" applyFont="1" applyBorder="1" applyAlignment="1">
      <alignment horizontal="center" vertical="center"/>
    </xf>
    <xf numFmtId="0" fontId="54" fillId="0" borderId="120" xfId="0" applyFont="1" applyBorder="1" applyAlignment="1">
      <alignment horizontal="center" vertical="center"/>
    </xf>
    <xf numFmtId="0" fontId="54" fillId="0" borderId="124" xfId="0" applyFont="1" applyBorder="1" applyAlignment="1">
      <alignment horizontal="center" vertical="center"/>
    </xf>
    <xf numFmtId="0" fontId="54" fillId="0" borderId="122" xfId="0" applyFont="1" applyBorder="1" applyAlignment="1">
      <alignment horizontal="center" vertical="center"/>
    </xf>
    <xf numFmtId="44" fontId="54" fillId="0" borderId="124" xfId="0" applyNumberFormat="1" applyFont="1" applyBorder="1" applyAlignment="1">
      <alignment horizontal="center" vertical="center"/>
    </xf>
    <xf numFmtId="44" fontId="54" fillId="0" borderId="122" xfId="0" applyNumberFormat="1" applyFont="1" applyBorder="1" applyAlignment="1">
      <alignment horizontal="center" vertical="center"/>
    </xf>
    <xf numFmtId="0" fontId="96" fillId="0" borderId="1" xfId="0" applyFont="1" applyBorder="1" applyAlignment="1">
      <alignment horizontal="center"/>
    </xf>
    <xf numFmtId="0" fontId="54" fillId="0" borderId="67" xfId="0" applyFont="1" applyBorder="1" applyAlignment="1">
      <alignment horizontal="center" vertical="center"/>
    </xf>
    <xf numFmtId="0" fontId="54" fillId="0" borderId="72" xfId="0" applyFont="1" applyBorder="1" applyAlignment="1">
      <alignment horizontal="center" vertical="center"/>
    </xf>
    <xf numFmtId="0" fontId="54" fillId="0" borderId="73" xfId="0" applyFont="1" applyBorder="1" applyAlignment="1">
      <alignment horizontal="center" vertical="center"/>
    </xf>
    <xf numFmtId="0" fontId="3" fillId="64" borderId="0" xfId="0" applyFont="1" applyFill="1" applyAlignment="1">
      <alignment horizontal="center"/>
    </xf>
    <xf numFmtId="0" fontId="3" fillId="64" borderId="9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03" fillId="0" borderId="1" xfId="0" applyFont="1" applyBorder="1" applyAlignment="1">
      <alignment horizontal="center"/>
    </xf>
    <xf numFmtId="0" fontId="54" fillId="60" borderId="57" xfId="0" applyFont="1" applyFill="1" applyBorder="1" applyAlignment="1">
      <alignment horizontal="center"/>
    </xf>
    <xf numFmtId="0" fontId="18" fillId="62" borderId="27" xfId="0" applyFont="1" applyFill="1" applyBorder="1" applyAlignment="1">
      <alignment horizontal="center"/>
    </xf>
    <xf numFmtId="0" fontId="18" fillId="62" borderId="29" xfId="0" applyFont="1" applyFill="1" applyBorder="1" applyAlignment="1">
      <alignment horizontal="center"/>
    </xf>
    <xf numFmtId="0" fontId="54" fillId="61" borderId="57" xfId="0" applyFont="1" applyFill="1" applyBorder="1" applyAlignment="1">
      <alignment horizontal="center"/>
    </xf>
    <xf numFmtId="0" fontId="18" fillId="58" borderId="27" xfId="0" applyFont="1" applyFill="1" applyBorder="1" applyAlignment="1">
      <alignment horizontal="center"/>
    </xf>
    <xf numFmtId="0" fontId="18" fillId="58" borderId="28" xfId="0" applyFont="1" applyFill="1" applyBorder="1" applyAlignment="1">
      <alignment horizontal="center"/>
    </xf>
    <xf numFmtId="0" fontId="18" fillId="58" borderId="29" xfId="0" applyFont="1" applyFill="1" applyBorder="1" applyAlignment="1">
      <alignment horizontal="center"/>
    </xf>
    <xf numFmtId="0" fontId="4" fillId="55" borderId="36" xfId="0" applyFont="1" applyFill="1" applyBorder="1" applyAlignment="1">
      <alignment horizontal="center" vertical="center"/>
    </xf>
    <xf numFmtId="0" fontId="4" fillId="55" borderId="39" xfId="0" applyFont="1" applyFill="1" applyBorder="1" applyAlignment="1">
      <alignment horizontal="center" vertical="center"/>
    </xf>
    <xf numFmtId="0" fontId="4" fillId="55" borderId="24" xfId="0" applyFont="1" applyFill="1" applyBorder="1" applyAlignment="1">
      <alignment horizontal="center" vertical="center"/>
    </xf>
    <xf numFmtId="0" fontId="4" fillId="55" borderId="1" xfId="0" applyFont="1" applyFill="1" applyBorder="1" applyAlignment="1">
      <alignment horizontal="center" vertical="center"/>
    </xf>
    <xf numFmtId="0" fontId="4" fillId="55" borderId="38" xfId="0" applyFont="1" applyFill="1" applyBorder="1" applyAlignment="1">
      <alignment horizontal="center" vertical="center"/>
    </xf>
    <xf numFmtId="0" fontId="4" fillId="55" borderId="41" xfId="0" applyFont="1" applyFill="1" applyBorder="1" applyAlignment="1">
      <alignment horizontal="center" vertical="center"/>
    </xf>
    <xf numFmtId="0" fontId="4" fillId="55" borderId="37" xfId="0" applyFont="1" applyFill="1" applyBorder="1" applyAlignment="1">
      <alignment horizontal="center" vertical="center" wrapText="1"/>
    </xf>
    <xf numFmtId="0" fontId="4" fillId="55" borderId="40" xfId="0" applyFont="1" applyFill="1" applyBorder="1" applyAlignment="1">
      <alignment horizontal="center" vertical="center" wrapText="1"/>
    </xf>
    <xf numFmtId="0" fontId="4" fillId="55" borderId="36" xfId="0" applyFont="1" applyFill="1" applyBorder="1" applyAlignment="1">
      <alignment horizontal="center"/>
    </xf>
    <xf numFmtId="0" fontId="4" fillId="55" borderId="24" xfId="0" applyFont="1" applyFill="1" applyBorder="1" applyAlignment="1">
      <alignment horizontal="center"/>
    </xf>
    <xf numFmtId="0" fontId="18" fillId="57" borderId="27" xfId="0" applyFont="1" applyFill="1" applyBorder="1" applyAlignment="1">
      <alignment horizontal="center"/>
    </xf>
    <xf numFmtId="0" fontId="18" fillId="57" borderId="28" xfId="0" applyFont="1" applyFill="1" applyBorder="1" applyAlignment="1">
      <alignment horizontal="center"/>
    </xf>
    <xf numFmtId="0" fontId="18" fillId="57" borderId="29" xfId="0" applyFont="1" applyFill="1" applyBorder="1" applyAlignment="1">
      <alignment horizontal="center"/>
    </xf>
    <xf numFmtId="0" fontId="18" fillId="59" borderId="27" xfId="0" applyFont="1" applyFill="1" applyBorder="1" applyAlignment="1">
      <alignment horizontal="center"/>
    </xf>
    <xf numFmtId="0" fontId="18" fillId="59" borderId="28" xfId="0" applyFont="1" applyFill="1" applyBorder="1" applyAlignment="1">
      <alignment horizontal="center"/>
    </xf>
    <xf numFmtId="0" fontId="18" fillId="59" borderId="29" xfId="0" applyFont="1" applyFill="1" applyBorder="1" applyAlignment="1">
      <alignment horizontal="center"/>
    </xf>
    <xf numFmtId="0" fontId="4" fillId="55" borderId="37" xfId="0" applyFont="1" applyFill="1" applyBorder="1" applyAlignment="1">
      <alignment horizontal="center" vertical="center"/>
    </xf>
    <xf numFmtId="0" fontId="4" fillId="55" borderId="40" xfId="0" applyFont="1" applyFill="1" applyBorder="1" applyAlignment="1">
      <alignment horizontal="center" vertical="center"/>
    </xf>
    <xf numFmtId="0" fontId="54" fillId="59" borderId="0" xfId="0" applyFont="1" applyFill="1" applyAlignment="1">
      <alignment horizontal="center"/>
    </xf>
    <xf numFmtId="0" fontId="4" fillId="55" borderId="121" xfId="0" applyFont="1" applyFill="1" applyBorder="1" applyAlignment="1">
      <alignment horizontal="center" vertical="center" wrapText="1"/>
    </xf>
    <xf numFmtId="0" fontId="4" fillId="55" borderId="122" xfId="0" applyFont="1" applyFill="1" applyBorder="1" applyAlignment="1">
      <alignment horizontal="center" vertical="center" wrapText="1"/>
    </xf>
    <xf numFmtId="0" fontId="18" fillId="63" borderId="74" xfId="0" applyFont="1" applyFill="1" applyBorder="1" applyAlignment="1">
      <alignment horizontal="center"/>
    </xf>
    <xf numFmtId="0" fontId="18" fillId="63" borderId="75" xfId="0" applyFont="1" applyFill="1" applyBorder="1" applyAlignment="1">
      <alignment horizontal="center"/>
    </xf>
    <xf numFmtId="0" fontId="18" fillId="63" borderId="76" xfId="0" applyFont="1" applyFill="1" applyBorder="1" applyAlignment="1">
      <alignment horizontal="center"/>
    </xf>
    <xf numFmtId="0" fontId="4" fillId="55" borderId="69" xfId="0" applyFont="1" applyFill="1" applyBorder="1" applyAlignment="1">
      <alignment horizontal="center" vertical="center"/>
    </xf>
    <xf numFmtId="0" fontId="4" fillId="55" borderId="67" xfId="0" applyFont="1" applyFill="1" applyBorder="1" applyAlignment="1">
      <alignment horizontal="center" vertical="center"/>
    </xf>
    <xf numFmtId="0" fontId="4" fillId="55" borderId="71" xfId="0" applyFont="1" applyFill="1" applyBorder="1" applyAlignment="1">
      <alignment horizontal="center" vertical="center"/>
    </xf>
    <xf numFmtId="0" fontId="4" fillId="55" borderId="72" xfId="0" applyFont="1" applyFill="1" applyBorder="1" applyAlignment="1">
      <alignment horizontal="center" vertical="center"/>
    </xf>
    <xf numFmtId="0" fontId="4" fillId="55" borderId="73" xfId="0" applyFont="1" applyFill="1" applyBorder="1" applyAlignment="1">
      <alignment horizontal="center" vertical="center"/>
    </xf>
    <xf numFmtId="0" fontId="18" fillId="56" borderId="74" xfId="0" applyFont="1" applyFill="1" applyBorder="1" applyAlignment="1">
      <alignment horizontal="center"/>
    </xf>
    <xf numFmtId="0" fontId="18" fillId="56" borderId="75" xfId="0" applyFont="1" applyFill="1" applyBorder="1" applyAlignment="1">
      <alignment horizontal="center"/>
    </xf>
    <xf numFmtId="0" fontId="18" fillId="56" borderId="76" xfId="0" applyFont="1" applyFill="1" applyBorder="1" applyAlignment="1">
      <alignment horizontal="center"/>
    </xf>
    <xf numFmtId="0" fontId="18" fillId="58" borderId="26" xfId="0" applyFont="1" applyFill="1" applyBorder="1" applyAlignment="1">
      <alignment horizontal="center"/>
    </xf>
    <xf numFmtId="0" fontId="18" fillId="58" borderId="0" xfId="0" applyFont="1" applyFill="1" applyBorder="1" applyAlignment="1">
      <alignment horizontal="center"/>
    </xf>
    <xf numFmtId="3" fontId="0" fillId="0" borderId="127" xfId="0" applyNumberFormat="1" applyBorder="1" applyAlignment="1">
      <alignment horizontal="center"/>
    </xf>
    <xf numFmtId="44" fontId="2" fillId="65" borderId="128" xfId="0" applyNumberFormat="1" applyFont="1" applyFill="1" applyBorder="1" applyAlignment="1">
      <alignment horizontal="center" vertical="center"/>
    </xf>
    <xf numFmtId="44" fontId="2" fillId="64" borderId="128" xfId="0" applyNumberFormat="1" applyFont="1" applyFill="1" applyBorder="1" applyAlignment="1">
      <alignment horizontal="center" vertical="center"/>
    </xf>
    <xf numFmtId="44" fontId="2" fillId="64" borderId="129" xfId="0" applyNumberFormat="1" applyFont="1" applyFill="1" applyBorder="1" applyAlignment="1">
      <alignment horizontal="center" vertical="center"/>
    </xf>
    <xf numFmtId="44" fontId="2" fillId="64" borderId="81" xfId="0" applyNumberFormat="1" applyFont="1" applyFill="1" applyBorder="1" applyAlignment="1">
      <alignment horizontal="center" vertical="center"/>
    </xf>
    <xf numFmtId="44" fontId="2" fillId="65" borderId="0" xfId="0" applyNumberFormat="1" applyFont="1" applyFill="1" applyBorder="1" applyAlignment="1">
      <alignment horizontal="center" vertical="center"/>
    </xf>
    <xf numFmtId="44" fontId="2" fillId="64" borderId="0" xfId="0" applyNumberFormat="1" applyFont="1" applyFill="1" applyBorder="1" applyAlignment="1">
      <alignment horizontal="center" vertical="center"/>
    </xf>
  </cellXfs>
  <cellStyles count="17075">
    <cellStyle name="20% - Accent1 10" xfId="4" xr:uid="{00000000-0005-0000-0000-000000000000}"/>
    <cellStyle name="20% - Accent1 11" xfId="5" xr:uid="{00000000-0005-0000-0000-000001000000}"/>
    <cellStyle name="20% - Accent1 12" xfId="6" xr:uid="{00000000-0005-0000-0000-000002000000}"/>
    <cellStyle name="20% - Accent1 13" xfId="7" xr:uid="{00000000-0005-0000-0000-000003000000}"/>
    <cellStyle name="20% - Accent1 2" xfId="8" xr:uid="{00000000-0005-0000-0000-000004000000}"/>
    <cellStyle name="20% - Accent1 2 10" xfId="9" xr:uid="{00000000-0005-0000-0000-000005000000}"/>
    <cellStyle name="20% - Accent1 2 10 2" xfId="10" xr:uid="{00000000-0005-0000-0000-000006000000}"/>
    <cellStyle name="20% - Accent1 2 11" xfId="11" xr:uid="{00000000-0005-0000-0000-000007000000}"/>
    <cellStyle name="20% - Accent1 2 2" xfId="12" xr:uid="{00000000-0005-0000-0000-000008000000}"/>
    <cellStyle name="20% - Accent1 2 2 10" xfId="13" xr:uid="{00000000-0005-0000-0000-000009000000}"/>
    <cellStyle name="20% - Accent1 2 2 2" xfId="14" xr:uid="{00000000-0005-0000-0000-00000A000000}"/>
    <cellStyle name="20% - Accent1 2 2 2 2" xfId="15" xr:uid="{00000000-0005-0000-0000-00000B000000}"/>
    <cellStyle name="20% - Accent1 2 2 2 2 2" xfId="16" xr:uid="{00000000-0005-0000-0000-00000C000000}"/>
    <cellStyle name="20% - Accent1 2 2 2 2 2 2" xfId="17" xr:uid="{00000000-0005-0000-0000-00000D000000}"/>
    <cellStyle name="20% - Accent1 2 2 2 2 2 2 2" xfId="18" xr:uid="{00000000-0005-0000-0000-00000E000000}"/>
    <cellStyle name="20% - Accent1 2 2 2 2 2 2 2 2" xfId="19" xr:uid="{00000000-0005-0000-0000-00000F000000}"/>
    <cellStyle name="20% - Accent1 2 2 2 2 2 2 2 2 2" xfId="20" xr:uid="{00000000-0005-0000-0000-000010000000}"/>
    <cellStyle name="20% - Accent1 2 2 2 2 2 2 2 2 2 2" xfId="21" xr:uid="{00000000-0005-0000-0000-000011000000}"/>
    <cellStyle name="20% - Accent1 2 2 2 2 2 2 2 2 2 2 2" xfId="22" xr:uid="{00000000-0005-0000-0000-000012000000}"/>
    <cellStyle name="20% - Accent1 2 2 2 2 2 2 2 2 2 3" xfId="23" xr:uid="{00000000-0005-0000-0000-000013000000}"/>
    <cellStyle name="20% - Accent1 2 2 2 2 2 2 2 2 3" xfId="24" xr:uid="{00000000-0005-0000-0000-000014000000}"/>
    <cellStyle name="20% - Accent1 2 2 2 2 2 2 2 2 3 2" xfId="25" xr:uid="{00000000-0005-0000-0000-000015000000}"/>
    <cellStyle name="20% - Accent1 2 2 2 2 2 2 2 2 4" xfId="26" xr:uid="{00000000-0005-0000-0000-000016000000}"/>
    <cellStyle name="20% - Accent1 2 2 2 2 2 2 2 3" xfId="27" xr:uid="{00000000-0005-0000-0000-000017000000}"/>
    <cellStyle name="20% - Accent1 2 2 2 2 2 2 2 3 2" xfId="28" xr:uid="{00000000-0005-0000-0000-000018000000}"/>
    <cellStyle name="20% - Accent1 2 2 2 2 2 2 2 3 2 2" xfId="29" xr:uid="{00000000-0005-0000-0000-000019000000}"/>
    <cellStyle name="20% - Accent1 2 2 2 2 2 2 2 3 3" xfId="30" xr:uid="{00000000-0005-0000-0000-00001A000000}"/>
    <cellStyle name="20% - Accent1 2 2 2 2 2 2 2 4" xfId="31" xr:uid="{00000000-0005-0000-0000-00001B000000}"/>
    <cellStyle name="20% - Accent1 2 2 2 2 2 2 2 4 2" xfId="32" xr:uid="{00000000-0005-0000-0000-00001C000000}"/>
    <cellStyle name="20% - Accent1 2 2 2 2 2 2 2 5" xfId="33" xr:uid="{00000000-0005-0000-0000-00001D000000}"/>
    <cellStyle name="20% - Accent1 2 2 2 2 2 2 3" xfId="34" xr:uid="{00000000-0005-0000-0000-00001E000000}"/>
    <cellStyle name="20% - Accent1 2 2 2 2 2 2 3 2" xfId="35" xr:uid="{00000000-0005-0000-0000-00001F000000}"/>
    <cellStyle name="20% - Accent1 2 2 2 2 2 2 3 2 2" xfId="36" xr:uid="{00000000-0005-0000-0000-000020000000}"/>
    <cellStyle name="20% - Accent1 2 2 2 2 2 2 3 2 2 2" xfId="37" xr:uid="{00000000-0005-0000-0000-000021000000}"/>
    <cellStyle name="20% - Accent1 2 2 2 2 2 2 3 2 3" xfId="38" xr:uid="{00000000-0005-0000-0000-000022000000}"/>
    <cellStyle name="20% - Accent1 2 2 2 2 2 2 3 3" xfId="39" xr:uid="{00000000-0005-0000-0000-000023000000}"/>
    <cellStyle name="20% - Accent1 2 2 2 2 2 2 3 3 2" xfId="40" xr:uid="{00000000-0005-0000-0000-000024000000}"/>
    <cellStyle name="20% - Accent1 2 2 2 2 2 2 3 4" xfId="41" xr:uid="{00000000-0005-0000-0000-000025000000}"/>
    <cellStyle name="20% - Accent1 2 2 2 2 2 2 4" xfId="42" xr:uid="{00000000-0005-0000-0000-000026000000}"/>
    <cellStyle name="20% - Accent1 2 2 2 2 2 2 4 2" xfId="43" xr:uid="{00000000-0005-0000-0000-000027000000}"/>
    <cellStyle name="20% - Accent1 2 2 2 2 2 2 4 2 2" xfId="44" xr:uid="{00000000-0005-0000-0000-000028000000}"/>
    <cellStyle name="20% - Accent1 2 2 2 2 2 2 4 3" xfId="45" xr:uid="{00000000-0005-0000-0000-000029000000}"/>
    <cellStyle name="20% - Accent1 2 2 2 2 2 2 5" xfId="46" xr:uid="{00000000-0005-0000-0000-00002A000000}"/>
    <cellStyle name="20% - Accent1 2 2 2 2 2 2 5 2" xfId="47" xr:uid="{00000000-0005-0000-0000-00002B000000}"/>
    <cellStyle name="20% - Accent1 2 2 2 2 2 2 6" xfId="48" xr:uid="{00000000-0005-0000-0000-00002C000000}"/>
    <cellStyle name="20% - Accent1 2 2 2 2 2 3" xfId="49" xr:uid="{00000000-0005-0000-0000-00002D000000}"/>
    <cellStyle name="20% - Accent1 2 2 2 2 2 3 2" xfId="50" xr:uid="{00000000-0005-0000-0000-00002E000000}"/>
    <cellStyle name="20% - Accent1 2 2 2 2 2 3 2 2" xfId="51" xr:uid="{00000000-0005-0000-0000-00002F000000}"/>
    <cellStyle name="20% - Accent1 2 2 2 2 2 3 2 2 2" xfId="52" xr:uid="{00000000-0005-0000-0000-000030000000}"/>
    <cellStyle name="20% - Accent1 2 2 2 2 2 3 2 2 2 2" xfId="53" xr:uid="{00000000-0005-0000-0000-000031000000}"/>
    <cellStyle name="20% - Accent1 2 2 2 2 2 3 2 2 3" xfId="54" xr:uid="{00000000-0005-0000-0000-000032000000}"/>
    <cellStyle name="20% - Accent1 2 2 2 2 2 3 2 3" xfId="55" xr:uid="{00000000-0005-0000-0000-000033000000}"/>
    <cellStyle name="20% - Accent1 2 2 2 2 2 3 2 3 2" xfId="56" xr:uid="{00000000-0005-0000-0000-000034000000}"/>
    <cellStyle name="20% - Accent1 2 2 2 2 2 3 2 4" xfId="57" xr:uid="{00000000-0005-0000-0000-000035000000}"/>
    <cellStyle name="20% - Accent1 2 2 2 2 2 3 3" xfId="58" xr:uid="{00000000-0005-0000-0000-000036000000}"/>
    <cellStyle name="20% - Accent1 2 2 2 2 2 3 3 2" xfId="59" xr:uid="{00000000-0005-0000-0000-000037000000}"/>
    <cellStyle name="20% - Accent1 2 2 2 2 2 3 3 2 2" xfId="60" xr:uid="{00000000-0005-0000-0000-000038000000}"/>
    <cellStyle name="20% - Accent1 2 2 2 2 2 3 3 3" xfId="61" xr:uid="{00000000-0005-0000-0000-000039000000}"/>
    <cellStyle name="20% - Accent1 2 2 2 2 2 3 4" xfId="62" xr:uid="{00000000-0005-0000-0000-00003A000000}"/>
    <cellStyle name="20% - Accent1 2 2 2 2 2 3 4 2" xfId="63" xr:uid="{00000000-0005-0000-0000-00003B000000}"/>
    <cellStyle name="20% - Accent1 2 2 2 2 2 3 5" xfId="64" xr:uid="{00000000-0005-0000-0000-00003C000000}"/>
    <cellStyle name="20% - Accent1 2 2 2 2 2 4" xfId="65" xr:uid="{00000000-0005-0000-0000-00003D000000}"/>
    <cellStyle name="20% - Accent1 2 2 2 2 2 4 2" xfId="66" xr:uid="{00000000-0005-0000-0000-00003E000000}"/>
    <cellStyle name="20% - Accent1 2 2 2 2 2 4 2 2" xfId="67" xr:uid="{00000000-0005-0000-0000-00003F000000}"/>
    <cellStyle name="20% - Accent1 2 2 2 2 2 4 2 2 2" xfId="68" xr:uid="{00000000-0005-0000-0000-000040000000}"/>
    <cellStyle name="20% - Accent1 2 2 2 2 2 4 2 3" xfId="69" xr:uid="{00000000-0005-0000-0000-000041000000}"/>
    <cellStyle name="20% - Accent1 2 2 2 2 2 4 3" xfId="70" xr:uid="{00000000-0005-0000-0000-000042000000}"/>
    <cellStyle name="20% - Accent1 2 2 2 2 2 4 3 2" xfId="71" xr:uid="{00000000-0005-0000-0000-000043000000}"/>
    <cellStyle name="20% - Accent1 2 2 2 2 2 4 4" xfId="72" xr:uid="{00000000-0005-0000-0000-000044000000}"/>
    <cellStyle name="20% - Accent1 2 2 2 2 2 5" xfId="73" xr:uid="{00000000-0005-0000-0000-000045000000}"/>
    <cellStyle name="20% - Accent1 2 2 2 2 2 5 2" xfId="74" xr:uid="{00000000-0005-0000-0000-000046000000}"/>
    <cellStyle name="20% - Accent1 2 2 2 2 2 5 2 2" xfId="75" xr:uid="{00000000-0005-0000-0000-000047000000}"/>
    <cellStyle name="20% - Accent1 2 2 2 2 2 5 3" xfId="76" xr:uid="{00000000-0005-0000-0000-000048000000}"/>
    <cellStyle name="20% - Accent1 2 2 2 2 2 6" xfId="77" xr:uid="{00000000-0005-0000-0000-000049000000}"/>
    <cellStyle name="20% - Accent1 2 2 2 2 2 6 2" xfId="78" xr:uid="{00000000-0005-0000-0000-00004A000000}"/>
    <cellStyle name="20% - Accent1 2 2 2 2 2 7" xfId="79" xr:uid="{00000000-0005-0000-0000-00004B000000}"/>
    <cellStyle name="20% - Accent1 2 2 2 2 3" xfId="80" xr:uid="{00000000-0005-0000-0000-00004C000000}"/>
    <cellStyle name="20% - Accent1 2 2 2 2 3 2" xfId="81" xr:uid="{00000000-0005-0000-0000-00004D000000}"/>
    <cellStyle name="20% - Accent1 2 2 2 2 3 2 2" xfId="82" xr:uid="{00000000-0005-0000-0000-00004E000000}"/>
    <cellStyle name="20% - Accent1 2 2 2 2 3 2 2 2" xfId="83" xr:uid="{00000000-0005-0000-0000-00004F000000}"/>
    <cellStyle name="20% - Accent1 2 2 2 2 3 2 2 2 2" xfId="84" xr:uid="{00000000-0005-0000-0000-000050000000}"/>
    <cellStyle name="20% - Accent1 2 2 2 2 3 2 2 2 2 2" xfId="85" xr:uid="{00000000-0005-0000-0000-000051000000}"/>
    <cellStyle name="20% - Accent1 2 2 2 2 3 2 2 2 3" xfId="86" xr:uid="{00000000-0005-0000-0000-000052000000}"/>
    <cellStyle name="20% - Accent1 2 2 2 2 3 2 2 3" xfId="87" xr:uid="{00000000-0005-0000-0000-000053000000}"/>
    <cellStyle name="20% - Accent1 2 2 2 2 3 2 2 3 2" xfId="88" xr:uid="{00000000-0005-0000-0000-000054000000}"/>
    <cellStyle name="20% - Accent1 2 2 2 2 3 2 2 4" xfId="89" xr:uid="{00000000-0005-0000-0000-000055000000}"/>
    <cellStyle name="20% - Accent1 2 2 2 2 3 2 3" xfId="90" xr:uid="{00000000-0005-0000-0000-000056000000}"/>
    <cellStyle name="20% - Accent1 2 2 2 2 3 2 3 2" xfId="91" xr:uid="{00000000-0005-0000-0000-000057000000}"/>
    <cellStyle name="20% - Accent1 2 2 2 2 3 2 3 2 2" xfId="92" xr:uid="{00000000-0005-0000-0000-000058000000}"/>
    <cellStyle name="20% - Accent1 2 2 2 2 3 2 3 3" xfId="93" xr:uid="{00000000-0005-0000-0000-000059000000}"/>
    <cellStyle name="20% - Accent1 2 2 2 2 3 2 4" xfId="94" xr:uid="{00000000-0005-0000-0000-00005A000000}"/>
    <cellStyle name="20% - Accent1 2 2 2 2 3 2 4 2" xfId="95" xr:uid="{00000000-0005-0000-0000-00005B000000}"/>
    <cellStyle name="20% - Accent1 2 2 2 2 3 2 5" xfId="96" xr:uid="{00000000-0005-0000-0000-00005C000000}"/>
    <cellStyle name="20% - Accent1 2 2 2 2 3 3" xfId="97" xr:uid="{00000000-0005-0000-0000-00005D000000}"/>
    <cellStyle name="20% - Accent1 2 2 2 2 3 3 2" xfId="98" xr:uid="{00000000-0005-0000-0000-00005E000000}"/>
    <cellStyle name="20% - Accent1 2 2 2 2 3 3 2 2" xfId="99" xr:uid="{00000000-0005-0000-0000-00005F000000}"/>
    <cellStyle name="20% - Accent1 2 2 2 2 3 3 2 2 2" xfId="100" xr:uid="{00000000-0005-0000-0000-000060000000}"/>
    <cellStyle name="20% - Accent1 2 2 2 2 3 3 2 3" xfId="101" xr:uid="{00000000-0005-0000-0000-000061000000}"/>
    <cellStyle name="20% - Accent1 2 2 2 2 3 3 3" xfId="102" xr:uid="{00000000-0005-0000-0000-000062000000}"/>
    <cellStyle name="20% - Accent1 2 2 2 2 3 3 3 2" xfId="103" xr:uid="{00000000-0005-0000-0000-000063000000}"/>
    <cellStyle name="20% - Accent1 2 2 2 2 3 3 4" xfId="104" xr:uid="{00000000-0005-0000-0000-000064000000}"/>
    <cellStyle name="20% - Accent1 2 2 2 2 3 4" xfId="105" xr:uid="{00000000-0005-0000-0000-000065000000}"/>
    <cellStyle name="20% - Accent1 2 2 2 2 3 4 2" xfId="106" xr:uid="{00000000-0005-0000-0000-000066000000}"/>
    <cellStyle name="20% - Accent1 2 2 2 2 3 4 2 2" xfId="107" xr:uid="{00000000-0005-0000-0000-000067000000}"/>
    <cellStyle name="20% - Accent1 2 2 2 2 3 4 3" xfId="108" xr:uid="{00000000-0005-0000-0000-000068000000}"/>
    <cellStyle name="20% - Accent1 2 2 2 2 3 5" xfId="109" xr:uid="{00000000-0005-0000-0000-000069000000}"/>
    <cellStyle name="20% - Accent1 2 2 2 2 3 5 2" xfId="110" xr:uid="{00000000-0005-0000-0000-00006A000000}"/>
    <cellStyle name="20% - Accent1 2 2 2 2 3 6" xfId="111" xr:uid="{00000000-0005-0000-0000-00006B000000}"/>
    <cellStyle name="20% - Accent1 2 2 2 2 4" xfId="112" xr:uid="{00000000-0005-0000-0000-00006C000000}"/>
    <cellStyle name="20% - Accent1 2 2 2 2 4 2" xfId="113" xr:uid="{00000000-0005-0000-0000-00006D000000}"/>
    <cellStyle name="20% - Accent1 2 2 2 2 4 2 2" xfId="114" xr:uid="{00000000-0005-0000-0000-00006E000000}"/>
    <cellStyle name="20% - Accent1 2 2 2 2 4 2 2 2" xfId="115" xr:uid="{00000000-0005-0000-0000-00006F000000}"/>
    <cellStyle name="20% - Accent1 2 2 2 2 4 2 2 2 2" xfId="116" xr:uid="{00000000-0005-0000-0000-000070000000}"/>
    <cellStyle name="20% - Accent1 2 2 2 2 4 2 2 3" xfId="117" xr:uid="{00000000-0005-0000-0000-000071000000}"/>
    <cellStyle name="20% - Accent1 2 2 2 2 4 2 3" xfId="118" xr:uid="{00000000-0005-0000-0000-000072000000}"/>
    <cellStyle name="20% - Accent1 2 2 2 2 4 2 3 2" xfId="119" xr:uid="{00000000-0005-0000-0000-000073000000}"/>
    <cellStyle name="20% - Accent1 2 2 2 2 4 2 4" xfId="120" xr:uid="{00000000-0005-0000-0000-000074000000}"/>
    <cellStyle name="20% - Accent1 2 2 2 2 4 3" xfId="121" xr:uid="{00000000-0005-0000-0000-000075000000}"/>
    <cellStyle name="20% - Accent1 2 2 2 2 4 3 2" xfId="122" xr:uid="{00000000-0005-0000-0000-000076000000}"/>
    <cellStyle name="20% - Accent1 2 2 2 2 4 3 2 2" xfId="123" xr:uid="{00000000-0005-0000-0000-000077000000}"/>
    <cellStyle name="20% - Accent1 2 2 2 2 4 3 3" xfId="124" xr:uid="{00000000-0005-0000-0000-000078000000}"/>
    <cellStyle name="20% - Accent1 2 2 2 2 4 4" xfId="125" xr:uid="{00000000-0005-0000-0000-000079000000}"/>
    <cellStyle name="20% - Accent1 2 2 2 2 4 4 2" xfId="126" xr:uid="{00000000-0005-0000-0000-00007A000000}"/>
    <cellStyle name="20% - Accent1 2 2 2 2 4 5" xfId="127" xr:uid="{00000000-0005-0000-0000-00007B000000}"/>
    <cellStyle name="20% - Accent1 2 2 2 2 5" xfId="128" xr:uid="{00000000-0005-0000-0000-00007C000000}"/>
    <cellStyle name="20% - Accent1 2 2 2 2 5 2" xfId="129" xr:uid="{00000000-0005-0000-0000-00007D000000}"/>
    <cellStyle name="20% - Accent1 2 2 2 2 5 2 2" xfId="130" xr:uid="{00000000-0005-0000-0000-00007E000000}"/>
    <cellStyle name="20% - Accent1 2 2 2 2 5 2 2 2" xfId="131" xr:uid="{00000000-0005-0000-0000-00007F000000}"/>
    <cellStyle name="20% - Accent1 2 2 2 2 5 2 3" xfId="132" xr:uid="{00000000-0005-0000-0000-000080000000}"/>
    <cellStyle name="20% - Accent1 2 2 2 2 5 3" xfId="133" xr:uid="{00000000-0005-0000-0000-000081000000}"/>
    <cellStyle name="20% - Accent1 2 2 2 2 5 3 2" xfId="134" xr:uid="{00000000-0005-0000-0000-000082000000}"/>
    <cellStyle name="20% - Accent1 2 2 2 2 5 4" xfId="135" xr:uid="{00000000-0005-0000-0000-000083000000}"/>
    <cellStyle name="20% - Accent1 2 2 2 2 6" xfId="136" xr:uid="{00000000-0005-0000-0000-000084000000}"/>
    <cellStyle name="20% - Accent1 2 2 2 2 6 2" xfId="137" xr:uid="{00000000-0005-0000-0000-000085000000}"/>
    <cellStyle name="20% - Accent1 2 2 2 2 6 2 2" xfId="138" xr:uid="{00000000-0005-0000-0000-000086000000}"/>
    <cellStyle name="20% - Accent1 2 2 2 2 6 3" xfId="139" xr:uid="{00000000-0005-0000-0000-000087000000}"/>
    <cellStyle name="20% - Accent1 2 2 2 2 7" xfId="140" xr:uid="{00000000-0005-0000-0000-000088000000}"/>
    <cellStyle name="20% - Accent1 2 2 2 2 7 2" xfId="141" xr:uid="{00000000-0005-0000-0000-000089000000}"/>
    <cellStyle name="20% - Accent1 2 2 2 2 8" xfId="142" xr:uid="{00000000-0005-0000-0000-00008A000000}"/>
    <cellStyle name="20% - Accent1 2 2 2 3" xfId="143" xr:uid="{00000000-0005-0000-0000-00008B000000}"/>
    <cellStyle name="20% - Accent1 2 2 2 3 2" xfId="144" xr:uid="{00000000-0005-0000-0000-00008C000000}"/>
    <cellStyle name="20% - Accent1 2 2 2 3 2 2" xfId="145" xr:uid="{00000000-0005-0000-0000-00008D000000}"/>
    <cellStyle name="20% - Accent1 2 2 2 3 2 2 2" xfId="146" xr:uid="{00000000-0005-0000-0000-00008E000000}"/>
    <cellStyle name="20% - Accent1 2 2 2 3 2 2 2 2" xfId="147" xr:uid="{00000000-0005-0000-0000-00008F000000}"/>
    <cellStyle name="20% - Accent1 2 2 2 3 2 2 2 2 2" xfId="148" xr:uid="{00000000-0005-0000-0000-000090000000}"/>
    <cellStyle name="20% - Accent1 2 2 2 3 2 2 2 2 2 2" xfId="149" xr:uid="{00000000-0005-0000-0000-000091000000}"/>
    <cellStyle name="20% - Accent1 2 2 2 3 2 2 2 2 3" xfId="150" xr:uid="{00000000-0005-0000-0000-000092000000}"/>
    <cellStyle name="20% - Accent1 2 2 2 3 2 2 2 3" xfId="151" xr:uid="{00000000-0005-0000-0000-000093000000}"/>
    <cellStyle name="20% - Accent1 2 2 2 3 2 2 2 3 2" xfId="152" xr:uid="{00000000-0005-0000-0000-000094000000}"/>
    <cellStyle name="20% - Accent1 2 2 2 3 2 2 2 4" xfId="153" xr:uid="{00000000-0005-0000-0000-000095000000}"/>
    <cellStyle name="20% - Accent1 2 2 2 3 2 2 3" xfId="154" xr:uid="{00000000-0005-0000-0000-000096000000}"/>
    <cellStyle name="20% - Accent1 2 2 2 3 2 2 3 2" xfId="155" xr:uid="{00000000-0005-0000-0000-000097000000}"/>
    <cellStyle name="20% - Accent1 2 2 2 3 2 2 3 2 2" xfId="156" xr:uid="{00000000-0005-0000-0000-000098000000}"/>
    <cellStyle name="20% - Accent1 2 2 2 3 2 2 3 3" xfId="157" xr:uid="{00000000-0005-0000-0000-000099000000}"/>
    <cellStyle name="20% - Accent1 2 2 2 3 2 2 4" xfId="158" xr:uid="{00000000-0005-0000-0000-00009A000000}"/>
    <cellStyle name="20% - Accent1 2 2 2 3 2 2 4 2" xfId="159" xr:uid="{00000000-0005-0000-0000-00009B000000}"/>
    <cellStyle name="20% - Accent1 2 2 2 3 2 2 5" xfId="160" xr:uid="{00000000-0005-0000-0000-00009C000000}"/>
    <cellStyle name="20% - Accent1 2 2 2 3 2 3" xfId="161" xr:uid="{00000000-0005-0000-0000-00009D000000}"/>
    <cellStyle name="20% - Accent1 2 2 2 3 2 3 2" xfId="162" xr:uid="{00000000-0005-0000-0000-00009E000000}"/>
    <cellStyle name="20% - Accent1 2 2 2 3 2 3 2 2" xfId="163" xr:uid="{00000000-0005-0000-0000-00009F000000}"/>
    <cellStyle name="20% - Accent1 2 2 2 3 2 3 2 2 2" xfId="164" xr:uid="{00000000-0005-0000-0000-0000A0000000}"/>
    <cellStyle name="20% - Accent1 2 2 2 3 2 3 2 3" xfId="165" xr:uid="{00000000-0005-0000-0000-0000A1000000}"/>
    <cellStyle name="20% - Accent1 2 2 2 3 2 3 3" xfId="166" xr:uid="{00000000-0005-0000-0000-0000A2000000}"/>
    <cellStyle name="20% - Accent1 2 2 2 3 2 3 3 2" xfId="167" xr:uid="{00000000-0005-0000-0000-0000A3000000}"/>
    <cellStyle name="20% - Accent1 2 2 2 3 2 3 4" xfId="168" xr:uid="{00000000-0005-0000-0000-0000A4000000}"/>
    <cellStyle name="20% - Accent1 2 2 2 3 2 4" xfId="169" xr:uid="{00000000-0005-0000-0000-0000A5000000}"/>
    <cellStyle name="20% - Accent1 2 2 2 3 2 4 2" xfId="170" xr:uid="{00000000-0005-0000-0000-0000A6000000}"/>
    <cellStyle name="20% - Accent1 2 2 2 3 2 4 2 2" xfId="171" xr:uid="{00000000-0005-0000-0000-0000A7000000}"/>
    <cellStyle name="20% - Accent1 2 2 2 3 2 4 3" xfId="172" xr:uid="{00000000-0005-0000-0000-0000A8000000}"/>
    <cellStyle name="20% - Accent1 2 2 2 3 2 5" xfId="173" xr:uid="{00000000-0005-0000-0000-0000A9000000}"/>
    <cellStyle name="20% - Accent1 2 2 2 3 2 5 2" xfId="174" xr:uid="{00000000-0005-0000-0000-0000AA000000}"/>
    <cellStyle name="20% - Accent1 2 2 2 3 2 6" xfId="175" xr:uid="{00000000-0005-0000-0000-0000AB000000}"/>
    <cellStyle name="20% - Accent1 2 2 2 3 3" xfId="176" xr:uid="{00000000-0005-0000-0000-0000AC000000}"/>
    <cellStyle name="20% - Accent1 2 2 2 3 3 2" xfId="177" xr:uid="{00000000-0005-0000-0000-0000AD000000}"/>
    <cellStyle name="20% - Accent1 2 2 2 3 3 2 2" xfId="178" xr:uid="{00000000-0005-0000-0000-0000AE000000}"/>
    <cellStyle name="20% - Accent1 2 2 2 3 3 2 2 2" xfId="179" xr:uid="{00000000-0005-0000-0000-0000AF000000}"/>
    <cellStyle name="20% - Accent1 2 2 2 3 3 2 2 2 2" xfId="180" xr:uid="{00000000-0005-0000-0000-0000B0000000}"/>
    <cellStyle name="20% - Accent1 2 2 2 3 3 2 2 3" xfId="181" xr:uid="{00000000-0005-0000-0000-0000B1000000}"/>
    <cellStyle name="20% - Accent1 2 2 2 3 3 2 3" xfId="182" xr:uid="{00000000-0005-0000-0000-0000B2000000}"/>
    <cellStyle name="20% - Accent1 2 2 2 3 3 2 3 2" xfId="183" xr:uid="{00000000-0005-0000-0000-0000B3000000}"/>
    <cellStyle name="20% - Accent1 2 2 2 3 3 2 4" xfId="184" xr:uid="{00000000-0005-0000-0000-0000B4000000}"/>
    <cellStyle name="20% - Accent1 2 2 2 3 3 3" xfId="185" xr:uid="{00000000-0005-0000-0000-0000B5000000}"/>
    <cellStyle name="20% - Accent1 2 2 2 3 3 3 2" xfId="186" xr:uid="{00000000-0005-0000-0000-0000B6000000}"/>
    <cellStyle name="20% - Accent1 2 2 2 3 3 3 2 2" xfId="187" xr:uid="{00000000-0005-0000-0000-0000B7000000}"/>
    <cellStyle name="20% - Accent1 2 2 2 3 3 3 3" xfId="188" xr:uid="{00000000-0005-0000-0000-0000B8000000}"/>
    <cellStyle name="20% - Accent1 2 2 2 3 3 4" xfId="189" xr:uid="{00000000-0005-0000-0000-0000B9000000}"/>
    <cellStyle name="20% - Accent1 2 2 2 3 3 4 2" xfId="190" xr:uid="{00000000-0005-0000-0000-0000BA000000}"/>
    <cellStyle name="20% - Accent1 2 2 2 3 3 5" xfId="191" xr:uid="{00000000-0005-0000-0000-0000BB000000}"/>
    <cellStyle name="20% - Accent1 2 2 2 3 4" xfId="192" xr:uid="{00000000-0005-0000-0000-0000BC000000}"/>
    <cellStyle name="20% - Accent1 2 2 2 3 4 2" xfId="193" xr:uid="{00000000-0005-0000-0000-0000BD000000}"/>
    <cellStyle name="20% - Accent1 2 2 2 3 4 2 2" xfId="194" xr:uid="{00000000-0005-0000-0000-0000BE000000}"/>
    <cellStyle name="20% - Accent1 2 2 2 3 4 2 2 2" xfId="195" xr:uid="{00000000-0005-0000-0000-0000BF000000}"/>
    <cellStyle name="20% - Accent1 2 2 2 3 4 2 3" xfId="196" xr:uid="{00000000-0005-0000-0000-0000C0000000}"/>
    <cellStyle name="20% - Accent1 2 2 2 3 4 3" xfId="197" xr:uid="{00000000-0005-0000-0000-0000C1000000}"/>
    <cellStyle name="20% - Accent1 2 2 2 3 4 3 2" xfId="198" xr:uid="{00000000-0005-0000-0000-0000C2000000}"/>
    <cellStyle name="20% - Accent1 2 2 2 3 4 4" xfId="199" xr:uid="{00000000-0005-0000-0000-0000C3000000}"/>
    <cellStyle name="20% - Accent1 2 2 2 3 5" xfId="200" xr:uid="{00000000-0005-0000-0000-0000C4000000}"/>
    <cellStyle name="20% - Accent1 2 2 2 3 5 2" xfId="201" xr:uid="{00000000-0005-0000-0000-0000C5000000}"/>
    <cellStyle name="20% - Accent1 2 2 2 3 5 2 2" xfId="202" xr:uid="{00000000-0005-0000-0000-0000C6000000}"/>
    <cellStyle name="20% - Accent1 2 2 2 3 5 3" xfId="203" xr:uid="{00000000-0005-0000-0000-0000C7000000}"/>
    <cellStyle name="20% - Accent1 2 2 2 3 6" xfId="204" xr:uid="{00000000-0005-0000-0000-0000C8000000}"/>
    <cellStyle name="20% - Accent1 2 2 2 3 6 2" xfId="205" xr:uid="{00000000-0005-0000-0000-0000C9000000}"/>
    <cellStyle name="20% - Accent1 2 2 2 3 7" xfId="206" xr:uid="{00000000-0005-0000-0000-0000CA000000}"/>
    <cellStyle name="20% - Accent1 2 2 2 4" xfId="207" xr:uid="{00000000-0005-0000-0000-0000CB000000}"/>
    <cellStyle name="20% - Accent1 2 2 2 4 2" xfId="208" xr:uid="{00000000-0005-0000-0000-0000CC000000}"/>
    <cellStyle name="20% - Accent1 2 2 2 4 2 2" xfId="209" xr:uid="{00000000-0005-0000-0000-0000CD000000}"/>
    <cellStyle name="20% - Accent1 2 2 2 4 2 2 2" xfId="210" xr:uid="{00000000-0005-0000-0000-0000CE000000}"/>
    <cellStyle name="20% - Accent1 2 2 2 4 2 2 2 2" xfId="211" xr:uid="{00000000-0005-0000-0000-0000CF000000}"/>
    <cellStyle name="20% - Accent1 2 2 2 4 2 2 2 2 2" xfId="212" xr:uid="{00000000-0005-0000-0000-0000D0000000}"/>
    <cellStyle name="20% - Accent1 2 2 2 4 2 2 2 3" xfId="213" xr:uid="{00000000-0005-0000-0000-0000D1000000}"/>
    <cellStyle name="20% - Accent1 2 2 2 4 2 2 3" xfId="214" xr:uid="{00000000-0005-0000-0000-0000D2000000}"/>
    <cellStyle name="20% - Accent1 2 2 2 4 2 2 3 2" xfId="215" xr:uid="{00000000-0005-0000-0000-0000D3000000}"/>
    <cellStyle name="20% - Accent1 2 2 2 4 2 2 4" xfId="216" xr:uid="{00000000-0005-0000-0000-0000D4000000}"/>
    <cellStyle name="20% - Accent1 2 2 2 4 2 3" xfId="217" xr:uid="{00000000-0005-0000-0000-0000D5000000}"/>
    <cellStyle name="20% - Accent1 2 2 2 4 2 3 2" xfId="218" xr:uid="{00000000-0005-0000-0000-0000D6000000}"/>
    <cellStyle name="20% - Accent1 2 2 2 4 2 3 2 2" xfId="219" xr:uid="{00000000-0005-0000-0000-0000D7000000}"/>
    <cellStyle name="20% - Accent1 2 2 2 4 2 3 3" xfId="220" xr:uid="{00000000-0005-0000-0000-0000D8000000}"/>
    <cellStyle name="20% - Accent1 2 2 2 4 2 4" xfId="221" xr:uid="{00000000-0005-0000-0000-0000D9000000}"/>
    <cellStyle name="20% - Accent1 2 2 2 4 2 4 2" xfId="222" xr:uid="{00000000-0005-0000-0000-0000DA000000}"/>
    <cellStyle name="20% - Accent1 2 2 2 4 2 5" xfId="223" xr:uid="{00000000-0005-0000-0000-0000DB000000}"/>
    <cellStyle name="20% - Accent1 2 2 2 4 3" xfId="224" xr:uid="{00000000-0005-0000-0000-0000DC000000}"/>
    <cellStyle name="20% - Accent1 2 2 2 4 3 2" xfId="225" xr:uid="{00000000-0005-0000-0000-0000DD000000}"/>
    <cellStyle name="20% - Accent1 2 2 2 4 3 2 2" xfId="226" xr:uid="{00000000-0005-0000-0000-0000DE000000}"/>
    <cellStyle name="20% - Accent1 2 2 2 4 3 2 2 2" xfId="227" xr:uid="{00000000-0005-0000-0000-0000DF000000}"/>
    <cellStyle name="20% - Accent1 2 2 2 4 3 2 3" xfId="228" xr:uid="{00000000-0005-0000-0000-0000E0000000}"/>
    <cellStyle name="20% - Accent1 2 2 2 4 3 3" xfId="229" xr:uid="{00000000-0005-0000-0000-0000E1000000}"/>
    <cellStyle name="20% - Accent1 2 2 2 4 3 3 2" xfId="230" xr:uid="{00000000-0005-0000-0000-0000E2000000}"/>
    <cellStyle name="20% - Accent1 2 2 2 4 3 4" xfId="231" xr:uid="{00000000-0005-0000-0000-0000E3000000}"/>
    <cellStyle name="20% - Accent1 2 2 2 4 4" xfId="232" xr:uid="{00000000-0005-0000-0000-0000E4000000}"/>
    <cellStyle name="20% - Accent1 2 2 2 4 4 2" xfId="233" xr:uid="{00000000-0005-0000-0000-0000E5000000}"/>
    <cellStyle name="20% - Accent1 2 2 2 4 4 2 2" xfId="234" xr:uid="{00000000-0005-0000-0000-0000E6000000}"/>
    <cellStyle name="20% - Accent1 2 2 2 4 4 3" xfId="235" xr:uid="{00000000-0005-0000-0000-0000E7000000}"/>
    <cellStyle name="20% - Accent1 2 2 2 4 5" xfId="236" xr:uid="{00000000-0005-0000-0000-0000E8000000}"/>
    <cellStyle name="20% - Accent1 2 2 2 4 5 2" xfId="237" xr:uid="{00000000-0005-0000-0000-0000E9000000}"/>
    <cellStyle name="20% - Accent1 2 2 2 4 6" xfId="238" xr:uid="{00000000-0005-0000-0000-0000EA000000}"/>
    <cellStyle name="20% - Accent1 2 2 2 5" xfId="239" xr:uid="{00000000-0005-0000-0000-0000EB000000}"/>
    <cellStyle name="20% - Accent1 2 2 2 5 2" xfId="240" xr:uid="{00000000-0005-0000-0000-0000EC000000}"/>
    <cellStyle name="20% - Accent1 2 2 2 5 2 2" xfId="241" xr:uid="{00000000-0005-0000-0000-0000ED000000}"/>
    <cellStyle name="20% - Accent1 2 2 2 5 2 2 2" xfId="242" xr:uid="{00000000-0005-0000-0000-0000EE000000}"/>
    <cellStyle name="20% - Accent1 2 2 2 5 2 2 2 2" xfId="243" xr:uid="{00000000-0005-0000-0000-0000EF000000}"/>
    <cellStyle name="20% - Accent1 2 2 2 5 2 2 3" xfId="244" xr:uid="{00000000-0005-0000-0000-0000F0000000}"/>
    <cellStyle name="20% - Accent1 2 2 2 5 2 3" xfId="245" xr:uid="{00000000-0005-0000-0000-0000F1000000}"/>
    <cellStyle name="20% - Accent1 2 2 2 5 2 3 2" xfId="246" xr:uid="{00000000-0005-0000-0000-0000F2000000}"/>
    <cellStyle name="20% - Accent1 2 2 2 5 2 4" xfId="247" xr:uid="{00000000-0005-0000-0000-0000F3000000}"/>
    <cellStyle name="20% - Accent1 2 2 2 5 3" xfId="248" xr:uid="{00000000-0005-0000-0000-0000F4000000}"/>
    <cellStyle name="20% - Accent1 2 2 2 5 3 2" xfId="249" xr:uid="{00000000-0005-0000-0000-0000F5000000}"/>
    <cellStyle name="20% - Accent1 2 2 2 5 3 2 2" xfId="250" xr:uid="{00000000-0005-0000-0000-0000F6000000}"/>
    <cellStyle name="20% - Accent1 2 2 2 5 3 3" xfId="251" xr:uid="{00000000-0005-0000-0000-0000F7000000}"/>
    <cellStyle name="20% - Accent1 2 2 2 5 4" xfId="252" xr:uid="{00000000-0005-0000-0000-0000F8000000}"/>
    <cellStyle name="20% - Accent1 2 2 2 5 4 2" xfId="253" xr:uid="{00000000-0005-0000-0000-0000F9000000}"/>
    <cellStyle name="20% - Accent1 2 2 2 5 5" xfId="254" xr:uid="{00000000-0005-0000-0000-0000FA000000}"/>
    <cellStyle name="20% - Accent1 2 2 2 6" xfId="255" xr:uid="{00000000-0005-0000-0000-0000FB000000}"/>
    <cellStyle name="20% - Accent1 2 2 2 6 2" xfId="256" xr:uid="{00000000-0005-0000-0000-0000FC000000}"/>
    <cellStyle name="20% - Accent1 2 2 2 6 2 2" xfId="257" xr:uid="{00000000-0005-0000-0000-0000FD000000}"/>
    <cellStyle name="20% - Accent1 2 2 2 6 2 2 2" xfId="258" xr:uid="{00000000-0005-0000-0000-0000FE000000}"/>
    <cellStyle name="20% - Accent1 2 2 2 6 2 3" xfId="259" xr:uid="{00000000-0005-0000-0000-0000FF000000}"/>
    <cellStyle name="20% - Accent1 2 2 2 6 3" xfId="260" xr:uid="{00000000-0005-0000-0000-000000010000}"/>
    <cellStyle name="20% - Accent1 2 2 2 6 3 2" xfId="261" xr:uid="{00000000-0005-0000-0000-000001010000}"/>
    <cellStyle name="20% - Accent1 2 2 2 6 4" xfId="262" xr:uid="{00000000-0005-0000-0000-000002010000}"/>
    <cellStyle name="20% - Accent1 2 2 2 7" xfId="263" xr:uid="{00000000-0005-0000-0000-000003010000}"/>
    <cellStyle name="20% - Accent1 2 2 2 7 2" xfId="264" xr:uid="{00000000-0005-0000-0000-000004010000}"/>
    <cellStyle name="20% - Accent1 2 2 2 7 2 2" xfId="265" xr:uid="{00000000-0005-0000-0000-000005010000}"/>
    <cellStyle name="20% - Accent1 2 2 2 7 3" xfId="266" xr:uid="{00000000-0005-0000-0000-000006010000}"/>
    <cellStyle name="20% - Accent1 2 2 2 8" xfId="267" xr:uid="{00000000-0005-0000-0000-000007010000}"/>
    <cellStyle name="20% - Accent1 2 2 2 8 2" xfId="268" xr:uid="{00000000-0005-0000-0000-000008010000}"/>
    <cellStyle name="20% - Accent1 2 2 2 9" xfId="269" xr:uid="{00000000-0005-0000-0000-000009010000}"/>
    <cellStyle name="20% - Accent1 2 2 3" xfId="270" xr:uid="{00000000-0005-0000-0000-00000A010000}"/>
    <cellStyle name="20% - Accent1 2 2 3 2" xfId="271" xr:uid="{00000000-0005-0000-0000-00000B010000}"/>
    <cellStyle name="20% - Accent1 2 2 3 2 2" xfId="272" xr:uid="{00000000-0005-0000-0000-00000C010000}"/>
    <cellStyle name="20% - Accent1 2 2 3 2 2 2" xfId="273" xr:uid="{00000000-0005-0000-0000-00000D010000}"/>
    <cellStyle name="20% - Accent1 2 2 3 2 2 2 2" xfId="274" xr:uid="{00000000-0005-0000-0000-00000E010000}"/>
    <cellStyle name="20% - Accent1 2 2 3 2 2 2 2 2" xfId="275" xr:uid="{00000000-0005-0000-0000-00000F010000}"/>
    <cellStyle name="20% - Accent1 2 2 3 2 2 2 2 2 2" xfId="276" xr:uid="{00000000-0005-0000-0000-000010010000}"/>
    <cellStyle name="20% - Accent1 2 2 3 2 2 2 2 2 2 2" xfId="277" xr:uid="{00000000-0005-0000-0000-000011010000}"/>
    <cellStyle name="20% - Accent1 2 2 3 2 2 2 2 2 3" xfId="278" xr:uid="{00000000-0005-0000-0000-000012010000}"/>
    <cellStyle name="20% - Accent1 2 2 3 2 2 2 2 3" xfId="279" xr:uid="{00000000-0005-0000-0000-000013010000}"/>
    <cellStyle name="20% - Accent1 2 2 3 2 2 2 2 3 2" xfId="280" xr:uid="{00000000-0005-0000-0000-000014010000}"/>
    <cellStyle name="20% - Accent1 2 2 3 2 2 2 2 4" xfId="281" xr:uid="{00000000-0005-0000-0000-000015010000}"/>
    <cellStyle name="20% - Accent1 2 2 3 2 2 2 3" xfId="282" xr:uid="{00000000-0005-0000-0000-000016010000}"/>
    <cellStyle name="20% - Accent1 2 2 3 2 2 2 3 2" xfId="283" xr:uid="{00000000-0005-0000-0000-000017010000}"/>
    <cellStyle name="20% - Accent1 2 2 3 2 2 2 3 2 2" xfId="284" xr:uid="{00000000-0005-0000-0000-000018010000}"/>
    <cellStyle name="20% - Accent1 2 2 3 2 2 2 3 3" xfId="285" xr:uid="{00000000-0005-0000-0000-000019010000}"/>
    <cellStyle name="20% - Accent1 2 2 3 2 2 2 4" xfId="286" xr:uid="{00000000-0005-0000-0000-00001A010000}"/>
    <cellStyle name="20% - Accent1 2 2 3 2 2 2 4 2" xfId="287" xr:uid="{00000000-0005-0000-0000-00001B010000}"/>
    <cellStyle name="20% - Accent1 2 2 3 2 2 2 5" xfId="288" xr:uid="{00000000-0005-0000-0000-00001C010000}"/>
    <cellStyle name="20% - Accent1 2 2 3 2 2 3" xfId="289" xr:uid="{00000000-0005-0000-0000-00001D010000}"/>
    <cellStyle name="20% - Accent1 2 2 3 2 2 3 2" xfId="290" xr:uid="{00000000-0005-0000-0000-00001E010000}"/>
    <cellStyle name="20% - Accent1 2 2 3 2 2 3 2 2" xfId="291" xr:uid="{00000000-0005-0000-0000-00001F010000}"/>
    <cellStyle name="20% - Accent1 2 2 3 2 2 3 2 2 2" xfId="292" xr:uid="{00000000-0005-0000-0000-000020010000}"/>
    <cellStyle name="20% - Accent1 2 2 3 2 2 3 2 3" xfId="293" xr:uid="{00000000-0005-0000-0000-000021010000}"/>
    <cellStyle name="20% - Accent1 2 2 3 2 2 3 3" xfId="294" xr:uid="{00000000-0005-0000-0000-000022010000}"/>
    <cellStyle name="20% - Accent1 2 2 3 2 2 3 3 2" xfId="295" xr:uid="{00000000-0005-0000-0000-000023010000}"/>
    <cellStyle name="20% - Accent1 2 2 3 2 2 3 4" xfId="296" xr:uid="{00000000-0005-0000-0000-000024010000}"/>
    <cellStyle name="20% - Accent1 2 2 3 2 2 4" xfId="297" xr:uid="{00000000-0005-0000-0000-000025010000}"/>
    <cellStyle name="20% - Accent1 2 2 3 2 2 4 2" xfId="298" xr:uid="{00000000-0005-0000-0000-000026010000}"/>
    <cellStyle name="20% - Accent1 2 2 3 2 2 4 2 2" xfId="299" xr:uid="{00000000-0005-0000-0000-000027010000}"/>
    <cellStyle name="20% - Accent1 2 2 3 2 2 4 3" xfId="300" xr:uid="{00000000-0005-0000-0000-000028010000}"/>
    <cellStyle name="20% - Accent1 2 2 3 2 2 5" xfId="301" xr:uid="{00000000-0005-0000-0000-000029010000}"/>
    <cellStyle name="20% - Accent1 2 2 3 2 2 5 2" xfId="302" xr:uid="{00000000-0005-0000-0000-00002A010000}"/>
    <cellStyle name="20% - Accent1 2 2 3 2 2 6" xfId="303" xr:uid="{00000000-0005-0000-0000-00002B010000}"/>
    <cellStyle name="20% - Accent1 2 2 3 2 3" xfId="304" xr:uid="{00000000-0005-0000-0000-00002C010000}"/>
    <cellStyle name="20% - Accent1 2 2 3 2 3 2" xfId="305" xr:uid="{00000000-0005-0000-0000-00002D010000}"/>
    <cellStyle name="20% - Accent1 2 2 3 2 3 2 2" xfId="306" xr:uid="{00000000-0005-0000-0000-00002E010000}"/>
    <cellStyle name="20% - Accent1 2 2 3 2 3 2 2 2" xfId="307" xr:uid="{00000000-0005-0000-0000-00002F010000}"/>
    <cellStyle name="20% - Accent1 2 2 3 2 3 2 2 2 2" xfId="308" xr:uid="{00000000-0005-0000-0000-000030010000}"/>
    <cellStyle name="20% - Accent1 2 2 3 2 3 2 2 3" xfId="309" xr:uid="{00000000-0005-0000-0000-000031010000}"/>
    <cellStyle name="20% - Accent1 2 2 3 2 3 2 3" xfId="310" xr:uid="{00000000-0005-0000-0000-000032010000}"/>
    <cellStyle name="20% - Accent1 2 2 3 2 3 2 3 2" xfId="311" xr:uid="{00000000-0005-0000-0000-000033010000}"/>
    <cellStyle name="20% - Accent1 2 2 3 2 3 2 4" xfId="312" xr:uid="{00000000-0005-0000-0000-000034010000}"/>
    <cellStyle name="20% - Accent1 2 2 3 2 3 3" xfId="313" xr:uid="{00000000-0005-0000-0000-000035010000}"/>
    <cellStyle name="20% - Accent1 2 2 3 2 3 3 2" xfId="314" xr:uid="{00000000-0005-0000-0000-000036010000}"/>
    <cellStyle name="20% - Accent1 2 2 3 2 3 3 2 2" xfId="315" xr:uid="{00000000-0005-0000-0000-000037010000}"/>
    <cellStyle name="20% - Accent1 2 2 3 2 3 3 3" xfId="316" xr:uid="{00000000-0005-0000-0000-000038010000}"/>
    <cellStyle name="20% - Accent1 2 2 3 2 3 4" xfId="317" xr:uid="{00000000-0005-0000-0000-000039010000}"/>
    <cellStyle name="20% - Accent1 2 2 3 2 3 4 2" xfId="318" xr:uid="{00000000-0005-0000-0000-00003A010000}"/>
    <cellStyle name="20% - Accent1 2 2 3 2 3 5" xfId="319" xr:uid="{00000000-0005-0000-0000-00003B010000}"/>
    <cellStyle name="20% - Accent1 2 2 3 2 4" xfId="320" xr:uid="{00000000-0005-0000-0000-00003C010000}"/>
    <cellStyle name="20% - Accent1 2 2 3 2 4 2" xfId="321" xr:uid="{00000000-0005-0000-0000-00003D010000}"/>
    <cellStyle name="20% - Accent1 2 2 3 2 4 2 2" xfId="322" xr:uid="{00000000-0005-0000-0000-00003E010000}"/>
    <cellStyle name="20% - Accent1 2 2 3 2 4 2 2 2" xfId="323" xr:uid="{00000000-0005-0000-0000-00003F010000}"/>
    <cellStyle name="20% - Accent1 2 2 3 2 4 2 3" xfId="324" xr:uid="{00000000-0005-0000-0000-000040010000}"/>
    <cellStyle name="20% - Accent1 2 2 3 2 4 3" xfId="325" xr:uid="{00000000-0005-0000-0000-000041010000}"/>
    <cellStyle name="20% - Accent1 2 2 3 2 4 3 2" xfId="326" xr:uid="{00000000-0005-0000-0000-000042010000}"/>
    <cellStyle name="20% - Accent1 2 2 3 2 4 4" xfId="327" xr:uid="{00000000-0005-0000-0000-000043010000}"/>
    <cellStyle name="20% - Accent1 2 2 3 2 5" xfId="328" xr:uid="{00000000-0005-0000-0000-000044010000}"/>
    <cellStyle name="20% - Accent1 2 2 3 2 5 2" xfId="329" xr:uid="{00000000-0005-0000-0000-000045010000}"/>
    <cellStyle name="20% - Accent1 2 2 3 2 5 2 2" xfId="330" xr:uid="{00000000-0005-0000-0000-000046010000}"/>
    <cellStyle name="20% - Accent1 2 2 3 2 5 3" xfId="331" xr:uid="{00000000-0005-0000-0000-000047010000}"/>
    <cellStyle name="20% - Accent1 2 2 3 2 6" xfId="332" xr:uid="{00000000-0005-0000-0000-000048010000}"/>
    <cellStyle name="20% - Accent1 2 2 3 2 6 2" xfId="333" xr:uid="{00000000-0005-0000-0000-000049010000}"/>
    <cellStyle name="20% - Accent1 2 2 3 2 7" xfId="334" xr:uid="{00000000-0005-0000-0000-00004A010000}"/>
    <cellStyle name="20% - Accent1 2 2 3 3" xfId="335" xr:uid="{00000000-0005-0000-0000-00004B010000}"/>
    <cellStyle name="20% - Accent1 2 2 3 3 2" xfId="336" xr:uid="{00000000-0005-0000-0000-00004C010000}"/>
    <cellStyle name="20% - Accent1 2 2 3 3 2 2" xfId="337" xr:uid="{00000000-0005-0000-0000-00004D010000}"/>
    <cellStyle name="20% - Accent1 2 2 3 3 2 2 2" xfId="338" xr:uid="{00000000-0005-0000-0000-00004E010000}"/>
    <cellStyle name="20% - Accent1 2 2 3 3 2 2 2 2" xfId="339" xr:uid="{00000000-0005-0000-0000-00004F010000}"/>
    <cellStyle name="20% - Accent1 2 2 3 3 2 2 2 2 2" xfId="340" xr:uid="{00000000-0005-0000-0000-000050010000}"/>
    <cellStyle name="20% - Accent1 2 2 3 3 2 2 2 3" xfId="341" xr:uid="{00000000-0005-0000-0000-000051010000}"/>
    <cellStyle name="20% - Accent1 2 2 3 3 2 2 3" xfId="342" xr:uid="{00000000-0005-0000-0000-000052010000}"/>
    <cellStyle name="20% - Accent1 2 2 3 3 2 2 3 2" xfId="343" xr:uid="{00000000-0005-0000-0000-000053010000}"/>
    <cellStyle name="20% - Accent1 2 2 3 3 2 2 4" xfId="344" xr:uid="{00000000-0005-0000-0000-000054010000}"/>
    <cellStyle name="20% - Accent1 2 2 3 3 2 3" xfId="345" xr:uid="{00000000-0005-0000-0000-000055010000}"/>
    <cellStyle name="20% - Accent1 2 2 3 3 2 3 2" xfId="346" xr:uid="{00000000-0005-0000-0000-000056010000}"/>
    <cellStyle name="20% - Accent1 2 2 3 3 2 3 2 2" xfId="347" xr:uid="{00000000-0005-0000-0000-000057010000}"/>
    <cellStyle name="20% - Accent1 2 2 3 3 2 3 3" xfId="348" xr:uid="{00000000-0005-0000-0000-000058010000}"/>
    <cellStyle name="20% - Accent1 2 2 3 3 2 4" xfId="349" xr:uid="{00000000-0005-0000-0000-000059010000}"/>
    <cellStyle name="20% - Accent1 2 2 3 3 2 4 2" xfId="350" xr:uid="{00000000-0005-0000-0000-00005A010000}"/>
    <cellStyle name="20% - Accent1 2 2 3 3 2 5" xfId="351" xr:uid="{00000000-0005-0000-0000-00005B010000}"/>
    <cellStyle name="20% - Accent1 2 2 3 3 3" xfId="352" xr:uid="{00000000-0005-0000-0000-00005C010000}"/>
    <cellStyle name="20% - Accent1 2 2 3 3 3 2" xfId="353" xr:uid="{00000000-0005-0000-0000-00005D010000}"/>
    <cellStyle name="20% - Accent1 2 2 3 3 3 2 2" xfId="354" xr:uid="{00000000-0005-0000-0000-00005E010000}"/>
    <cellStyle name="20% - Accent1 2 2 3 3 3 2 2 2" xfId="355" xr:uid="{00000000-0005-0000-0000-00005F010000}"/>
    <cellStyle name="20% - Accent1 2 2 3 3 3 2 3" xfId="356" xr:uid="{00000000-0005-0000-0000-000060010000}"/>
    <cellStyle name="20% - Accent1 2 2 3 3 3 3" xfId="357" xr:uid="{00000000-0005-0000-0000-000061010000}"/>
    <cellStyle name="20% - Accent1 2 2 3 3 3 3 2" xfId="358" xr:uid="{00000000-0005-0000-0000-000062010000}"/>
    <cellStyle name="20% - Accent1 2 2 3 3 3 4" xfId="359" xr:uid="{00000000-0005-0000-0000-000063010000}"/>
    <cellStyle name="20% - Accent1 2 2 3 3 4" xfId="360" xr:uid="{00000000-0005-0000-0000-000064010000}"/>
    <cellStyle name="20% - Accent1 2 2 3 3 4 2" xfId="361" xr:uid="{00000000-0005-0000-0000-000065010000}"/>
    <cellStyle name="20% - Accent1 2 2 3 3 4 2 2" xfId="362" xr:uid="{00000000-0005-0000-0000-000066010000}"/>
    <cellStyle name="20% - Accent1 2 2 3 3 4 3" xfId="363" xr:uid="{00000000-0005-0000-0000-000067010000}"/>
    <cellStyle name="20% - Accent1 2 2 3 3 5" xfId="364" xr:uid="{00000000-0005-0000-0000-000068010000}"/>
    <cellStyle name="20% - Accent1 2 2 3 3 5 2" xfId="365" xr:uid="{00000000-0005-0000-0000-000069010000}"/>
    <cellStyle name="20% - Accent1 2 2 3 3 6" xfId="366" xr:uid="{00000000-0005-0000-0000-00006A010000}"/>
    <cellStyle name="20% - Accent1 2 2 3 4" xfId="367" xr:uid="{00000000-0005-0000-0000-00006B010000}"/>
    <cellStyle name="20% - Accent1 2 2 3 4 2" xfId="368" xr:uid="{00000000-0005-0000-0000-00006C010000}"/>
    <cellStyle name="20% - Accent1 2 2 3 4 2 2" xfId="369" xr:uid="{00000000-0005-0000-0000-00006D010000}"/>
    <cellStyle name="20% - Accent1 2 2 3 4 2 2 2" xfId="370" xr:uid="{00000000-0005-0000-0000-00006E010000}"/>
    <cellStyle name="20% - Accent1 2 2 3 4 2 2 2 2" xfId="371" xr:uid="{00000000-0005-0000-0000-00006F010000}"/>
    <cellStyle name="20% - Accent1 2 2 3 4 2 2 3" xfId="372" xr:uid="{00000000-0005-0000-0000-000070010000}"/>
    <cellStyle name="20% - Accent1 2 2 3 4 2 3" xfId="373" xr:uid="{00000000-0005-0000-0000-000071010000}"/>
    <cellStyle name="20% - Accent1 2 2 3 4 2 3 2" xfId="374" xr:uid="{00000000-0005-0000-0000-000072010000}"/>
    <cellStyle name="20% - Accent1 2 2 3 4 2 4" xfId="375" xr:uid="{00000000-0005-0000-0000-000073010000}"/>
    <cellStyle name="20% - Accent1 2 2 3 4 3" xfId="376" xr:uid="{00000000-0005-0000-0000-000074010000}"/>
    <cellStyle name="20% - Accent1 2 2 3 4 3 2" xfId="377" xr:uid="{00000000-0005-0000-0000-000075010000}"/>
    <cellStyle name="20% - Accent1 2 2 3 4 3 2 2" xfId="378" xr:uid="{00000000-0005-0000-0000-000076010000}"/>
    <cellStyle name="20% - Accent1 2 2 3 4 3 3" xfId="379" xr:uid="{00000000-0005-0000-0000-000077010000}"/>
    <cellStyle name="20% - Accent1 2 2 3 4 4" xfId="380" xr:uid="{00000000-0005-0000-0000-000078010000}"/>
    <cellStyle name="20% - Accent1 2 2 3 4 4 2" xfId="381" xr:uid="{00000000-0005-0000-0000-000079010000}"/>
    <cellStyle name="20% - Accent1 2 2 3 4 5" xfId="382" xr:uid="{00000000-0005-0000-0000-00007A010000}"/>
    <cellStyle name="20% - Accent1 2 2 3 5" xfId="383" xr:uid="{00000000-0005-0000-0000-00007B010000}"/>
    <cellStyle name="20% - Accent1 2 2 3 5 2" xfId="384" xr:uid="{00000000-0005-0000-0000-00007C010000}"/>
    <cellStyle name="20% - Accent1 2 2 3 5 2 2" xfId="385" xr:uid="{00000000-0005-0000-0000-00007D010000}"/>
    <cellStyle name="20% - Accent1 2 2 3 5 2 2 2" xfId="386" xr:uid="{00000000-0005-0000-0000-00007E010000}"/>
    <cellStyle name="20% - Accent1 2 2 3 5 2 3" xfId="387" xr:uid="{00000000-0005-0000-0000-00007F010000}"/>
    <cellStyle name="20% - Accent1 2 2 3 5 3" xfId="388" xr:uid="{00000000-0005-0000-0000-000080010000}"/>
    <cellStyle name="20% - Accent1 2 2 3 5 3 2" xfId="389" xr:uid="{00000000-0005-0000-0000-000081010000}"/>
    <cellStyle name="20% - Accent1 2 2 3 5 4" xfId="390" xr:uid="{00000000-0005-0000-0000-000082010000}"/>
    <cellStyle name="20% - Accent1 2 2 3 6" xfId="391" xr:uid="{00000000-0005-0000-0000-000083010000}"/>
    <cellStyle name="20% - Accent1 2 2 3 6 2" xfId="392" xr:uid="{00000000-0005-0000-0000-000084010000}"/>
    <cellStyle name="20% - Accent1 2 2 3 6 2 2" xfId="393" xr:uid="{00000000-0005-0000-0000-000085010000}"/>
    <cellStyle name="20% - Accent1 2 2 3 6 3" xfId="394" xr:uid="{00000000-0005-0000-0000-000086010000}"/>
    <cellStyle name="20% - Accent1 2 2 3 7" xfId="395" xr:uid="{00000000-0005-0000-0000-000087010000}"/>
    <cellStyle name="20% - Accent1 2 2 3 7 2" xfId="396" xr:uid="{00000000-0005-0000-0000-000088010000}"/>
    <cellStyle name="20% - Accent1 2 2 3 8" xfId="397" xr:uid="{00000000-0005-0000-0000-000089010000}"/>
    <cellStyle name="20% - Accent1 2 2 4" xfId="398" xr:uid="{00000000-0005-0000-0000-00008A010000}"/>
    <cellStyle name="20% - Accent1 2 2 4 2" xfId="399" xr:uid="{00000000-0005-0000-0000-00008B010000}"/>
    <cellStyle name="20% - Accent1 2 2 4 2 2" xfId="400" xr:uid="{00000000-0005-0000-0000-00008C010000}"/>
    <cellStyle name="20% - Accent1 2 2 4 2 2 2" xfId="401" xr:uid="{00000000-0005-0000-0000-00008D010000}"/>
    <cellStyle name="20% - Accent1 2 2 4 2 2 2 2" xfId="402" xr:uid="{00000000-0005-0000-0000-00008E010000}"/>
    <cellStyle name="20% - Accent1 2 2 4 2 2 2 2 2" xfId="403" xr:uid="{00000000-0005-0000-0000-00008F010000}"/>
    <cellStyle name="20% - Accent1 2 2 4 2 2 2 2 2 2" xfId="404" xr:uid="{00000000-0005-0000-0000-000090010000}"/>
    <cellStyle name="20% - Accent1 2 2 4 2 2 2 2 3" xfId="405" xr:uid="{00000000-0005-0000-0000-000091010000}"/>
    <cellStyle name="20% - Accent1 2 2 4 2 2 2 3" xfId="406" xr:uid="{00000000-0005-0000-0000-000092010000}"/>
    <cellStyle name="20% - Accent1 2 2 4 2 2 2 3 2" xfId="407" xr:uid="{00000000-0005-0000-0000-000093010000}"/>
    <cellStyle name="20% - Accent1 2 2 4 2 2 2 4" xfId="408" xr:uid="{00000000-0005-0000-0000-000094010000}"/>
    <cellStyle name="20% - Accent1 2 2 4 2 2 3" xfId="409" xr:uid="{00000000-0005-0000-0000-000095010000}"/>
    <cellStyle name="20% - Accent1 2 2 4 2 2 3 2" xfId="410" xr:uid="{00000000-0005-0000-0000-000096010000}"/>
    <cellStyle name="20% - Accent1 2 2 4 2 2 3 2 2" xfId="411" xr:uid="{00000000-0005-0000-0000-000097010000}"/>
    <cellStyle name="20% - Accent1 2 2 4 2 2 3 3" xfId="412" xr:uid="{00000000-0005-0000-0000-000098010000}"/>
    <cellStyle name="20% - Accent1 2 2 4 2 2 4" xfId="413" xr:uid="{00000000-0005-0000-0000-000099010000}"/>
    <cellStyle name="20% - Accent1 2 2 4 2 2 4 2" xfId="414" xr:uid="{00000000-0005-0000-0000-00009A010000}"/>
    <cellStyle name="20% - Accent1 2 2 4 2 2 5" xfId="415" xr:uid="{00000000-0005-0000-0000-00009B010000}"/>
    <cellStyle name="20% - Accent1 2 2 4 2 3" xfId="416" xr:uid="{00000000-0005-0000-0000-00009C010000}"/>
    <cellStyle name="20% - Accent1 2 2 4 2 3 2" xfId="417" xr:uid="{00000000-0005-0000-0000-00009D010000}"/>
    <cellStyle name="20% - Accent1 2 2 4 2 3 2 2" xfId="418" xr:uid="{00000000-0005-0000-0000-00009E010000}"/>
    <cellStyle name="20% - Accent1 2 2 4 2 3 2 2 2" xfId="419" xr:uid="{00000000-0005-0000-0000-00009F010000}"/>
    <cellStyle name="20% - Accent1 2 2 4 2 3 2 3" xfId="420" xr:uid="{00000000-0005-0000-0000-0000A0010000}"/>
    <cellStyle name="20% - Accent1 2 2 4 2 3 3" xfId="421" xr:uid="{00000000-0005-0000-0000-0000A1010000}"/>
    <cellStyle name="20% - Accent1 2 2 4 2 3 3 2" xfId="422" xr:uid="{00000000-0005-0000-0000-0000A2010000}"/>
    <cellStyle name="20% - Accent1 2 2 4 2 3 4" xfId="423" xr:uid="{00000000-0005-0000-0000-0000A3010000}"/>
    <cellStyle name="20% - Accent1 2 2 4 2 4" xfId="424" xr:uid="{00000000-0005-0000-0000-0000A4010000}"/>
    <cellStyle name="20% - Accent1 2 2 4 2 4 2" xfId="425" xr:uid="{00000000-0005-0000-0000-0000A5010000}"/>
    <cellStyle name="20% - Accent1 2 2 4 2 4 2 2" xfId="426" xr:uid="{00000000-0005-0000-0000-0000A6010000}"/>
    <cellStyle name="20% - Accent1 2 2 4 2 4 3" xfId="427" xr:uid="{00000000-0005-0000-0000-0000A7010000}"/>
    <cellStyle name="20% - Accent1 2 2 4 2 5" xfId="428" xr:uid="{00000000-0005-0000-0000-0000A8010000}"/>
    <cellStyle name="20% - Accent1 2 2 4 2 5 2" xfId="429" xr:uid="{00000000-0005-0000-0000-0000A9010000}"/>
    <cellStyle name="20% - Accent1 2 2 4 2 6" xfId="430" xr:uid="{00000000-0005-0000-0000-0000AA010000}"/>
    <cellStyle name="20% - Accent1 2 2 4 3" xfId="431" xr:uid="{00000000-0005-0000-0000-0000AB010000}"/>
    <cellStyle name="20% - Accent1 2 2 4 3 2" xfId="432" xr:uid="{00000000-0005-0000-0000-0000AC010000}"/>
    <cellStyle name="20% - Accent1 2 2 4 3 2 2" xfId="433" xr:uid="{00000000-0005-0000-0000-0000AD010000}"/>
    <cellStyle name="20% - Accent1 2 2 4 3 2 2 2" xfId="434" xr:uid="{00000000-0005-0000-0000-0000AE010000}"/>
    <cellStyle name="20% - Accent1 2 2 4 3 2 2 2 2" xfId="435" xr:uid="{00000000-0005-0000-0000-0000AF010000}"/>
    <cellStyle name="20% - Accent1 2 2 4 3 2 2 3" xfId="436" xr:uid="{00000000-0005-0000-0000-0000B0010000}"/>
    <cellStyle name="20% - Accent1 2 2 4 3 2 3" xfId="437" xr:uid="{00000000-0005-0000-0000-0000B1010000}"/>
    <cellStyle name="20% - Accent1 2 2 4 3 2 3 2" xfId="438" xr:uid="{00000000-0005-0000-0000-0000B2010000}"/>
    <cellStyle name="20% - Accent1 2 2 4 3 2 4" xfId="439" xr:uid="{00000000-0005-0000-0000-0000B3010000}"/>
    <cellStyle name="20% - Accent1 2 2 4 3 3" xfId="440" xr:uid="{00000000-0005-0000-0000-0000B4010000}"/>
    <cellStyle name="20% - Accent1 2 2 4 3 3 2" xfId="441" xr:uid="{00000000-0005-0000-0000-0000B5010000}"/>
    <cellStyle name="20% - Accent1 2 2 4 3 3 2 2" xfId="442" xr:uid="{00000000-0005-0000-0000-0000B6010000}"/>
    <cellStyle name="20% - Accent1 2 2 4 3 3 3" xfId="443" xr:uid="{00000000-0005-0000-0000-0000B7010000}"/>
    <cellStyle name="20% - Accent1 2 2 4 3 4" xfId="444" xr:uid="{00000000-0005-0000-0000-0000B8010000}"/>
    <cellStyle name="20% - Accent1 2 2 4 3 4 2" xfId="445" xr:uid="{00000000-0005-0000-0000-0000B9010000}"/>
    <cellStyle name="20% - Accent1 2 2 4 3 5" xfId="446" xr:uid="{00000000-0005-0000-0000-0000BA010000}"/>
    <cellStyle name="20% - Accent1 2 2 4 4" xfId="447" xr:uid="{00000000-0005-0000-0000-0000BB010000}"/>
    <cellStyle name="20% - Accent1 2 2 4 4 2" xfId="448" xr:uid="{00000000-0005-0000-0000-0000BC010000}"/>
    <cellStyle name="20% - Accent1 2 2 4 4 2 2" xfId="449" xr:uid="{00000000-0005-0000-0000-0000BD010000}"/>
    <cellStyle name="20% - Accent1 2 2 4 4 2 2 2" xfId="450" xr:uid="{00000000-0005-0000-0000-0000BE010000}"/>
    <cellStyle name="20% - Accent1 2 2 4 4 2 3" xfId="451" xr:uid="{00000000-0005-0000-0000-0000BF010000}"/>
    <cellStyle name="20% - Accent1 2 2 4 4 3" xfId="452" xr:uid="{00000000-0005-0000-0000-0000C0010000}"/>
    <cellStyle name="20% - Accent1 2 2 4 4 3 2" xfId="453" xr:uid="{00000000-0005-0000-0000-0000C1010000}"/>
    <cellStyle name="20% - Accent1 2 2 4 4 4" xfId="454" xr:uid="{00000000-0005-0000-0000-0000C2010000}"/>
    <cellStyle name="20% - Accent1 2 2 4 5" xfId="455" xr:uid="{00000000-0005-0000-0000-0000C3010000}"/>
    <cellStyle name="20% - Accent1 2 2 4 5 2" xfId="456" xr:uid="{00000000-0005-0000-0000-0000C4010000}"/>
    <cellStyle name="20% - Accent1 2 2 4 5 2 2" xfId="457" xr:uid="{00000000-0005-0000-0000-0000C5010000}"/>
    <cellStyle name="20% - Accent1 2 2 4 5 3" xfId="458" xr:uid="{00000000-0005-0000-0000-0000C6010000}"/>
    <cellStyle name="20% - Accent1 2 2 4 6" xfId="459" xr:uid="{00000000-0005-0000-0000-0000C7010000}"/>
    <cellStyle name="20% - Accent1 2 2 4 6 2" xfId="460" xr:uid="{00000000-0005-0000-0000-0000C8010000}"/>
    <cellStyle name="20% - Accent1 2 2 4 7" xfId="461" xr:uid="{00000000-0005-0000-0000-0000C9010000}"/>
    <cellStyle name="20% - Accent1 2 2 5" xfId="462" xr:uid="{00000000-0005-0000-0000-0000CA010000}"/>
    <cellStyle name="20% - Accent1 2 2 5 2" xfId="463" xr:uid="{00000000-0005-0000-0000-0000CB010000}"/>
    <cellStyle name="20% - Accent1 2 2 5 2 2" xfId="464" xr:uid="{00000000-0005-0000-0000-0000CC010000}"/>
    <cellStyle name="20% - Accent1 2 2 5 2 2 2" xfId="465" xr:uid="{00000000-0005-0000-0000-0000CD010000}"/>
    <cellStyle name="20% - Accent1 2 2 5 2 2 2 2" xfId="466" xr:uid="{00000000-0005-0000-0000-0000CE010000}"/>
    <cellStyle name="20% - Accent1 2 2 5 2 2 2 2 2" xfId="467" xr:uid="{00000000-0005-0000-0000-0000CF010000}"/>
    <cellStyle name="20% - Accent1 2 2 5 2 2 2 3" xfId="468" xr:uid="{00000000-0005-0000-0000-0000D0010000}"/>
    <cellStyle name="20% - Accent1 2 2 5 2 2 3" xfId="469" xr:uid="{00000000-0005-0000-0000-0000D1010000}"/>
    <cellStyle name="20% - Accent1 2 2 5 2 2 3 2" xfId="470" xr:uid="{00000000-0005-0000-0000-0000D2010000}"/>
    <cellStyle name="20% - Accent1 2 2 5 2 2 4" xfId="471" xr:uid="{00000000-0005-0000-0000-0000D3010000}"/>
    <cellStyle name="20% - Accent1 2 2 5 2 3" xfId="472" xr:uid="{00000000-0005-0000-0000-0000D4010000}"/>
    <cellStyle name="20% - Accent1 2 2 5 2 3 2" xfId="473" xr:uid="{00000000-0005-0000-0000-0000D5010000}"/>
    <cellStyle name="20% - Accent1 2 2 5 2 3 2 2" xfId="474" xr:uid="{00000000-0005-0000-0000-0000D6010000}"/>
    <cellStyle name="20% - Accent1 2 2 5 2 3 3" xfId="475" xr:uid="{00000000-0005-0000-0000-0000D7010000}"/>
    <cellStyle name="20% - Accent1 2 2 5 2 4" xfId="476" xr:uid="{00000000-0005-0000-0000-0000D8010000}"/>
    <cellStyle name="20% - Accent1 2 2 5 2 4 2" xfId="477" xr:uid="{00000000-0005-0000-0000-0000D9010000}"/>
    <cellStyle name="20% - Accent1 2 2 5 2 5" xfId="478" xr:uid="{00000000-0005-0000-0000-0000DA010000}"/>
    <cellStyle name="20% - Accent1 2 2 5 3" xfId="479" xr:uid="{00000000-0005-0000-0000-0000DB010000}"/>
    <cellStyle name="20% - Accent1 2 2 5 3 2" xfId="480" xr:uid="{00000000-0005-0000-0000-0000DC010000}"/>
    <cellStyle name="20% - Accent1 2 2 5 3 2 2" xfId="481" xr:uid="{00000000-0005-0000-0000-0000DD010000}"/>
    <cellStyle name="20% - Accent1 2 2 5 3 2 2 2" xfId="482" xr:uid="{00000000-0005-0000-0000-0000DE010000}"/>
    <cellStyle name="20% - Accent1 2 2 5 3 2 3" xfId="483" xr:uid="{00000000-0005-0000-0000-0000DF010000}"/>
    <cellStyle name="20% - Accent1 2 2 5 3 3" xfId="484" xr:uid="{00000000-0005-0000-0000-0000E0010000}"/>
    <cellStyle name="20% - Accent1 2 2 5 3 3 2" xfId="485" xr:uid="{00000000-0005-0000-0000-0000E1010000}"/>
    <cellStyle name="20% - Accent1 2 2 5 3 4" xfId="486" xr:uid="{00000000-0005-0000-0000-0000E2010000}"/>
    <cellStyle name="20% - Accent1 2 2 5 4" xfId="487" xr:uid="{00000000-0005-0000-0000-0000E3010000}"/>
    <cellStyle name="20% - Accent1 2 2 5 4 2" xfId="488" xr:uid="{00000000-0005-0000-0000-0000E4010000}"/>
    <cellStyle name="20% - Accent1 2 2 5 4 2 2" xfId="489" xr:uid="{00000000-0005-0000-0000-0000E5010000}"/>
    <cellStyle name="20% - Accent1 2 2 5 4 3" xfId="490" xr:uid="{00000000-0005-0000-0000-0000E6010000}"/>
    <cellStyle name="20% - Accent1 2 2 5 5" xfId="491" xr:uid="{00000000-0005-0000-0000-0000E7010000}"/>
    <cellStyle name="20% - Accent1 2 2 5 5 2" xfId="492" xr:uid="{00000000-0005-0000-0000-0000E8010000}"/>
    <cellStyle name="20% - Accent1 2 2 5 6" xfId="493" xr:uid="{00000000-0005-0000-0000-0000E9010000}"/>
    <cellStyle name="20% - Accent1 2 2 6" xfId="494" xr:uid="{00000000-0005-0000-0000-0000EA010000}"/>
    <cellStyle name="20% - Accent1 2 2 6 2" xfId="495" xr:uid="{00000000-0005-0000-0000-0000EB010000}"/>
    <cellStyle name="20% - Accent1 2 2 6 2 2" xfId="496" xr:uid="{00000000-0005-0000-0000-0000EC010000}"/>
    <cellStyle name="20% - Accent1 2 2 6 2 2 2" xfId="497" xr:uid="{00000000-0005-0000-0000-0000ED010000}"/>
    <cellStyle name="20% - Accent1 2 2 6 2 2 2 2" xfId="498" xr:uid="{00000000-0005-0000-0000-0000EE010000}"/>
    <cellStyle name="20% - Accent1 2 2 6 2 2 3" xfId="499" xr:uid="{00000000-0005-0000-0000-0000EF010000}"/>
    <cellStyle name="20% - Accent1 2 2 6 2 3" xfId="500" xr:uid="{00000000-0005-0000-0000-0000F0010000}"/>
    <cellStyle name="20% - Accent1 2 2 6 2 3 2" xfId="501" xr:uid="{00000000-0005-0000-0000-0000F1010000}"/>
    <cellStyle name="20% - Accent1 2 2 6 2 4" xfId="502" xr:uid="{00000000-0005-0000-0000-0000F2010000}"/>
    <cellStyle name="20% - Accent1 2 2 6 3" xfId="503" xr:uid="{00000000-0005-0000-0000-0000F3010000}"/>
    <cellStyle name="20% - Accent1 2 2 6 3 2" xfId="504" xr:uid="{00000000-0005-0000-0000-0000F4010000}"/>
    <cellStyle name="20% - Accent1 2 2 6 3 2 2" xfId="505" xr:uid="{00000000-0005-0000-0000-0000F5010000}"/>
    <cellStyle name="20% - Accent1 2 2 6 3 3" xfId="506" xr:uid="{00000000-0005-0000-0000-0000F6010000}"/>
    <cellStyle name="20% - Accent1 2 2 6 4" xfId="507" xr:uid="{00000000-0005-0000-0000-0000F7010000}"/>
    <cellStyle name="20% - Accent1 2 2 6 4 2" xfId="508" xr:uid="{00000000-0005-0000-0000-0000F8010000}"/>
    <cellStyle name="20% - Accent1 2 2 6 5" xfId="509" xr:uid="{00000000-0005-0000-0000-0000F9010000}"/>
    <cellStyle name="20% - Accent1 2 2 7" xfId="510" xr:uid="{00000000-0005-0000-0000-0000FA010000}"/>
    <cellStyle name="20% - Accent1 2 2 7 2" xfId="511" xr:uid="{00000000-0005-0000-0000-0000FB010000}"/>
    <cellStyle name="20% - Accent1 2 2 7 2 2" xfId="512" xr:uid="{00000000-0005-0000-0000-0000FC010000}"/>
    <cellStyle name="20% - Accent1 2 2 7 2 2 2" xfId="513" xr:uid="{00000000-0005-0000-0000-0000FD010000}"/>
    <cellStyle name="20% - Accent1 2 2 7 2 3" xfId="514" xr:uid="{00000000-0005-0000-0000-0000FE010000}"/>
    <cellStyle name="20% - Accent1 2 2 7 3" xfId="515" xr:uid="{00000000-0005-0000-0000-0000FF010000}"/>
    <cellStyle name="20% - Accent1 2 2 7 3 2" xfId="516" xr:uid="{00000000-0005-0000-0000-000000020000}"/>
    <cellStyle name="20% - Accent1 2 2 7 4" xfId="517" xr:uid="{00000000-0005-0000-0000-000001020000}"/>
    <cellStyle name="20% - Accent1 2 2 8" xfId="518" xr:uid="{00000000-0005-0000-0000-000002020000}"/>
    <cellStyle name="20% - Accent1 2 2 8 2" xfId="519" xr:uid="{00000000-0005-0000-0000-000003020000}"/>
    <cellStyle name="20% - Accent1 2 2 8 2 2" xfId="520" xr:uid="{00000000-0005-0000-0000-000004020000}"/>
    <cellStyle name="20% - Accent1 2 2 8 3" xfId="521" xr:uid="{00000000-0005-0000-0000-000005020000}"/>
    <cellStyle name="20% - Accent1 2 2 9" xfId="522" xr:uid="{00000000-0005-0000-0000-000006020000}"/>
    <cellStyle name="20% - Accent1 2 2 9 2" xfId="523" xr:uid="{00000000-0005-0000-0000-000007020000}"/>
    <cellStyle name="20% - Accent1 2 3" xfId="524" xr:uid="{00000000-0005-0000-0000-000008020000}"/>
    <cellStyle name="20% - Accent1 2 3 2" xfId="525" xr:uid="{00000000-0005-0000-0000-000009020000}"/>
    <cellStyle name="20% - Accent1 2 3 2 2" xfId="526" xr:uid="{00000000-0005-0000-0000-00000A020000}"/>
    <cellStyle name="20% - Accent1 2 3 2 2 2" xfId="527" xr:uid="{00000000-0005-0000-0000-00000B020000}"/>
    <cellStyle name="20% - Accent1 2 3 2 2 2 2" xfId="528" xr:uid="{00000000-0005-0000-0000-00000C020000}"/>
    <cellStyle name="20% - Accent1 2 3 2 2 2 2 2" xfId="529" xr:uid="{00000000-0005-0000-0000-00000D020000}"/>
    <cellStyle name="20% - Accent1 2 3 2 2 2 2 2 2" xfId="530" xr:uid="{00000000-0005-0000-0000-00000E020000}"/>
    <cellStyle name="20% - Accent1 2 3 2 2 2 2 2 2 2" xfId="531" xr:uid="{00000000-0005-0000-0000-00000F020000}"/>
    <cellStyle name="20% - Accent1 2 3 2 2 2 2 2 2 2 2" xfId="532" xr:uid="{00000000-0005-0000-0000-000010020000}"/>
    <cellStyle name="20% - Accent1 2 3 2 2 2 2 2 2 3" xfId="533" xr:uid="{00000000-0005-0000-0000-000011020000}"/>
    <cellStyle name="20% - Accent1 2 3 2 2 2 2 2 3" xfId="534" xr:uid="{00000000-0005-0000-0000-000012020000}"/>
    <cellStyle name="20% - Accent1 2 3 2 2 2 2 2 3 2" xfId="535" xr:uid="{00000000-0005-0000-0000-000013020000}"/>
    <cellStyle name="20% - Accent1 2 3 2 2 2 2 2 4" xfId="536" xr:uid="{00000000-0005-0000-0000-000014020000}"/>
    <cellStyle name="20% - Accent1 2 3 2 2 2 2 3" xfId="537" xr:uid="{00000000-0005-0000-0000-000015020000}"/>
    <cellStyle name="20% - Accent1 2 3 2 2 2 2 3 2" xfId="538" xr:uid="{00000000-0005-0000-0000-000016020000}"/>
    <cellStyle name="20% - Accent1 2 3 2 2 2 2 3 2 2" xfId="539" xr:uid="{00000000-0005-0000-0000-000017020000}"/>
    <cellStyle name="20% - Accent1 2 3 2 2 2 2 3 3" xfId="540" xr:uid="{00000000-0005-0000-0000-000018020000}"/>
    <cellStyle name="20% - Accent1 2 3 2 2 2 2 4" xfId="541" xr:uid="{00000000-0005-0000-0000-000019020000}"/>
    <cellStyle name="20% - Accent1 2 3 2 2 2 2 4 2" xfId="542" xr:uid="{00000000-0005-0000-0000-00001A020000}"/>
    <cellStyle name="20% - Accent1 2 3 2 2 2 2 5" xfId="543" xr:uid="{00000000-0005-0000-0000-00001B020000}"/>
    <cellStyle name="20% - Accent1 2 3 2 2 2 3" xfId="544" xr:uid="{00000000-0005-0000-0000-00001C020000}"/>
    <cellStyle name="20% - Accent1 2 3 2 2 2 3 2" xfId="545" xr:uid="{00000000-0005-0000-0000-00001D020000}"/>
    <cellStyle name="20% - Accent1 2 3 2 2 2 3 2 2" xfId="546" xr:uid="{00000000-0005-0000-0000-00001E020000}"/>
    <cellStyle name="20% - Accent1 2 3 2 2 2 3 2 2 2" xfId="547" xr:uid="{00000000-0005-0000-0000-00001F020000}"/>
    <cellStyle name="20% - Accent1 2 3 2 2 2 3 2 3" xfId="548" xr:uid="{00000000-0005-0000-0000-000020020000}"/>
    <cellStyle name="20% - Accent1 2 3 2 2 2 3 3" xfId="549" xr:uid="{00000000-0005-0000-0000-000021020000}"/>
    <cellStyle name="20% - Accent1 2 3 2 2 2 3 3 2" xfId="550" xr:uid="{00000000-0005-0000-0000-000022020000}"/>
    <cellStyle name="20% - Accent1 2 3 2 2 2 3 4" xfId="551" xr:uid="{00000000-0005-0000-0000-000023020000}"/>
    <cellStyle name="20% - Accent1 2 3 2 2 2 4" xfId="552" xr:uid="{00000000-0005-0000-0000-000024020000}"/>
    <cellStyle name="20% - Accent1 2 3 2 2 2 4 2" xfId="553" xr:uid="{00000000-0005-0000-0000-000025020000}"/>
    <cellStyle name="20% - Accent1 2 3 2 2 2 4 2 2" xfId="554" xr:uid="{00000000-0005-0000-0000-000026020000}"/>
    <cellStyle name="20% - Accent1 2 3 2 2 2 4 3" xfId="555" xr:uid="{00000000-0005-0000-0000-000027020000}"/>
    <cellStyle name="20% - Accent1 2 3 2 2 2 5" xfId="556" xr:uid="{00000000-0005-0000-0000-000028020000}"/>
    <cellStyle name="20% - Accent1 2 3 2 2 2 5 2" xfId="557" xr:uid="{00000000-0005-0000-0000-000029020000}"/>
    <cellStyle name="20% - Accent1 2 3 2 2 2 6" xfId="558" xr:uid="{00000000-0005-0000-0000-00002A020000}"/>
    <cellStyle name="20% - Accent1 2 3 2 2 3" xfId="559" xr:uid="{00000000-0005-0000-0000-00002B020000}"/>
    <cellStyle name="20% - Accent1 2 3 2 2 3 2" xfId="560" xr:uid="{00000000-0005-0000-0000-00002C020000}"/>
    <cellStyle name="20% - Accent1 2 3 2 2 3 2 2" xfId="561" xr:uid="{00000000-0005-0000-0000-00002D020000}"/>
    <cellStyle name="20% - Accent1 2 3 2 2 3 2 2 2" xfId="562" xr:uid="{00000000-0005-0000-0000-00002E020000}"/>
    <cellStyle name="20% - Accent1 2 3 2 2 3 2 2 2 2" xfId="563" xr:uid="{00000000-0005-0000-0000-00002F020000}"/>
    <cellStyle name="20% - Accent1 2 3 2 2 3 2 2 3" xfId="564" xr:uid="{00000000-0005-0000-0000-000030020000}"/>
    <cellStyle name="20% - Accent1 2 3 2 2 3 2 3" xfId="565" xr:uid="{00000000-0005-0000-0000-000031020000}"/>
    <cellStyle name="20% - Accent1 2 3 2 2 3 2 3 2" xfId="566" xr:uid="{00000000-0005-0000-0000-000032020000}"/>
    <cellStyle name="20% - Accent1 2 3 2 2 3 2 4" xfId="567" xr:uid="{00000000-0005-0000-0000-000033020000}"/>
    <cellStyle name="20% - Accent1 2 3 2 2 3 3" xfId="568" xr:uid="{00000000-0005-0000-0000-000034020000}"/>
    <cellStyle name="20% - Accent1 2 3 2 2 3 3 2" xfId="569" xr:uid="{00000000-0005-0000-0000-000035020000}"/>
    <cellStyle name="20% - Accent1 2 3 2 2 3 3 2 2" xfId="570" xr:uid="{00000000-0005-0000-0000-000036020000}"/>
    <cellStyle name="20% - Accent1 2 3 2 2 3 3 3" xfId="571" xr:uid="{00000000-0005-0000-0000-000037020000}"/>
    <cellStyle name="20% - Accent1 2 3 2 2 3 4" xfId="572" xr:uid="{00000000-0005-0000-0000-000038020000}"/>
    <cellStyle name="20% - Accent1 2 3 2 2 3 4 2" xfId="573" xr:uid="{00000000-0005-0000-0000-000039020000}"/>
    <cellStyle name="20% - Accent1 2 3 2 2 3 5" xfId="574" xr:uid="{00000000-0005-0000-0000-00003A020000}"/>
    <cellStyle name="20% - Accent1 2 3 2 2 4" xfId="575" xr:uid="{00000000-0005-0000-0000-00003B020000}"/>
    <cellStyle name="20% - Accent1 2 3 2 2 4 2" xfId="576" xr:uid="{00000000-0005-0000-0000-00003C020000}"/>
    <cellStyle name="20% - Accent1 2 3 2 2 4 2 2" xfId="577" xr:uid="{00000000-0005-0000-0000-00003D020000}"/>
    <cellStyle name="20% - Accent1 2 3 2 2 4 2 2 2" xfId="578" xr:uid="{00000000-0005-0000-0000-00003E020000}"/>
    <cellStyle name="20% - Accent1 2 3 2 2 4 2 3" xfId="579" xr:uid="{00000000-0005-0000-0000-00003F020000}"/>
    <cellStyle name="20% - Accent1 2 3 2 2 4 3" xfId="580" xr:uid="{00000000-0005-0000-0000-000040020000}"/>
    <cellStyle name="20% - Accent1 2 3 2 2 4 3 2" xfId="581" xr:uid="{00000000-0005-0000-0000-000041020000}"/>
    <cellStyle name="20% - Accent1 2 3 2 2 4 4" xfId="582" xr:uid="{00000000-0005-0000-0000-000042020000}"/>
    <cellStyle name="20% - Accent1 2 3 2 2 5" xfId="583" xr:uid="{00000000-0005-0000-0000-000043020000}"/>
    <cellStyle name="20% - Accent1 2 3 2 2 5 2" xfId="584" xr:uid="{00000000-0005-0000-0000-000044020000}"/>
    <cellStyle name="20% - Accent1 2 3 2 2 5 2 2" xfId="585" xr:uid="{00000000-0005-0000-0000-000045020000}"/>
    <cellStyle name="20% - Accent1 2 3 2 2 5 3" xfId="586" xr:uid="{00000000-0005-0000-0000-000046020000}"/>
    <cellStyle name="20% - Accent1 2 3 2 2 6" xfId="587" xr:uid="{00000000-0005-0000-0000-000047020000}"/>
    <cellStyle name="20% - Accent1 2 3 2 2 6 2" xfId="588" xr:uid="{00000000-0005-0000-0000-000048020000}"/>
    <cellStyle name="20% - Accent1 2 3 2 2 7" xfId="589" xr:uid="{00000000-0005-0000-0000-000049020000}"/>
    <cellStyle name="20% - Accent1 2 3 2 3" xfId="590" xr:uid="{00000000-0005-0000-0000-00004A020000}"/>
    <cellStyle name="20% - Accent1 2 3 2 3 2" xfId="591" xr:uid="{00000000-0005-0000-0000-00004B020000}"/>
    <cellStyle name="20% - Accent1 2 3 2 3 2 2" xfId="592" xr:uid="{00000000-0005-0000-0000-00004C020000}"/>
    <cellStyle name="20% - Accent1 2 3 2 3 2 2 2" xfId="593" xr:uid="{00000000-0005-0000-0000-00004D020000}"/>
    <cellStyle name="20% - Accent1 2 3 2 3 2 2 2 2" xfId="594" xr:uid="{00000000-0005-0000-0000-00004E020000}"/>
    <cellStyle name="20% - Accent1 2 3 2 3 2 2 2 2 2" xfId="595" xr:uid="{00000000-0005-0000-0000-00004F020000}"/>
    <cellStyle name="20% - Accent1 2 3 2 3 2 2 2 3" xfId="596" xr:uid="{00000000-0005-0000-0000-000050020000}"/>
    <cellStyle name="20% - Accent1 2 3 2 3 2 2 3" xfId="597" xr:uid="{00000000-0005-0000-0000-000051020000}"/>
    <cellStyle name="20% - Accent1 2 3 2 3 2 2 3 2" xfId="598" xr:uid="{00000000-0005-0000-0000-000052020000}"/>
    <cellStyle name="20% - Accent1 2 3 2 3 2 2 4" xfId="599" xr:uid="{00000000-0005-0000-0000-000053020000}"/>
    <cellStyle name="20% - Accent1 2 3 2 3 2 3" xfId="600" xr:uid="{00000000-0005-0000-0000-000054020000}"/>
    <cellStyle name="20% - Accent1 2 3 2 3 2 3 2" xfId="601" xr:uid="{00000000-0005-0000-0000-000055020000}"/>
    <cellStyle name="20% - Accent1 2 3 2 3 2 3 2 2" xfId="602" xr:uid="{00000000-0005-0000-0000-000056020000}"/>
    <cellStyle name="20% - Accent1 2 3 2 3 2 3 3" xfId="603" xr:uid="{00000000-0005-0000-0000-000057020000}"/>
    <cellStyle name="20% - Accent1 2 3 2 3 2 4" xfId="604" xr:uid="{00000000-0005-0000-0000-000058020000}"/>
    <cellStyle name="20% - Accent1 2 3 2 3 2 4 2" xfId="605" xr:uid="{00000000-0005-0000-0000-000059020000}"/>
    <cellStyle name="20% - Accent1 2 3 2 3 2 5" xfId="606" xr:uid="{00000000-0005-0000-0000-00005A020000}"/>
    <cellStyle name="20% - Accent1 2 3 2 3 3" xfId="607" xr:uid="{00000000-0005-0000-0000-00005B020000}"/>
    <cellStyle name="20% - Accent1 2 3 2 3 3 2" xfId="608" xr:uid="{00000000-0005-0000-0000-00005C020000}"/>
    <cellStyle name="20% - Accent1 2 3 2 3 3 2 2" xfId="609" xr:uid="{00000000-0005-0000-0000-00005D020000}"/>
    <cellStyle name="20% - Accent1 2 3 2 3 3 2 2 2" xfId="610" xr:uid="{00000000-0005-0000-0000-00005E020000}"/>
    <cellStyle name="20% - Accent1 2 3 2 3 3 2 3" xfId="611" xr:uid="{00000000-0005-0000-0000-00005F020000}"/>
    <cellStyle name="20% - Accent1 2 3 2 3 3 3" xfId="612" xr:uid="{00000000-0005-0000-0000-000060020000}"/>
    <cellStyle name="20% - Accent1 2 3 2 3 3 3 2" xfId="613" xr:uid="{00000000-0005-0000-0000-000061020000}"/>
    <cellStyle name="20% - Accent1 2 3 2 3 3 4" xfId="614" xr:uid="{00000000-0005-0000-0000-000062020000}"/>
    <cellStyle name="20% - Accent1 2 3 2 3 4" xfId="615" xr:uid="{00000000-0005-0000-0000-000063020000}"/>
    <cellStyle name="20% - Accent1 2 3 2 3 4 2" xfId="616" xr:uid="{00000000-0005-0000-0000-000064020000}"/>
    <cellStyle name="20% - Accent1 2 3 2 3 4 2 2" xfId="617" xr:uid="{00000000-0005-0000-0000-000065020000}"/>
    <cellStyle name="20% - Accent1 2 3 2 3 4 3" xfId="618" xr:uid="{00000000-0005-0000-0000-000066020000}"/>
    <cellStyle name="20% - Accent1 2 3 2 3 5" xfId="619" xr:uid="{00000000-0005-0000-0000-000067020000}"/>
    <cellStyle name="20% - Accent1 2 3 2 3 5 2" xfId="620" xr:uid="{00000000-0005-0000-0000-000068020000}"/>
    <cellStyle name="20% - Accent1 2 3 2 3 6" xfId="621" xr:uid="{00000000-0005-0000-0000-000069020000}"/>
    <cellStyle name="20% - Accent1 2 3 2 4" xfId="622" xr:uid="{00000000-0005-0000-0000-00006A020000}"/>
    <cellStyle name="20% - Accent1 2 3 2 4 2" xfId="623" xr:uid="{00000000-0005-0000-0000-00006B020000}"/>
    <cellStyle name="20% - Accent1 2 3 2 4 2 2" xfId="624" xr:uid="{00000000-0005-0000-0000-00006C020000}"/>
    <cellStyle name="20% - Accent1 2 3 2 4 2 2 2" xfId="625" xr:uid="{00000000-0005-0000-0000-00006D020000}"/>
    <cellStyle name="20% - Accent1 2 3 2 4 2 2 2 2" xfId="626" xr:uid="{00000000-0005-0000-0000-00006E020000}"/>
    <cellStyle name="20% - Accent1 2 3 2 4 2 2 3" xfId="627" xr:uid="{00000000-0005-0000-0000-00006F020000}"/>
    <cellStyle name="20% - Accent1 2 3 2 4 2 3" xfId="628" xr:uid="{00000000-0005-0000-0000-000070020000}"/>
    <cellStyle name="20% - Accent1 2 3 2 4 2 3 2" xfId="629" xr:uid="{00000000-0005-0000-0000-000071020000}"/>
    <cellStyle name="20% - Accent1 2 3 2 4 2 4" xfId="630" xr:uid="{00000000-0005-0000-0000-000072020000}"/>
    <cellStyle name="20% - Accent1 2 3 2 4 3" xfId="631" xr:uid="{00000000-0005-0000-0000-000073020000}"/>
    <cellStyle name="20% - Accent1 2 3 2 4 3 2" xfId="632" xr:uid="{00000000-0005-0000-0000-000074020000}"/>
    <cellStyle name="20% - Accent1 2 3 2 4 3 2 2" xfId="633" xr:uid="{00000000-0005-0000-0000-000075020000}"/>
    <cellStyle name="20% - Accent1 2 3 2 4 3 3" xfId="634" xr:uid="{00000000-0005-0000-0000-000076020000}"/>
    <cellStyle name="20% - Accent1 2 3 2 4 4" xfId="635" xr:uid="{00000000-0005-0000-0000-000077020000}"/>
    <cellStyle name="20% - Accent1 2 3 2 4 4 2" xfId="636" xr:uid="{00000000-0005-0000-0000-000078020000}"/>
    <cellStyle name="20% - Accent1 2 3 2 4 5" xfId="637" xr:uid="{00000000-0005-0000-0000-000079020000}"/>
    <cellStyle name="20% - Accent1 2 3 2 5" xfId="638" xr:uid="{00000000-0005-0000-0000-00007A020000}"/>
    <cellStyle name="20% - Accent1 2 3 2 5 2" xfId="639" xr:uid="{00000000-0005-0000-0000-00007B020000}"/>
    <cellStyle name="20% - Accent1 2 3 2 5 2 2" xfId="640" xr:uid="{00000000-0005-0000-0000-00007C020000}"/>
    <cellStyle name="20% - Accent1 2 3 2 5 2 2 2" xfId="641" xr:uid="{00000000-0005-0000-0000-00007D020000}"/>
    <cellStyle name="20% - Accent1 2 3 2 5 2 3" xfId="642" xr:uid="{00000000-0005-0000-0000-00007E020000}"/>
    <cellStyle name="20% - Accent1 2 3 2 5 3" xfId="643" xr:uid="{00000000-0005-0000-0000-00007F020000}"/>
    <cellStyle name="20% - Accent1 2 3 2 5 3 2" xfId="644" xr:uid="{00000000-0005-0000-0000-000080020000}"/>
    <cellStyle name="20% - Accent1 2 3 2 5 4" xfId="645" xr:uid="{00000000-0005-0000-0000-000081020000}"/>
    <cellStyle name="20% - Accent1 2 3 2 6" xfId="646" xr:uid="{00000000-0005-0000-0000-000082020000}"/>
    <cellStyle name="20% - Accent1 2 3 2 6 2" xfId="647" xr:uid="{00000000-0005-0000-0000-000083020000}"/>
    <cellStyle name="20% - Accent1 2 3 2 6 2 2" xfId="648" xr:uid="{00000000-0005-0000-0000-000084020000}"/>
    <cellStyle name="20% - Accent1 2 3 2 6 3" xfId="649" xr:uid="{00000000-0005-0000-0000-000085020000}"/>
    <cellStyle name="20% - Accent1 2 3 2 7" xfId="650" xr:uid="{00000000-0005-0000-0000-000086020000}"/>
    <cellStyle name="20% - Accent1 2 3 2 7 2" xfId="651" xr:uid="{00000000-0005-0000-0000-000087020000}"/>
    <cellStyle name="20% - Accent1 2 3 2 8" xfId="652" xr:uid="{00000000-0005-0000-0000-000088020000}"/>
    <cellStyle name="20% - Accent1 2 3 3" xfId="653" xr:uid="{00000000-0005-0000-0000-000089020000}"/>
    <cellStyle name="20% - Accent1 2 3 3 2" xfId="654" xr:uid="{00000000-0005-0000-0000-00008A020000}"/>
    <cellStyle name="20% - Accent1 2 3 3 2 2" xfId="655" xr:uid="{00000000-0005-0000-0000-00008B020000}"/>
    <cellStyle name="20% - Accent1 2 3 3 2 2 2" xfId="656" xr:uid="{00000000-0005-0000-0000-00008C020000}"/>
    <cellStyle name="20% - Accent1 2 3 3 2 2 2 2" xfId="657" xr:uid="{00000000-0005-0000-0000-00008D020000}"/>
    <cellStyle name="20% - Accent1 2 3 3 2 2 2 2 2" xfId="658" xr:uid="{00000000-0005-0000-0000-00008E020000}"/>
    <cellStyle name="20% - Accent1 2 3 3 2 2 2 2 2 2" xfId="659" xr:uid="{00000000-0005-0000-0000-00008F020000}"/>
    <cellStyle name="20% - Accent1 2 3 3 2 2 2 2 3" xfId="660" xr:uid="{00000000-0005-0000-0000-000090020000}"/>
    <cellStyle name="20% - Accent1 2 3 3 2 2 2 3" xfId="661" xr:uid="{00000000-0005-0000-0000-000091020000}"/>
    <cellStyle name="20% - Accent1 2 3 3 2 2 2 3 2" xfId="662" xr:uid="{00000000-0005-0000-0000-000092020000}"/>
    <cellStyle name="20% - Accent1 2 3 3 2 2 2 4" xfId="663" xr:uid="{00000000-0005-0000-0000-000093020000}"/>
    <cellStyle name="20% - Accent1 2 3 3 2 2 3" xfId="664" xr:uid="{00000000-0005-0000-0000-000094020000}"/>
    <cellStyle name="20% - Accent1 2 3 3 2 2 3 2" xfId="665" xr:uid="{00000000-0005-0000-0000-000095020000}"/>
    <cellStyle name="20% - Accent1 2 3 3 2 2 3 2 2" xfId="666" xr:uid="{00000000-0005-0000-0000-000096020000}"/>
    <cellStyle name="20% - Accent1 2 3 3 2 2 3 3" xfId="667" xr:uid="{00000000-0005-0000-0000-000097020000}"/>
    <cellStyle name="20% - Accent1 2 3 3 2 2 4" xfId="668" xr:uid="{00000000-0005-0000-0000-000098020000}"/>
    <cellStyle name="20% - Accent1 2 3 3 2 2 4 2" xfId="669" xr:uid="{00000000-0005-0000-0000-000099020000}"/>
    <cellStyle name="20% - Accent1 2 3 3 2 2 5" xfId="670" xr:uid="{00000000-0005-0000-0000-00009A020000}"/>
    <cellStyle name="20% - Accent1 2 3 3 2 3" xfId="671" xr:uid="{00000000-0005-0000-0000-00009B020000}"/>
    <cellStyle name="20% - Accent1 2 3 3 2 3 2" xfId="672" xr:uid="{00000000-0005-0000-0000-00009C020000}"/>
    <cellStyle name="20% - Accent1 2 3 3 2 3 2 2" xfId="673" xr:uid="{00000000-0005-0000-0000-00009D020000}"/>
    <cellStyle name="20% - Accent1 2 3 3 2 3 2 2 2" xfId="674" xr:uid="{00000000-0005-0000-0000-00009E020000}"/>
    <cellStyle name="20% - Accent1 2 3 3 2 3 2 3" xfId="675" xr:uid="{00000000-0005-0000-0000-00009F020000}"/>
    <cellStyle name="20% - Accent1 2 3 3 2 3 3" xfId="676" xr:uid="{00000000-0005-0000-0000-0000A0020000}"/>
    <cellStyle name="20% - Accent1 2 3 3 2 3 3 2" xfId="677" xr:uid="{00000000-0005-0000-0000-0000A1020000}"/>
    <cellStyle name="20% - Accent1 2 3 3 2 3 4" xfId="678" xr:uid="{00000000-0005-0000-0000-0000A2020000}"/>
    <cellStyle name="20% - Accent1 2 3 3 2 4" xfId="679" xr:uid="{00000000-0005-0000-0000-0000A3020000}"/>
    <cellStyle name="20% - Accent1 2 3 3 2 4 2" xfId="680" xr:uid="{00000000-0005-0000-0000-0000A4020000}"/>
    <cellStyle name="20% - Accent1 2 3 3 2 4 2 2" xfId="681" xr:uid="{00000000-0005-0000-0000-0000A5020000}"/>
    <cellStyle name="20% - Accent1 2 3 3 2 4 3" xfId="682" xr:uid="{00000000-0005-0000-0000-0000A6020000}"/>
    <cellStyle name="20% - Accent1 2 3 3 2 5" xfId="683" xr:uid="{00000000-0005-0000-0000-0000A7020000}"/>
    <cellStyle name="20% - Accent1 2 3 3 2 5 2" xfId="684" xr:uid="{00000000-0005-0000-0000-0000A8020000}"/>
    <cellStyle name="20% - Accent1 2 3 3 2 6" xfId="685" xr:uid="{00000000-0005-0000-0000-0000A9020000}"/>
    <cellStyle name="20% - Accent1 2 3 3 3" xfId="686" xr:uid="{00000000-0005-0000-0000-0000AA020000}"/>
    <cellStyle name="20% - Accent1 2 3 3 3 2" xfId="687" xr:uid="{00000000-0005-0000-0000-0000AB020000}"/>
    <cellStyle name="20% - Accent1 2 3 3 3 2 2" xfId="688" xr:uid="{00000000-0005-0000-0000-0000AC020000}"/>
    <cellStyle name="20% - Accent1 2 3 3 3 2 2 2" xfId="689" xr:uid="{00000000-0005-0000-0000-0000AD020000}"/>
    <cellStyle name="20% - Accent1 2 3 3 3 2 2 2 2" xfId="690" xr:uid="{00000000-0005-0000-0000-0000AE020000}"/>
    <cellStyle name="20% - Accent1 2 3 3 3 2 2 3" xfId="691" xr:uid="{00000000-0005-0000-0000-0000AF020000}"/>
    <cellStyle name="20% - Accent1 2 3 3 3 2 3" xfId="692" xr:uid="{00000000-0005-0000-0000-0000B0020000}"/>
    <cellStyle name="20% - Accent1 2 3 3 3 2 3 2" xfId="693" xr:uid="{00000000-0005-0000-0000-0000B1020000}"/>
    <cellStyle name="20% - Accent1 2 3 3 3 2 4" xfId="694" xr:uid="{00000000-0005-0000-0000-0000B2020000}"/>
    <cellStyle name="20% - Accent1 2 3 3 3 3" xfId="695" xr:uid="{00000000-0005-0000-0000-0000B3020000}"/>
    <cellStyle name="20% - Accent1 2 3 3 3 3 2" xfId="696" xr:uid="{00000000-0005-0000-0000-0000B4020000}"/>
    <cellStyle name="20% - Accent1 2 3 3 3 3 2 2" xfId="697" xr:uid="{00000000-0005-0000-0000-0000B5020000}"/>
    <cellStyle name="20% - Accent1 2 3 3 3 3 3" xfId="698" xr:uid="{00000000-0005-0000-0000-0000B6020000}"/>
    <cellStyle name="20% - Accent1 2 3 3 3 4" xfId="699" xr:uid="{00000000-0005-0000-0000-0000B7020000}"/>
    <cellStyle name="20% - Accent1 2 3 3 3 4 2" xfId="700" xr:uid="{00000000-0005-0000-0000-0000B8020000}"/>
    <cellStyle name="20% - Accent1 2 3 3 3 5" xfId="701" xr:uid="{00000000-0005-0000-0000-0000B9020000}"/>
    <cellStyle name="20% - Accent1 2 3 3 4" xfId="702" xr:uid="{00000000-0005-0000-0000-0000BA020000}"/>
    <cellStyle name="20% - Accent1 2 3 3 4 2" xfId="703" xr:uid="{00000000-0005-0000-0000-0000BB020000}"/>
    <cellStyle name="20% - Accent1 2 3 3 4 2 2" xfId="704" xr:uid="{00000000-0005-0000-0000-0000BC020000}"/>
    <cellStyle name="20% - Accent1 2 3 3 4 2 2 2" xfId="705" xr:uid="{00000000-0005-0000-0000-0000BD020000}"/>
    <cellStyle name="20% - Accent1 2 3 3 4 2 3" xfId="706" xr:uid="{00000000-0005-0000-0000-0000BE020000}"/>
    <cellStyle name="20% - Accent1 2 3 3 4 3" xfId="707" xr:uid="{00000000-0005-0000-0000-0000BF020000}"/>
    <cellStyle name="20% - Accent1 2 3 3 4 3 2" xfId="708" xr:uid="{00000000-0005-0000-0000-0000C0020000}"/>
    <cellStyle name="20% - Accent1 2 3 3 4 4" xfId="709" xr:uid="{00000000-0005-0000-0000-0000C1020000}"/>
    <cellStyle name="20% - Accent1 2 3 3 5" xfId="710" xr:uid="{00000000-0005-0000-0000-0000C2020000}"/>
    <cellStyle name="20% - Accent1 2 3 3 5 2" xfId="711" xr:uid="{00000000-0005-0000-0000-0000C3020000}"/>
    <cellStyle name="20% - Accent1 2 3 3 5 2 2" xfId="712" xr:uid="{00000000-0005-0000-0000-0000C4020000}"/>
    <cellStyle name="20% - Accent1 2 3 3 5 3" xfId="713" xr:uid="{00000000-0005-0000-0000-0000C5020000}"/>
    <cellStyle name="20% - Accent1 2 3 3 6" xfId="714" xr:uid="{00000000-0005-0000-0000-0000C6020000}"/>
    <cellStyle name="20% - Accent1 2 3 3 6 2" xfId="715" xr:uid="{00000000-0005-0000-0000-0000C7020000}"/>
    <cellStyle name="20% - Accent1 2 3 3 7" xfId="716" xr:uid="{00000000-0005-0000-0000-0000C8020000}"/>
    <cellStyle name="20% - Accent1 2 3 4" xfId="717" xr:uid="{00000000-0005-0000-0000-0000C9020000}"/>
    <cellStyle name="20% - Accent1 2 3 4 2" xfId="718" xr:uid="{00000000-0005-0000-0000-0000CA020000}"/>
    <cellStyle name="20% - Accent1 2 3 4 2 2" xfId="719" xr:uid="{00000000-0005-0000-0000-0000CB020000}"/>
    <cellStyle name="20% - Accent1 2 3 4 2 2 2" xfId="720" xr:uid="{00000000-0005-0000-0000-0000CC020000}"/>
    <cellStyle name="20% - Accent1 2 3 4 2 2 2 2" xfId="721" xr:uid="{00000000-0005-0000-0000-0000CD020000}"/>
    <cellStyle name="20% - Accent1 2 3 4 2 2 2 2 2" xfId="722" xr:uid="{00000000-0005-0000-0000-0000CE020000}"/>
    <cellStyle name="20% - Accent1 2 3 4 2 2 2 3" xfId="723" xr:uid="{00000000-0005-0000-0000-0000CF020000}"/>
    <cellStyle name="20% - Accent1 2 3 4 2 2 3" xfId="724" xr:uid="{00000000-0005-0000-0000-0000D0020000}"/>
    <cellStyle name="20% - Accent1 2 3 4 2 2 3 2" xfId="725" xr:uid="{00000000-0005-0000-0000-0000D1020000}"/>
    <cellStyle name="20% - Accent1 2 3 4 2 2 4" xfId="726" xr:uid="{00000000-0005-0000-0000-0000D2020000}"/>
    <cellStyle name="20% - Accent1 2 3 4 2 3" xfId="727" xr:uid="{00000000-0005-0000-0000-0000D3020000}"/>
    <cellStyle name="20% - Accent1 2 3 4 2 3 2" xfId="728" xr:uid="{00000000-0005-0000-0000-0000D4020000}"/>
    <cellStyle name="20% - Accent1 2 3 4 2 3 2 2" xfId="729" xr:uid="{00000000-0005-0000-0000-0000D5020000}"/>
    <cellStyle name="20% - Accent1 2 3 4 2 3 3" xfId="730" xr:uid="{00000000-0005-0000-0000-0000D6020000}"/>
    <cellStyle name="20% - Accent1 2 3 4 2 4" xfId="731" xr:uid="{00000000-0005-0000-0000-0000D7020000}"/>
    <cellStyle name="20% - Accent1 2 3 4 2 4 2" xfId="732" xr:uid="{00000000-0005-0000-0000-0000D8020000}"/>
    <cellStyle name="20% - Accent1 2 3 4 2 5" xfId="733" xr:uid="{00000000-0005-0000-0000-0000D9020000}"/>
    <cellStyle name="20% - Accent1 2 3 4 3" xfId="734" xr:uid="{00000000-0005-0000-0000-0000DA020000}"/>
    <cellStyle name="20% - Accent1 2 3 4 3 2" xfId="735" xr:uid="{00000000-0005-0000-0000-0000DB020000}"/>
    <cellStyle name="20% - Accent1 2 3 4 3 2 2" xfId="736" xr:uid="{00000000-0005-0000-0000-0000DC020000}"/>
    <cellStyle name="20% - Accent1 2 3 4 3 2 2 2" xfId="737" xr:uid="{00000000-0005-0000-0000-0000DD020000}"/>
    <cellStyle name="20% - Accent1 2 3 4 3 2 3" xfId="738" xr:uid="{00000000-0005-0000-0000-0000DE020000}"/>
    <cellStyle name="20% - Accent1 2 3 4 3 3" xfId="739" xr:uid="{00000000-0005-0000-0000-0000DF020000}"/>
    <cellStyle name="20% - Accent1 2 3 4 3 3 2" xfId="740" xr:uid="{00000000-0005-0000-0000-0000E0020000}"/>
    <cellStyle name="20% - Accent1 2 3 4 3 4" xfId="741" xr:uid="{00000000-0005-0000-0000-0000E1020000}"/>
    <cellStyle name="20% - Accent1 2 3 4 4" xfId="742" xr:uid="{00000000-0005-0000-0000-0000E2020000}"/>
    <cellStyle name="20% - Accent1 2 3 4 4 2" xfId="743" xr:uid="{00000000-0005-0000-0000-0000E3020000}"/>
    <cellStyle name="20% - Accent1 2 3 4 4 2 2" xfId="744" xr:uid="{00000000-0005-0000-0000-0000E4020000}"/>
    <cellStyle name="20% - Accent1 2 3 4 4 3" xfId="745" xr:uid="{00000000-0005-0000-0000-0000E5020000}"/>
    <cellStyle name="20% - Accent1 2 3 4 5" xfId="746" xr:uid="{00000000-0005-0000-0000-0000E6020000}"/>
    <cellStyle name="20% - Accent1 2 3 4 5 2" xfId="747" xr:uid="{00000000-0005-0000-0000-0000E7020000}"/>
    <cellStyle name="20% - Accent1 2 3 4 6" xfId="748" xr:uid="{00000000-0005-0000-0000-0000E8020000}"/>
    <cellStyle name="20% - Accent1 2 3 5" xfId="749" xr:uid="{00000000-0005-0000-0000-0000E9020000}"/>
    <cellStyle name="20% - Accent1 2 3 5 2" xfId="750" xr:uid="{00000000-0005-0000-0000-0000EA020000}"/>
    <cellStyle name="20% - Accent1 2 3 5 2 2" xfId="751" xr:uid="{00000000-0005-0000-0000-0000EB020000}"/>
    <cellStyle name="20% - Accent1 2 3 5 2 2 2" xfId="752" xr:uid="{00000000-0005-0000-0000-0000EC020000}"/>
    <cellStyle name="20% - Accent1 2 3 5 2 2 2 2" xfId="753" xr:uid="{00000000-0005-0000-0000-0000ED020000}"/>
    <cellStyle name="20% - Accent1 2 3 5 2 2 3" xfId="754" xr:uid="{00000000-0005-0000-0000-0000EE020000}"/>
    <cellStyle name="20% - Accent1 2 3 5 2 3" xfId="755" xr:uid="{00000000-0005-0000-0000-0000EF020000}"/>
    <cellStyle name="20% - Accent1 2 3 5 2 3 2" xfId="756" xr:uid="{00000000-0005-0000-0000-0000F0020000}"/>
    <cellStyle name="20% - Accent1 2 3 5 2 4" xfId="757" xr:uid="{00000000-0005-0000-0000-0000F1020000}"/>
    <cellStyle name="20% - Accent1 2 3 5 3" xfId="758" xr:uid="{00000000-0005-0000-0000-0000F2020000}"/>
    <cellStyle name="20% - Accent1 2 3 5 3 2" xfId="759" xr:uid="{00000000-0005-0000-0000-0000F3020000}"/>
    <cellStyle name="20% - Accent1 2 3 5 3 2 2" xfId="760" xr:uid="{00000000-0005-0000-0000-0000F4020000}"/>
    <cellStyle name="20% - Accent1 2 3 5 3 3" xfId="761" xr:uid="{00000000-0005-0000-0000-0000F5020000}"/>
    <cellStyle name="20% - Accent1 2 3 5 4" xfId="762" xr:uid="{00000000-0005-0000-0000-0000F6020000}"/>
    <cellStyle name="20% - Accent1 2 3 5 4 2" xfId="763" xr:uid="{00000000-0005-0000-0000-0000F7020000}"/>
    <cellStyle name="20% - Accent1 2 3 5 5" xfId="764" xr:uid="{00000000-0005-0000-0000-0000F8020000}"/>
    <cellStyle name="20% - Accent1 2 3 6" xfId="765" xr:uid="{00000000-0005-0000-0000-0000F9020000}"/>
    <cellStyle name="20% - Accent1 2 3 6 2" xfId="766" xr:uid="{00000000-0005-0000-0000-0000FA020000}"/>
    <cellStyle name="20% - Accent1 2 3 6 2 2" xfId="767" xr:uid="{00000000-0005-0000-0000-0000FB020000}"/>
    <cellStyle name="20% - Accent1 2 3 6 2 2 2" xfId="768" xr:uid="{00000000-0005-0000-0000-0000FC020000}"/>
    <cellStyle name="20% - Accent1 2 3 6 2 3" xfId="769" xr:uid="{00000000-0005-0000-0000-0000FD020000}"/>
    <cellStyle name="20% - Accent1 2 3 6 3" xfId="770" xr:uid="{00000000-0005-0000-0000-0000FE020000}"/>
    <cellStyle name="20% - Accent1 2 3 6 3 2" xfId="771" xr:uid="{00000000-0005-0000-0000-0000FF020000}"/>
    <cellStyle name="20% - Accent1 2 3 6 4" xfId="772" xr:uid="{00000000-0005-0000-0000-000000030000}"/>
    <cellStyle name="20% - Accent1 2 3 7" xfId="773" xr:uid="{00000000-0005-0000-0000-000001030000}"/>
    <cellStyle name="20% - Accent1 2 3 7 2" xfId="774" xr:uid="{00000000-0005-0000-0000-000002030000}"/>
    <cellStyle name="20% - Accent1 2 3 7 2 2" xfId="775" xr:uid="{00000000-0005-0000-0000-000003030000}"/>
    <cellStyle name="20% - Accent1 2 3 7 3" xfId="776" xr:uid="{00000000-0005-0000-0000-000004030000}"/>
    <cellStyle name="20% - Accent1 2 3 8" xfId="777" xr:uid="{00000000-0005-0000-0000-000005030000}"/>
    <cellStyle name="20% - Accent1 2 3 8 2" xfId="778" xr:uid="{00000000-0005-0000-0000-000006030000}"/>
    <cellStyle name="20% - Accent1 2 3 9" xfId="779" xr:uid="{00000000-0005-0000-0000-000007030000}"/>
    <cellStyle name="20% - Accent1 2 4" xfId="780" xr:uid="{00000000-0005-0000-0000-000008030000}"/>
    <cellStyle name="20% - Accent1 2 4 2" xfId="781" xr:uid="{00000000-0005-0000-0000-000009030000}"/>
    <cellStyle name="20% - Accent1 2 4 2 2" xfId="782" xr:uid="{00000000-0005-0000-0000-00000A030000}"/>
    <cellStyle name="20% - Accent1 2 4 2 2 2" xfId="783" xr:uid="{00000000-0005-0000-0000-00000B030000}"/>
    <cellStyle name="20% - Accent1 2 4 2 2 2 2" xfId="784" xr:uid="{00000000-0005-0000-0000-00000C030000}"/>
    <cellStyle name="20% - Accent1 2 4 2 2 2 2 2" xfId="785" xr:uid="{00000000-0005-0000-0000-00000D030000}"/>
    <cellStyle name="20% - Accent1 2 4 2 2 2 2 2 2" xfId="786" xr:uid="{00000000-0005-0000-0000-00000E030000}"/>
    <cellStyle name="20% - Accent1 2 4 2 2 2 2 2 2 2" xfId="787" xr:uid="{00000000-0005-0000-0000-00000F030000}"/>
    <cellStyle name="20% - Accent1 2 4 2 2 2 2 2 3" xfId="788" xr:uid="{00000000-0005-0000-0000-000010030000}"/>
    <cellStyle name="20% - Accent1 2 4 2 2 2 2 3" xfId="789" xr:uid="{00000000-0005-0000-0000-000011030000}"/>
    <cellStyle name="20% - Accent1 2 4 2 2 2 2 3 2" xfId="790" xr:uid="{00000000-0005-0000-0000-000012030000}"/>
    <cellStyle name="20% - Accent1 2 4 2 2 2 2 4" xfId="791" xr:uid="{00000000-0005-0000-0000-000013030000}"/>
    <cellStyle name="20% - Accent1 2 4 2 2 2 3" xfId="792" xr:uid="{00000000-0005-0000-0000-000014030000}"/>
    <cellStyle name="20% - Accent1 2 4 2 2 2 3 2" xfId="793" xr:uid="{00000000-0005-0000-0000-000015030000}"/>
    <cellStyle name="20% - Accent1 2 4 2 2 2 3 2 2" xfId="794" xr:uid="{00000000-0005-0000-0000-000016030000}"/>
    <cellStyle name="20% - Accent1 2 4 2 2 2 3 3" xfId="795" xr:uid="{00000000-0005-0000-0000-000017030000}"/>
    <cellStyle name="20% - Accent1 2 4 2 2 2 4" xfId="796" xr:uid="{00000000-0005-0000-0000-000018030000}"/>
    <cellStyle name="20% - Accent1 2 4 2 2 2 4 2" xfId="797" xr:uid="{00000000-0005-0000-0000-000019030000}"/>
    <cellStyle name="20% - Accent1 2 4 2 2 2 5" xfId="798" xr:uid="{00000000-0005-0000-0000-00001A030000}"/>
    <cellStyle name="20% - Accent1 2 4 2 2 3" xfId="799" xr:uid="{00000000-0005-0000-0000-00001B030000}"/>
    <cellStyle name="20% - Accent1 2 4 2 2 3 2" xfId="800" xr:uid="{00000000-0005-0000-0000-00001C030000}"/>
    <cellStyle name="20% - Accent1 2 4 2 2 3 2 2" xfId="801" xr:uid="{00000000-0005-0000-0000-00001D030000}"/>
    <cellStyle name="20% - Accent1 2 4 2 2 3 2 2 2" xfId="802" xr:uid="{00000000-0005-0000-0000-00001E030000}"/>
    <cellStyle name="20% - Accent1 2 4 2 2 3 2 3" xfId="803" xr:uid="{00000000-0005-0000-0000-00001F030000}"/>
    <cellStyle name="20% - Accent1 2 4 2 2 3 3" xfId="804" xr:uid="{00000000-0005-0000-0000-000020030000}"/>
    <cellStyle name="20% - Accent1 2 4 2 2 3 3 2" xfId="805" xr:uid="{00000000-0005-0000-0000-000021030000}"/>
    <cellStyle name="20% - Accent1 2 4 2 2 3 4" xfId="806" xr:uid="{00000000-0005-0000-0000-000022030000}"/>
    <cellStyle name="20% - Accent1 2 4 2 2 4" xfId="807" xr:uid="{00000000-0005-0000-0000-000023030000}"/>
    <cellStyle name="20% - Accent1 2 4 2 2 4 2" xfId="808" xr:uid="{00000000-0005-0000-0000-000024030000}"/>
    <cellStyle name="20% - Accent1 2 4 2 2 4 2 2" xfId="809" xr:uid="{00000000-0005-0000-0000-000025030000}"/>
    <cellStyle name="20% - Accent1 2 4 2 2 4 3" xfId="810" xr:uid="{00000000-0005-0000-0000-000026030000}"/>
    <cellStyle name="20% - Accent1 2 4 2 2 5" xfId="811" xr:uid="{00000000-0005-0000-0000-000027030000}"/>
    <cellStyle name="20% - Accent1 2 4 2 2 5 2" xfId="812" xr:uid="{00000000-0005-0000-0000-000028030000}"/>
    <cellStyle name="20% - Accent1 2 4 2 2 6" xfId="813" xr:uid="{00000000-0005-0000-0000-000029030000}"/>
    <cellStyle name="20% - Accent1 2 4 2 3" xfId="814" xr:uid="{00000000-0005-0000-0000-00002A030000}"/>
    <cellStyle name="20% - Accent1 2 4 2 3 2" xfId="815" xr:uid="{00000000-0005-0000-0000-00002B030000}"/>
    <cellStyle name="20% - Accent1 2 4 2 3 2 2" xfId="816" xr:uid="{00000000-0005-0000-0000-00002C030000}"/>
    <cellStyle name="20% - Accent1 2 4 2 3 2 2 2" xfId="817" xr:uid="{00000000-0005-0000-0000-00002D030000}"/>
    <cellStyle name="20% - Accent1 2 4 2 3 2 2 2 2" xfId="818" xr:uid="{00000000-0005-0000-0000-00002E030000}"/>
    <cellStyle name="20% - Accent1 2 4 2 3 2 2 3" xfId="819" xr:uid="{00000000-0005-0000-0000-00002F030000}"/>
    <cellStyle name="20% - Accent1 2 4 2 3 2 3" xfId="820" xr:uid="{00000000-0005-0000-0000-000030030000}"/>
    <cellStyle name="20% - Accent1 2 4 2 3 2 3 2" xfId="821" xr:uid="{00000000-0005-0000-0000-000031030000}"/>
    <cellStyle name="20% - Accent1 2 4 2 3 2 4" xfId="822" xr:uid="{00000000-0005-0000-0000-000032030000}"/>
    <cellStyle name="20% - Accent1 2 4 2 3 3" xfId="823" xr:uid="{00000000-0005-0000-0000-000033030000}"/>
    <cellStyle name="20% - Accent1 2 4 2 3 3 2" xfId="824" xr:uid="{00000000-0005-0000-0000-000034030000}"/>
    <cellStyle name="20% - Accent1 2 4 2 3 3 2 2" xfId="825" xr:uid="{00000000-0005-0000-0000-000035030000}"/>
    <cellStyle name="20% - Accent1 2 4 2 3 3 3" xfId="826" xr:uid="{00000000-0005-0000-0000-000036030000}"/>
    <cellStyle name="20% - Accent1 2 4 2 3 4" xfId="827" xr:uid="{00000000-0005-0000-0000-000037030000}"/>
    <cellStyle name="20% - Accent1 2 4 2 3 4 2" xfId="828" xr:uid="{00000000-0005-0000-0000-000038030000}"/>
    <cellStyle name="20% - Accent1 2 4 2 3 5" xfId="829" xr:uid="{00000000-0005-0000-0000-000039030000}"/>
    <cellStyle name="20% - Accent1 2 4 2 4" xfId="830" xr:uid="{00000000-0005-0000-0000-00003A030000}"/>
    <cellStyle name="20% - Accent1 2 4 2 4 2" xfId="831" xr:uid="{00000000-0005-0000-0000-00003B030000}"/>
    <cellStyle name="20% - Accent1 2 4 2 4 2 2" xfId="832" xr:uid="{00000000-0005-0000-0000-00003C030000}"/>
    <cellStyle name="20% - Accent1 2 4 2 4 2 2 2" xfId="833" xr:uid="{00000000-0005-0000-0000-00003D030000}"/>
    <cellStyle name="20% - Accent1 2 4 2 4 2 3" xfId="834" xr:uid="{00000000-0005-0000-0000-00003E030000}"/>
    <cellStyle name="20% - Accent1 2 4 2 4 3" xfId="835" xr:uid="{00000000-0005-0000-0000-00003F030000}"/>
    <cellStyle name="20% - Accent1 2 4 2 4 3 2" xfId="836" xr:uid="{00000000-0005-0000-0000-000040030000}"/>
    <cellStyle name="20% - Accent1 2 4 2 4 4" xfId="837" xr:uid="{00000000-0005-0000-0000-000041030000}"/>
    <cellStyle name="20% - Accent1 2 4 2 5" xfId="838" xr:uid="{00000000-0005-0000-0000-000042030000}"/>
    <cellStyle name="20% - Accent1 2 4 2 5 2" xfId="839" xr:uid="{00000000-0005-0000-0000-000043030000}"/>
    <cellStyle name="20% - Accent1 2 4 2 5 2 2" xfId="840" xr:uid="{00000000-0005-0000-0000-000044030000}"/>
    <cellStyle name="20% - Accent1 2 4 2 5 3" xfId="841" xr:uid="{00000000-0005-0000-0000-000045030000}"/>
    <cellStyle name="20% - Accent1 2 4 2 6" xfId="842" xr:uid="{00000000-0005-0000-0000-000046030000}"/>
    <cellStyle name="20% - Accent1 2 4 2 6 2" xfId="843" xr:uid="{00000000-0005-0000-0000-000047030000}"/>
    <cellStyle name="20% - Accent1 2 4 2 7" xfId="844" xr:uid="{00000000-0005-0000-0000-000048030000}"/>
    <cellStyle name="20% - Accent1 2 4 3" xfId="845" xr:uid="{00000000-0005-0000-0000-000049030000}"/>
    <cellStyle name="20% - Accent1 2 4 3 2" xfId="846" xr:uid="{00000000-0005-0000-0000-00004A030000}"/>
    <cellStyle name="20% - Accent1 2 4 3 2 2" xfId="847" xr:uid="{00000000-0005-0000-0000-00004B030000}"/>
    <cellStyle name="20% - Accent1 2 4 3 2 2 2" xfId="848" xr:uid="{00000000-0005-0000-0000-00004C030000}"/>
    <cellStyle name="20% - Accent1 2 4 3 2 2 2 2" xfId="849" xr:uid="{00000000-0005-0000-0000-00004D030000}"/>
    <cellStyle name="20% - Accent1 2 4 3 2 2 2 2 2" xfId="850" xr:uid="{00000000-0005-0000-0000-00004E030000}"/>
    <cellStyle name="20% - Accent1 2 4 3 2 2 2 3" xfId="851" xr:uid="{00000000-0005-0000-0000-00004F030000}"/>
    <cellStyle name="20% - Accent1 2 4 3 2 2 3" xfId="852" xr:uid="{00000000-0005-0000-0000-000050030000}"/>
    <cellStyle name="20% - Accent1 2 4 3 2 2 3 2" xfId="853" xr:uid="{00000000-0005-0000-0000-000051030000}"/>
    <cellStyle name="20% - Accent1 2 4 3 2 2 4" xfId="854" xr:uid="{00000000-0005-0000-0000-000052030000}"/>
    <cellStyle name="20% - Accent1 2 4 3 2 3" xfId="855" xr:uid="{00000000-0005-0000-0000-000053030000}"/>
    <cellStyle name="20% - Accent1 2 4 3 2 3 2" xfId="856" xr:uid="{00000000-0005-0000-0000-000054030000}"/>
    <cellStyle name="20% - Accent1 2 4 3 2 3 2 2" xfId="857" xr:uid="{00000000-0005-0000-0000-000055030000}"/>
    <cellStyle name="20% - Accent1 2 4 3 2 3 3" xfId="858" xr:uid="{00000000-0005-0000-0000-000056030000}"/>
    <cellStyle name="20% - Accent1 2 4 3 2 4" xfId="859" xr:uid="{00000000-0005-0000-0000-000057030000}"/>
    <cellStyle name="20% - Accent1 2 4 3 2 4 2" xfId="860" xr:uid="{00000000-0005-0000-0000-000058030000}"/>
    <cellStyle name="20% - Accent1 2 4 3 2 5" xfId="861" xr:uid="{00000000-0005-0000-0000-000059030000}"/>
    <cellStyle name="20% - Accent1 2 4 3 3" xfId="862" xr:uid="{00000000-0005-0000-0000-00005A030000}"/>
    <cellStyle name="20% - Accent1 2 4 3 3 2" xfId="863" xr:uid="{00000000-0005-0000-0000-00005B030000}"/>
    <cellStyle name="20% - Accent1 2 4 3 3 2 2" xfId="864" xr:uid="{00000000-0005-0000-0000-00005C030000}"/>
    <cellStyle name="20% - Accent1 2 4 3 3 2 2 2" xfId="865" xr:uid="{00000000-0005-0000-0000-00005D030000}"/>
    <cellStyle name="20% - Accent1 2 4 3 3 2 3" xfId="866" xr:uid="{00000000-0005-0000-0000-00005E030000}"/>
    <cellStyle name="20% - Accent1 2 4 3 3 3" xfId="867" xr:uid="{00000000-0005-0000-0000-00005F030000}"/>
    <cellStyle name="20% - Accent1 2 4 3 3 3 2" xfId="868" xr:uid="{00000000-0005-0000-0000-000060030000}"/>
    <cellStyle name="20% - Accent1 2 4 3 3 4" xfId="869" xr:uid="{00000000-0005-0000-0000-000061030000}"/>
    <cellStyle name="20% - Accent1 2 4 3 4" xfId="870" xr:uid="{00000000-0005-0000-0000-000062030000}"/>
    <cellStyle name="20% - Accent1 2 4 3 4 2" xfId="871" xr:uid="{00000000-0005-0000-0000-000063030000}"/>
    <cellStyle name="20% - Accent1 2 4 3 4 2 2" xfId="872" xr:uid="{00000000-0005-0000-0000-000064030000}"/>
    <cellStyle name="20% - Accent1 2 4 3 4 3" xfId="873" xr:uid="{00000000-0005-0000-0000-000065030000}"/>
    <cellStyle name="20% - Accent1 2 4 3 5" xfId="874" xr:uid="{00000000-0005-0000-0000-000066030000}"/>
    <cellStyle name="20% - Accent1 2 4 3 5 2" xfId="875" xr:uid="{00000000-0005-0000-0000-000067030000}"/>
    <cellStyle name="20% - Accent1 2 4 3 6" xfId="876" xr:uid="{00000000-0005-0000-0000-000068030000}"/>
    <cellStyle name="20% - Accent1 2 4 4" xfId="877" xr:uid="{00000000-0005-0000-0000-000069030000}"/>
    <cellStyle name="20% - Accent1 2 4 4 2" xfId="878" xr:uid="{00000000-0005-0000-0000-00006A030000}"/>
    <cellStyle name="20% - Accent1 2 4 4 2 2" xfId="879" xr:uid="{00000000-0005-0000-0000-00006B030000}"/>
    <cellStyle name="20% - Accent1 2 4 4 2 2 2" xfId="880" xr:uid="{00000000-0005-0000-0000-00006C030000}"/>
    <cellStyle name="20% - Accent1 2 4 4 2 2 2 2" xfId="881" xr:uid="{00000000-0005-0000-0000-00006D030000}"/>
    <cellStyle name="20% - Accent1 2 4 4 2 2 3" xfId="882" xr:uid="{00000000-0005-0000-0000-00006E030000}"/>
    <cellStyle name="20% - Accent1 2 4 4 2 3" xfId="883" xr:uid="{00000000-0005-0000-0000-00006F030000}"/>
    <cellStyle name="20% - Accent1 2 4 4 2 3 2" xfId="884" xr:uid="{00000000-0005-0000-0000-000070030000}"/>
    <cellStyle name="20% - Accent1 2 4 4 2 4" xfId="885" xr:uid="{00000000-0005-0000-0000-000071030000}"/>
    <cellStyle name="20% - Accent1 2 4 4 3" xfId="886" xr:uid="{00000000-0005-0000-0000-000072030000}"/>
    <cellStyle name="20% - Accent1 2 4 4 3 2" xfId="887" xr:uid="{00000000-0005-0000-0000-000073030000}"/>
    <cellStyle name="20% - Accent1 2 4 4 3 2 2" xfId="888" xr:uid="{00000000-0005-0000-0000-000074030000}"/>
    <cellStyle name="20% - Accent1 2 4 4 3 3" xfId="889" xr:uid="{00000000-0005-0000-0000-000075030000}"/>
    <cellStyle name="20% - Accent1 2 4 4 4" xfId="890" xr:uid="{00000000-0005-0000-0000-000076030000}"/>
    <cellStyle name="20% - Accent1 2 4 4 4 2" xfId="891" xr:uid="{00000000-0005-0000-0000-000077030000}"/>
    <cellStyle name="20% - Accent1 2 4 4 5" xfId="892" xr:uid="{00000000-0005-0000-0000-000078030000}"/>
    <cellStyle name="20% - Accent1 2 4 5" xfId="893" xr:uid="{00000000-0005-0000-0000-000079030000}"/>
    <cellStyle name="20% - Accent1 2 4 5 2" xfId="894" xr:uid="{00000000-0005-0000-0000-00007A030000}"/>
    <cellStyle name="20% - Accent1 2 4 5 2 2" xfId="895" xr:uid="{00000000-0005-0000-0000-00007B030000}"/>
    <cellStyle name="20% - Accent1 2 4 5 2 2 2" xfId="896" xr:uid="{00000000-0005-0000-0000-00007C030000}"/>
    <cellStyle name="20% - Accent1 2 4 5 2 3" xfId="897" xr:uid="{00000000-0005-0000-0000-00007D030000}"/>
    <cellStyle name="20% - Accent1 2 4 5 3" xfId="898" xr:uid="{00000000-0005-0000-0000-00007E030000}"/>
    <cellStyle name="20% - Accent1 2 4 5 3 2" xfId="899" xr:uid="{00000000-0005-0000-0000-00007F030000}"/>
    <cellStyle name="20% - Accent1 2 4 5 4" xfId="900" xr:uid="{00000000-0005-0000-0000-000080030000}"/>
    <cellStyle name="20% - Accent1 2 4 6" xfId="901" xr:uid="{00000000-0005-0000-0000-000081030000}"/>
    <cellStyle name="20% - Accent1 2 4 6 2" xfId="902" xr:uid="{00000000-0005-0000-0000-000082030000}"/>
    <cellStyle name="20% - Accent1 2 4 6 2 2" xfId="903" xr:uid="{00000000-0005-0000-0000-000083030000}"/>
    <cellStyle name="20% - Accent1 2 4 6 3" xfId="904" xr:uid="{00000000-0005-0000-0000-000084030000}"/>
    <cellStyle name="20% - Accent1 2 4 7" xfId="905" xr:uid="{00000000-0005-0000-0000-000085030000}"/>
    <cellStyle name="20% - Accent1 2 4 7 2" xfId="906" xr:uid="{00000000-0005-0000-0000-000086030000}"/>
    <cellStyle name="20% - Accent1 2 4 8" xfId="907" xr:uid="{00000000-0005-0000-0000-000087030000}"/>
    <cellStyle name="20% - Accent1 2 5" xfId="908" xr:uid="{00000000-0005-0000-0000-000088030000}"/>
    <cellStyle name="20% - Accent1 2 5 2" xfId="909" xr:uid="{00000000-0005-0000-0000-000089030000}"/>
    <cellStyle name="20% - Accent1 2 5 2 2" xfId="910" xr:uid="{00000000-0005-0000-0000-00008A030000}"/>
    <cellStyle name="20% - Accent1 2 5 2 2 2" xfId="911" xr:uid="{00000000-0005-0000-0000-00008B030000}"/>
    <cellStyle name="20% - Accent1 2 5 2 2 2 2" xfId="912" xr:uid="{00000000-0005-0000-0000-00008C030000}"/>
    <cellStyle name="20% - Accent1 2 5 2 2 2 2 2" xfId="913" xr:uid="{00000000-0005-0000-0000-00008D030000}"/>
    <cellStyle name="20% - Accent1 2 5 2 2 2 2 2 2" xfId="914" xr:uid="{00000000-0005-0000-0000-00008E030000}"/>
    <cellStyle name="20% - Accent1 2 5 2 2 2 2 3" xfId="915" xr:uid="{00000000-0005-0000-0000-00008F030000}"/>
    <cellStyle name="20% - Accent1 2 5 2 2 2 3" xfId="916" xr:uid="{00000000-0005-0000-0000-000090030000}"/>
    <cellStyle name="20% - Accent1 2 5 2 2 2 3 2" xfId="917" xr:uid="{00000000-0005-0000-0000-000091030000}"/>
    <cellStyle name="20% - Accent1 2 5 2 2 2 4" xfId="918" xr:uid="{00000000-0005-0000-0000-000092030000}"/>
    <cellStyle name="20% - Accent1 2 5 2 2 3" xfId="919" xr:uid="{00000000-0005-0000-0000-000093030000}"/>
    <cellStyle name="20% - Accent1 2 5 2 2 3 2" xfId="920" xr:uid="{00000000-0005-0000-0000-000094030000}"/>
    <cellStyle name="20% - Accent1 2 5 2 2 3 2 2" xfId="921" xr:uid="{00000000-0005-0000-0000-000095030000}"/>
    <cellStyle name="20% - Accent1 2 5 2 2 3 3" xfId="922" xr:uid="{00000000-0005-0000-0000-000096030000}"/>
    <cellStyle name="20% - Accent1 2 5 2 2 4" xfId="923" xr:uid="{00000000-0005-0000-0000-000097030000}"/>
    <cellStyle name="20% - Accent1 2 5 2 2 4 2" xfId="924" xr:uid="{00000000-0005-0000-0000-000098030000}"/>
    <cellStyle name="20% - Accent1 2 5 2 2 5" xfId="925" xr:uid="{00000000-0005-0000-0000-000099030000}"/>
    <cellStyle name="20% - Accent1 2 5 2 3" xfId="926" xr:uid="{00000000-0005-0000-0000-00009A030000}"/>
    <cellStyle name="20% - Accent1 2 5 2 3 2" xfId="927" xr:uid="{00000000-0005-0000-0000-00009B030000}"/>
    <cellStyle name="20% - Accent1 2 5 2 3 2 2" xfId="928" xr:uid="{00000000-0005-0000-0000-00009C030000}"/>
    <cellStyle name="20% - Accent1 2 5 2 3 2 2 2" xfId="929" xr:uid="{00000000-0005-0000-0000-00009D030000}"/>
    <cellStyle name="20% - Accent1 2 5 2 3 2 3" xfId="930" xr:uid="{00000000-0005-0000-0000-00009E030000}"/>
    <cellStyle name="20% - Accent1 2 5 2 3 3" xfId="931" xr:uid="{00000000-0005-0000-0000-00009F030000}"/>
    <cellStyle name="20% - Accent1 2 5 2 3 3 2" xfId="932" xr:uid="{00000000-0005-0000-0000-0000A0030000}"/>
    <cellStyle name="20% - Accent1 2 5 2 3 4" xfId="933" xr:uid="{00000000-0005-0000-0000-0000A1030000}"/>
    <cellStyle name="20% - Accent1 2 5 2 4" xfId="934" xr:uid="{00000000-0005-0000-0000-0000A2030000}"/>
    <cellStyle name="20% - Accent1 2 5 2 4 2" xfId="935" xr:uid="{00000000-0005-0000-0000-0000A3030000}"/>
    <cellStyle name="20% - Accent1 2 5 2 4 2 2" xfId="936" xr:uid="{00000000-0005-0000-0000-0000A4030000}"/>
    <cellStyle name="20% - Accent1 2 5 2 4 3" xfId="937" xr:uid="{00000000-0005-0000-0000-0000A5030000}"/>
    <cellStyle name="20% - Accent1 2 5 2 5" xfId="938" xr:uid="{00000000-0005-0000-0000-0000A6030000}"/>
    <cellStyle name="20% - Accent1 2 5 2 5 2" xfId="939" xr:uid="{00000000-0005-0000-0000-0000A7030000}"/>
    <cellStyle name="20% - Accent1 2 5 2 6" xfId="940" xr:uid="{00000000-0005-0000-0000-0000A8030000}"/>
    <cellStyle name="20% - Accent1 2 5 3" xfId="941" xr:uid="{00000000-0005-0000-0000-0000A9030000}"/>
    <cellStyle name="20% - Accent1 2 5 3 2" xfId="942" xr:uid="{00000000-0005-0000-0000-0000AA030000}"/>
    <cellStyle name="20% - Accent1 2 5 3 2 2" xfId="943" xr:uid="{00000000-0005-0000-0000-0000AB030000}"/>
    <cellStyle name="20% - Accent1 2 5 3 2 2 2" xfId="944" xr:uid="{00000000-0005-0000-0000-0000AC030000}"/>
    <cellStyle name="20% - Accent1 2 5 3 2 2 2 2" xfId="945" xr:uid="{00000000-0005-0000-0000-0000AD030000}"/>
    <cellStyle name="20% - Accent1 2 5 3 2 2 3" xfId="946" xr:uid="{00000000-0005-0000-0000-0000AE030000}"/>
    <cellStyle name="20% - Accent1 2 5 3 2 3" xfId="947" xr:uid="{00000000-0005-0000-0000-0000AF030000}"/>
    <cellStyle name="20% - Accent1 2 5 3 2 3 2" xfId="948" xr:uid="{00000000-0005-0000-0000-0000B0030000}"/>
    <cellStyle name="20% - Accent1 2 5 3 2 4" xfId="949" xr:uid="{00000000-0005-0000-0000-0000B1030000}"/>
    <cellStyle name="20% - Accent1 2 5 3 3" xfId="950" xr:uid="{00000000-0005-0000-0000-0000B2030000}"/>
    <cellStyle name="20% - Accent1 2 5 3 3 2" xfId="951" xr:uid="{00000000-0005-0000-0000-0000B3030000}"/>
    <cellStyle name="20% - Accent1 2 5 3 3 2 2" xfId="952" xr:uid="{00000000-0005-0000-0000-0000B4030000}"/>
    <cellStyle name="20% - Accent1 2 5 3 3 3" xfId="953" xr:uid="{00000000-0005-0000-0000-0000B5030000}"/>
    <cellStyle name="20% - Accent1 2 5 3 4" xfId="954" xr:uid="{00000000-0005-0000-0000-0000B6030000}"/>
    <cellStyle name="20% - Accent1 2 5 3 4 2" xfId="955" xr:uid="{00000000-0005-0000-0000-0000B7030000}"/>
    <cellStyle name="20% - Accent1 2 5 3 5" xfId="956" xr:uid="{00000000-0005-0000-0000-0000B8030000}"/>
    <cellStyle name="20% - Accent1 2 5 4" xfId="957" xr:uid="{00000000-0005-0000-0000-0000B9030000}"/>
    <cellStyle name="20% - Accent1 2 5 4 2" xfId="958" xr:uid="{00000000-0005-0000-0000-0000BA030000}"/>
    <cellStyle name="20% - Accent1 2 5 4 2 2" xfId="959" xr:uid="{00000000-0005-0000-0000-0000BB030000}"/>
    <cellStyle name="20% - Accent1 2 5 4 2 2 2" xfId="960" xr:uid="{00000000-0005-0000-0000-0000BC030000}"/>
    <cellStyle name="20% - Accent1 2 5 4 2 3" xfId="961" xr:uid="{00000000-0005-0000-0000-0000BD030000}"/>
    <cellStyle name="20% - Accent1 2 5 4 3" xfId="962" xr:uid="{00000000-0005-0000-0000-0000BE030000}"/>
    <cellStyle name="20% - Accent1 2 5 4 3 2" xfId="963" xr:uid="{00000000-0005-0000-0000-0000BF030000}"/>
    <cellStyle name="20% - Accent1 2 5 4 4" xfId="964" xr:uid="{00000000-0005-0000-0000-0000C0030000}"/>
    <cellStyle name="20% - Accent1 2 5 5" xfId="965" xr:uid="{00000000-0005-0000-0000-0000C1030000}"/>
    <cellStyle name="20% - Accent1 2 5 5 2" xfId="966" xr:uid="{00000000-0005-0000-0000-0000C2030000}"/>
    <cellStyle name="20% - Accent1 2 5 5 2 2" xfId="967" xr:uid="{00000000-0005-0000-0000-0000C3030000}"/>
    <cellStyle name="20% - Accent1 2 5 5 3" xfId="968" xr:uid="{00000000-0005-0000-0000-0000C4030000}"/>
    <cellStyle name="20% - Accent1 2 5 6" xfId="969" xr:uid="{00000000-0005-0000-0000-0000C5030000}"/>
    <cellStyle name="20% - Accent1 2 5 6 2" xfId="970" xr:uid="{00000000-0005-0000-0000-0000C6030000}"/>
    <cellStyle name="20% - Accent1 2 5 7" xfId="971" xr:uid="{00000000-0005-0000-0000-0000C7030000}"/>
    <cellStyle name="20% - Accent1 2 6" xfId="972" xr:uid="{00000000-0005-0000-0000-0000C8030000}"/>
    <cellStyle name="20% - Accent1 2 6 2" xfId="973" xr:uid="{00000000-0005-0000-0000-0000C9030000}"/>
    <cellStyle name="20% - Accent1 2 6 2 2" xfId="974" xr:uid="{00000000-0005-0000-0000-0000CA030000}"/>
    <cellStyle name="20% - Accent1 2 6 2 2 2" xfId="975" xr:uid="{00000000-0005-0000-0000-0000CB030000}"/>
    <cellStyle name="20% - Accent1 2 6 2 2 2 2" xfId="976" xr:uid="{00000000-0005-0000-0000-0000CC030000}"/>
    <cellStyle name="20% - Accent1 2 6 2 2 2 2 2" xfId="977" xr:uid="{00000000-0005-0000-0000-0000CD030000}"/>
    <cellStyle name="20% - Accent1 2 6 2 2 2 3" xfId="978" xr:uid="{00000000-0005-0000-0000-0000CE030000}"/>
    <cellStyle name="20% - Accent1 2 6 2 2 3" xfId="979" xr:uid="{00000000-0005-0000-0000-0000CF030000}"/>
    <cellStyle name="20% - Accent1 2 6 2 2 3 2" xfId="980" xr:uid="{00000000-0005-0000-0000-0000D0030000}"/>
    <cellStyle name="20% - Accent1 2 6 2 2 4" xfId="981" xr:uid="{00000000-0005-0000-0000-0000D1030000}"/>
    <cellStyle name="20% - Accent1 2 6 2 3" xfId="982" xr:uid="{00000000-0005-0000-0000-0000D2030000}"/>
    <cellStyle name="20% - Accent1 2 6 2 3 2" xfId="983" xr:uid="{00000000-0005-0000-0000-0000D3030000}"/>
    <cellStyle name="20% - Accent1 2 6 2 3 2 2" xfId="984" xr:uid="{00000000-0005-0000-0000-0000D4030000}"/>
    <cellStyle name="20% - Accent1 2 6 2 3 3" xfId="985" xr:uid="{00000000-0005-0000-0000-0000D5030000}"/>
    <cellStyle name="20% - Accent1 2 6 2 4" xfId="986" xr:uid="{00000000-0005-0000-0000-0000D6030000}"/>
    <cellStyle name="20% - Accent1 2 6 2 4 2" xfId="987" xr:uid="{00000000-0005-0000-0000-0000D7030000}"/>
    <cellStyle name="20% - Accent1 2 6 2 5" xfId="988" xr:uid="{00000000-0005-0000-0000-0000D8030000}"/>
    <cellStyle name="20% - Accent1 2 6 3" xfId="989" xr:uid="{00000000-0005-0000-0000-0000D9030000}"/>
    <cellStyle name="20% - Accent1 2 6 3 2" xfId="990" xr:uid="{00000000-0005-0000-0000-0000DA030000}"/>
    <cellStyle name="20% - Accent1 2 6 3 2 2" xfId="991" xr:uid="{00000000-0005-0000-0000-0000DB030000}"/>
    <cellStyle name="20% - Accent1 2 6 3 2 2 2" xfId="992" xr:uid="{00000000-0005-0000-0000-0000DC030000}"/>
    <cellStyle name="20% - Accent1 2 6 3 2 3" xfId="993" xr:uid="{00000000-0005-0000-0000-0000DD030000}"/>
    <cellStyle name="20% - Accent1 2 6 3 3" xfId="994" xr:uid="{00000000-0005-0000-0000-0000DE030000}"/>
    <cellStyle name="20% - Accent1 2 6 3 3 2" xfId="995" xr:uid="{00000000-0005-0000-0000-0000DF030000}"/>
    <cellStyle name="20% - Accent1 2 6 3 4" xfId="996" xr:uid="{00000000-0005-0000-0000-0000E0030000}"/>
    <cellStyle name="20% - Accent1 2 6 4" xfId="997" xr:uid="{00000000-0005-0000-0000-0000E1030000}"/>
    <cellStyle name="20% - Accent1 2 6 4 2" xfId="998" xr:uid="{00000000-0005-0000-0000-0000E2030000}"/>
    <cellStyle name="20% - Accent1 2 6 4 2 2" xfId="999" xr:uid="{00000000-0005-0000-0000-0000E3030000}"/>
    <cellStyle name="20% - Accent1 2 6 4 3" xfId="1000" xr:uid="{00000000-0005-0000-0000-0000E4030000}"/>
    <cellStyle name="20% - Accent1 2 6 5" xfId="1001" xr:uid="{00000000-0005-0000-0000-0000E5030000}"/>
    <cellStyle name="20% - Accent1 2 6 5 2" xfId="1002" xr:uid="{00000000-0005-0000-0000-0000E6030000}"/>
    <cellStyle name="20% - Accent1 2 6 6" xfId="1003" xr:uid="{00000000-0005-0000-0000-0000E7030000}"/>
    <cellStyle name="20% - Accent1 2 7" xfId="1004" xr:uid="{00000000-0005-0000-0000-0000E8030000}"/>
    <cellStyle name="20% - Accent1 2 7 2" xfId="1005" xr:uid="{00000000-0005-0000-0000-0000E9030000}"/>
    <cellStyle name="20% - Accent1 2 7 2 2" xfId="1006" xr:uid="{00000000-0005-0000-0000-0000EA030000}"/>
    <cellStyle name="20% - Accent1 2 7 2 2 2" xfId="1007" xr:uid="{00000000-0005-0000-0000-0000EB030000}"/>
    <cellStyle name="20% - Accent1 2 7 2 2 2 2" xfId="1008" xr:uid="{00000000-0005-0000-0000-0000EC030000}"/>
    <cellStyle name="20% - Accent1 2 7 2 2 3" xfId="1009" xr:uid="{00000000-0005-0000-0000-0000ED030000}"/>
    <cellStyle name="20% - Accent1 2 7 2 3" xfId="1010" xr:uid="{00000000-0005-0000-0000-0000EE030000}"/>
    <cellStyle name="20% - Accent1 2 7 2 3 2" xfId="1011" xr:uid="{00000000-0005-0000-0000-0000EF030000}"/>
    <cellStyle name="20% - Accent1 2 7 2 4" xfId="1012" xr:uid="{00000000-0005-0000-0000-0000F0030000}"/>
    <cellStyle name="20% - Accent1 2 7 3" xfId="1013" xr:uid="{00000000-0005-0000-0000-0000F1030000}"/>
    <cellStyle name="20% - Accent1 2 7 3 2" xfId="1014" xr:uid="{00000000-0005-0000-0000-0000F2030000}"/>
    <cellStyle name="20% - Accent1 2 7 3 2 2" xfId="1015" xr:uid="{00000000-0005-0000-0000-0000F3030000}"/>
    <cellStyle name="20% - Accent1 2 7 3 3" xfId="1016" xr:uid="{00000000-0005-0000-0000-0000F4030000}"/>
    <cellStyle name="20% - Accent1 2 7 4" xfId="1017" xr:uid="{00000000-0005-0000-0000-0000F5030000}"/>
    <cellStyle name="20% - Accent1 2 7 4 2" xfId="1018" xr:uid="{00000000-0005-0000-0000-0000F6030000}"/>
    <cellStyle name="20% - Accent1 2 7 5" xfId="1019" xr:uid="{00000000-0005-0000-0000-0000F7030000}"/>
    <cellStyle name="20% - Accent1 2 8" xfId="1020" xr:uid="{00000000-0005-0000-0000-0000F8030000}"/>
    <cellStyle name="20% - Accent1 2 8 2" xfId="1021" xr:uid="{00000000-0005-0000-0000-0000F9030000}"/>
    <cellStyle name="20% - Accent1 2 8 2 2" xfId="1022" xr:uid="{00000000-0005-0000-0000-0000FA030000}"/>
    <cellStyle name="20% - Accent1 2 8 2 2 2" xfId="1023" xr:uid="{00000000-0005-0000-0000-0000FB030000}"/>
    <cellStyle name="20% - Accent1 2 8 2 3" xfId="1024" xr:uid="{00000000-0005-0000-0000-0000FC030000}"/>
    <cellStyle name="20% - Accent1 2 8 3" xfId="1025" xr:uid="{00000000-0005-0000-0000-0000FD030000}"/>
    <cellStyle name="20% - Accent1 2 8 3 2" xfId="1026" xr:uid="{00000000-0005-0000-0000-0000FE030000}"/>
    <cellStyle name="20% - Accent1 2 8 4" xfId="1027" xr:uid="{00000000-0005-0000-0000-0000FF030000}"/>
    <cellStyle name="20% - Accent1 2 9" xfId="1028" xr:uid="{00000000-0005-0000-0000-000000040000}"/>
    <cellStyle name="20% - Accent1 2 9 2" xfId="1029" xr:uid="{00000000-0005-0000-0000-000001040000}"/>
    <cellStyle name="20% - Accent1 2 9 2 2" xfId="1030" xr:uid="{00000000-0005-0000-0000-000002040000}"/>
    <cellStyle name="20% - Accent1 2 9 3" xfId="1031" xr:uid="{00000000-0005-0000-0000-000003040000}"/>
    <cellStyle name="20% - Accent1 3" xfId="1032" xr:uid="{00000000-0005-0000-0000-000004040000}"/>
    <cellStyle name="20% - Accent1 4" xfId="1033" xr:uid="{00000000-0005-0000-0000-000005040000}"/>
    <cellStyle name="20% - Accent1 5" xfId="1034" xr:uid="{00000000-0005-0000-0000-000006040000}"/>
    <cellStyle name="20% - Accent1 6" xfId="1035" xr:uid="{00000000-0005-0000-0000-000007040000}"/>
    <cellStyle name="20% - Accent1 7" xfId="1036" xr:uid="{00000000-0005-0000-0000-000008040000}"/>
    <cellStyle name="20% - Accent1 8" xfId="1037" xr:uid="{00000000-0005-0000-0000-000009040000}"/>
    <cellStyle name="20% - Accent1 9" xfId="1038" xr:uid="{00000000-0005-0000-0000-00000A040000}"/>
    <cellStyle name="20% - Accent2 10" xfId="1039" xr:uid="{00000000-0005-0000-0000-00000B040000}"/>
    <cellStyle name="20% - Accent2 11" xfId="1040" xr:uid="{00000000-0005-0000-0000-00000C040000}"/>
    <cellStyle name="20% - Accent2 12" xfId="1041" xr:uid="{00000000-0005-0000-0000-00000D040000}"/>
    <cellStyle name="20% - Accent2 13" xfId="1042" xr:uid="{00000000-0005-0000-0000-00000E040000}"/>
    <cellStyle name="20% - Accent2 2" xfId="1043" xr:uid="{00000000-0005-0000-0000-00000F040000}"/>
    <cellStyle name="20% - Accent2 2 10" xfId="1044" xr:uid="{00000000-0005-0000-0000-000010040000}"/>
    <cellStyle name="20% - Accent2 2 10 2" xfId="1045" xr:uid="{00000000-0005-0000-0000-000011040000}"/>
    <cellStyle name="20% - Accent2 2 11" xfId="1046" xr:uid="{00000000-0005-0000-0000-000012040000}"/>
    <cellStyle name="20% - Accent2 2 2" xfId="1047" xr:uid="{00000000-0005-0000-0000-000013040000}"/>
    <cellStyle name="20% - Accent2 2 2 10" xfId="1048" xr:uid="{00000000-0005-0000-0000-000014040000}"/>
    <cellStyle name="20% - Accent2 2 2 2" xfId="1049" xr:uid="{00000000-0005-0000-0000-000015040000}"/>
    <cellStyle name="20% - Accent2 2 2 2 2" xfId="1050" xr:uid="{00000000-0005-0000-0000-000016040000}"/>
    <cellStyle name="20% - Accent2 2 2 2 2 2" xfId="1051" xr:uid="{00000000-0005-0000-0000-000017040000}"/>
    <cellStyle name="20% - Accent2 2 2 2 2 2 2" xfId="1052" xr:uid="{00000000-0005-0000-0000-000018040000}"/>
    <cellStyle name="20% - Accent2 2 2 2 2 2 2 2" xfId="1053" xr:uid="{00000000-0005-0000-0000-000019040000}"/>
    <cellStyle name="20% - Accent2 2 2 2 2 2 2 2 2" xfId="1054" xr:uid="{00000000-0005-0000-0000-00001A040000}"/>
    <cellStyle name="20% - Accent2 2 2 2 2 2 2 2 2 2" xfId="1055" xr:uid="{00000000-0005-0000-0000-00001B040000}"/>
    <cellStyle name="20% - Accent2 2 2 2 2 2 2 2 2 2 2" xfId="1056" xr:uid="{00000000-0005-0000-0000-00001C040000}"/>
    <cellStyle name="20% - Accent2 2 2 2 2 2 2 2 2 2 2 2" xfId="1057" xr:uid="{00000000-0005-0000-0000-00001D040000}"/>
    <cellStyle name="20% - Accent2 2 2 2 2 2 2 2 2 2 3" xfId="1058" xr:uid="{00000000-0005-0000-0000-00001E040000}"/>
    <cellStyle name="20% - Accent2 2 2 2 2 2 2 2 2 3" xfId="1059" xr:uid="{00000000-0005-0000-0000-00001F040000}"/>
    <cellStyle name="20% - Accent2 2 2 2 2 2 2 2 2 3 2" xfId="1060" xr:uid="{00000000-0005-0000-0000-000020040000}"/>
    <cellStyle name="20% - Accent2 2 2 2 2 2 2 2 2 4" xfId="1061" xr:uid="{00000000-0005-0000-0000-000021040000}"/>
    <cellStyle name="20% - Accent2 2 2 2 2 2 2 2 3" xfId="1062" xr:uid="{00000000-0005-0000-0000-000022040000}"/>
    <cellStyle name="20% - Accent2 2 2 2 2 2 2 2 3 2" xfId="1063" xr:uid="{00000000-0005-0000-0000-000023040000}"/>
    <cellStyle name="20% - Accent2 2 2 2 2 2 2 2 3 2 2" xfId="1064" xr:uid="{00000000-0005-0000-0000-000024040000}"/>
    <cellStyle name="20% - Accent2 2 2 2 2 2 2 2 3 3" xfId="1065" xr:uid="{00000000-0005-0000-0000-000025040000}"/>
    <cellStyle name="20% - Accent2 2 2 2 2 2 2 2 4" xfId="1066" xr:uid="{00000000-0005-0000-0000-000026040000}"/>
    <cellStyle name="20% - Accent2 2 2 2 2 2 2 2 4 2" xfId="1067" xr:uid="{00000000-0005-0000-0000-000027040000}"/>
    <cellStyle name="20% - Accent2 2 2 2 2 2 2 2 5" xfId="1068" xr:uid="{00000000-0005-0000-0000-000028040000}"/>
    <cellStyle name="20% - Accent2 2 2 2 2 2 2 3" xfId="1069" xr:uid="{00000000-0005-0000-0000-000029040000}"/>
    <cellStyle name="20% - Accent2 2 2 2 2 2 2 3 2" xfId="1070" xr:uid="{00000000-0005-0000-0000-00002A040000}"/>
    <cellStyle name="20% - Accent2 2 2 2 2 2 2 3 2 2" xfId="1071" xr:uid="{00000000-0005-0000-0000-00002B040000}"/>
    <cellStyle name="20% - Accent2 2 2 2 2 2 2 3 2 2 2" xfId="1072" xr:uid="{00000000-0005-0000-0000-00002C040000}"/>
    <cellStyle name="20% - Accent2 2 2 2 2 2 2 3 2 3" xfId="1073" xr:uid="{00000000-0005-0000-0000-00002D040000}"/>
    <cellStyle name="20% - Accent2 2 2 2 2 2 2 3 3" xfId="1074" xr:uid="{00000000-0005-0000-0000-00002E040000}"/>
    <cellStyle name="20% - Accent2 2 2 2 2 2 2 3 3 2" xfId="1075" xr:uid="{00000000-0005-0000-0000-00002F040000}"/>
    <cellStyle name="20% - Accent2 2 2 2 2 2 2 3 4" xfId="1076" xr:uid="{00000000-0005-0000-0000-000030040000}"/>
    <cellStyle name="20% - Accent2 2 2 2 2 2 2 4" xfId="1077" xr:uid="{00000000-0005-0000-0000-000031040000}"/>
    <cellStyle name="20% - Accent2 2 2 2 2 2 2 4 2" xfId="1078" xr:uid="{00000000-0005-0000-0000-000032040000}"/>
    <cellStyle name="20% - Accent2 2 2 2 2 2 2 4 2 2" xfId="1079" xr:uid="{00000000-0005-0000-0000-000033040000}"/>
    <cellStyle name="20% - Accent2 2 2 2 2 2 2 4 3" xfId="1080" xr:uid="{00000000-0005-0000-0000-000034040000}"/>
    <cellStyle name="20% - Accent2 2 2 2 2 2 2 5" xfId="1081" xr:uid="{00000000-0005-0000-0000-000035040000}"/>
    <cellStyle name="20% - Accent2 2 2 2 2 2 2 5 2" xfId="1082" xr:uid="{00000000-0005-0000-0000-000036040000}"/>
    <cellStyle name="20% - Accent2 2 2 2 2 2 2 6" xfId="1083" xr:uid="{00000000-0005-0000-0000-000037040000}"/>
    <cellStyle name="20% - Accent2 2 2 2 2 2 3" xfId="1084" xr:uid="{00000000-0005-0000-0000-000038040000}"/>
    <cellStyle name="20% - Accent2 2 2 2 2 2 3 2" xfId="1085" xr:uid="{00000000-0005-0000-0000-000039040000}"/>
    <cellStyle name="20% - Accent2 2 2 2 2 2 3 2 2" xfId="1086" xr:uid="{00000000-0005-0000-0000-00003A040000}"/>
    <cellStyle name="20% - Accent2 2 2 2 2 2 3 2 2 2" xfId="1087" xr:uid="{00000000-0005-0000-0000-00003B040000}"/>
    <cellStyle name="20% - Accent2 2 2 2 2 2 3 2 2 2 2" xfId="1088" xr:uid="{00000000-0005-0000-0000-00003C040000}"/>
    <cellStyle name="20% - Accent2 2 2 2 2 2 3 2 2 3" xfId="1089" xr:uid="{00000000-0005-0000-0000-00003D040000}"/>
    <cellStyle name="20% - Accent2 2 2 2 2 2 3 2 3" xfId="1090" xr:uid="{00000000-0005-0000-0000-00003E040000}"/>
    <cellStyle name="20% - Accent2 2 2 2 2 2 3 2 3 2" xfId="1091" xr:uid="{00000000-0005-0000-0000-00003F040000}"/>
    <cellStyle name="20% - Accent2 2 2 2 2 2 3 2 4" xfId="1092" xr:uid="{00000000-0005-0000-0000-000040040000}"/>
    <cellStyle name="20% - Accent2 2 2 2 2 2 3 3" xfId="1093" xr:uid="{00000000-0005-0000-0000-000041040000}"/>
    <cellStyle name="20% - Accent2 2 2 2 2 2 3 3 2" xfId="1094" xr:uid="{00000000-0005-0000-0000-000042040000}"/>
    <cellStyle name="20% - Accent2 2 2 2 2 2 3 3 2 2" xfId="1095" xr:uid="{00000000-0005-0000-0000-000043040000}"/>
    <cellStyle name="20% - Accent2 2 2 2 2 2 3 3 3" xfId="1096" xr:uid="{00000000-0005-0000-0000-000044040000}"/>
    <cellStyle name="20% - Accent2 2 2 2 2 2 3 4" xfId="1097" xr:uid="{00000000-0005-0000-0000-000045040000}"/>
    <cellStyle name="20% - Accent2 2 2 2 2 2 3 4 2" xfId="1098" xr:uid="{00000000-0005-0000-0000-000046040000}"/>
    <cellStyle name="20% - Accent2 2 2 2 2 2 3 5" xfId="1099" xr:uid="{00000000-0005-0000-0000-000047040000}"/>
    <cellStyle name="20% - Accent2 2 2 2 2 2 4" xfId="1100" xr:uid="{00000000-0005-0000-0000-000048040000}"/>
    <cellStyle name="20% - Accent2 2 2 2 2 2 4 2" xfId="1101" xr:uid="{00000000-0005-0000-0000-000049040000}"/>
    <cellStyle name="20% - Accent2 2 2 2 2 2 4 2 2" xfId="1102" xr:uid="{00000000-0005-0000-0000-00004A040000}"/>
    <cellStyle name="20% - Accent2 2 2 2 2 2 4 2 2 2" xfId="1103" xr:uid="{00000000-0005-0000-0000-00004B040000}"/>
    <cellStyle name="20% - Accent2 2 2 2 2 2 4 2 3" xfId="1104" xr:uid="{00000000-0005-0000-0000-00004C040000}"/>
    <cellStyle name="20% - Accent2 2 2 2 2 2 4 3" xfId="1105" xr:uid="{00000000-0005-0000-0000-00004D040000}"/>
    <cellStyle name="20% - Accent2 2 2 2 2 2 4 3 2" xfId="1106" xr:uid="{00000000-0005-0000-0000-00004E040000}"/>
    <cellStyle name="20% - Accent2 2 2 2 2 2 4 4" xfId="1107" xr:uid="{00000000-0005-0000-0000-00004F040000}"/>
    <cellStyle name="20% - Accent2 2 2 2 2 2 5" xfId="1108" xr:uid="{00000000-0005-0000-0000-000050040000}"/>
    <cellStyle name="20% - Accent2 2 2 2 2 2 5 2" xfId="1109" xr:uid="{00000000-0005-0000-0000-000051040000}"/>
    <cellStyle name="20% - Accent2 2 2 2 2 2 5 2 2" xfId="1110" xr:uid="{00000000-0005-0000-0000-000052040000}"/>
    <cellStyle name="20% - Accent2 2 2 2 2 2 5 3" xfId="1111" xr:uid="{00000000-0005-0000-0000-000053040000}"/>
    <cellStyle name="20% - Accent2 2 2 2 2 2 6" xfId="1112" xr:uid="{00000000-0005-0000-0000-000054040000}"/>
    <cellStyle name="20% - Accent2 2 2 2 2 2 6 2" xfId="1113" xr:uid="{00000000-0005-0000-0000-000055040000}"/>
    <cellStyle name="20% - Accent2 2 2 2 2 2 7" xfId="1114" xr:uid="{00000000-0005-0000-0000-000056040000}"/>
    <cellStyle name="20% - Accent2 2 2 2 2 3" xfId="1115" xr:uid="{00000000-0005-0000-0000-000057040000}"/>
    <cellStyle name="20% - Accent2 2 2 2 2 3 2" xfId="1116" xr:uid="{00000000-0005-0000-0000-000058040000}"/>
    <cellStyle name="20% - Accent2 2 2 2 2 3 2 2" xfId="1117" xr:uid="{00000000-0005-0000-0000-000059040000}"/>
    <cellStyle name="20% - Accent2 2 2 2 2 3 2 2 2" xfId="1118" xr:uid="{00000000-0005-0000-0000-00005A040000}"/>
    <cellStyle name="20% - Accent2 2 2 2 2 3 2 2 2 2" xfId="1119" xr:uid="{00000000-0005-0000-0000-00005B040000}"/>
    <cellStyle name="20% - Accent2 2 2 2 2 3 2 2 2 2 2" xfId="1120" xr:uid="{00000000-0005-0000-0000-00005C040000}"/>
    <cellStyle name="20% - Accent2 2 2 2 2 3 2 2 2 3" xfId="1121" xr:uid="{00000000-0005-0000-0000-00005D040000}"/>
    <cellStyle name="20% - Accent2 2 2 2 2 3 2 2 3" xfId="1122" xr:uid="{00000000-0005-0000-0000-00005E040000}"/>
    <cellStyle name="20% - Accent2 2 2 2 2 3 2 2 3 2" xfId="1123" xr:uid="{00000000-0005-0000-0000-00005F040000}"/>
    <cellStyle name="20% - Accent2 2 2 2 2 3 2 2 4" xfId="1124" xr:uid="{00000000-0005-0000-0000-000060040000}"/>
    <cellStyle name="20% - Accent2 2 2 2 2 3 2 3" xfId="1125" xr:uid="{00000000-0005-0000-0000-000061040000}"/>
    <cellStyle name="20% - Accent2 2 2 2 2 3 2 3 2" xfId="1126" xr:uid="{00000000-0005-0000-0000-000062040000}"/>
    <cellStyle name="20% - Accent2 2 2 2 2 3 2 3 2 2" xfId="1127" xr:uid="{00000000-0005-0000-0000-000063040000}"/>
    <cellStyle name="20% - Accent2 2 2 2 2 3 2 3 3" xfId="1128" xr:uid="{00000000-0005-0000-0000-000064040000}"/>
    <cellStyle name="20% - Accent2 2 2 2 2 3 2 4" xfId="1129" xr:uid="{00000000-0005-0000-0000-000065040000}"/>
    <cellStyle name="20% - Accent2 2 2 2 2 3 2 4 2" xfId="1130" xr:uid="{00000000-0005-0000-0000-000066040000}"/>
    <cellStyle name="20% - Accent2 2 2 2 2 3 2 5" xfId="1131" xr:uid="{00000000-0005-0000-0000-000067040000}"/>
    <cellStyle name="20% - Accent2 2 2 2 2 3 3" xfId="1132" xr:uid="{00000000-0005-0000-0000-000068040000}"/>
    <cellStyle name="20% - Accent2 2 2 2 2 3 3 2" xfId="1133" xr:uid="{00000000-0005-0000-0000-000069040000}"/>
    <cellStyle name="20% - Accent2 2 2 2 2 3 3 2 2" xfId="1134" xr:uid="{00000000-0005-0000-0000-00006A040000}"/>
    <cellStyle name="20% - Accent2 2 2 2 2 3 3 2 2 2" xfId="1135" xr:uid="{00000000-0005-0000-0000-00006B040000}"/>
    <cellStyle name="20% - Accent2 2 2 2 2 3 3 2 3" xfId="1136" xr:uid="{00000000-0005-0000-0000-00006C040000}"/>
    <cellStyle name="20% - Accent2 2 2 2 2 3 3 3" xfId="1137" xr:uid="{00000000-0005-0000-0000-00006D040000}"/>
    <cellStyle name="20% - Accent2 2 2 2 2 3 3 3 2" xfId="1138" xr:uid="{00000000-0005-0000-0000-00006E040000}"/>
    <cellStyle name="20% - Accent2 2 2 2 2 3 3 4" xfId="1139" xr:uid="{00000000-0005-0000-0000-00006F040000}"/>
    <cellStyle name="20% - Accent2 2 2 2 2 3 4" xfId="1140" xr:uid="{00000000-0005-0000-0000-000070040000}"/>
    <cellStyle name="20% - Accent2 2 2 2 2 3 4 2" xfId="1141" xr:uid="{00000000-0005-0000-0000-000071040000}"/>
    <cellStyle name="20% - Accent2 2 2 2 2 3 4 2 2" xfId="1142" xr:uid="{00000000-0005-0000-0000-000072040000}"/>
    <cellStyle name="20% - Accent2 2 2 2 2 3 4 3" xfId="1143" xr:uid="{00000000-0005-0000-0000-000073040000}"/>
    <cellStyle name="20% - Accent2 2 2 2 2 3 5" xfId="1144" xr:uid="{00000000-0005-0000-0000-000074040000}"/>
    <cellStyle name="20% - Accent2 2 2 2 2 3 5 2" xfId="1145" xr:uid="{00000000-0005-0000-0000-000075040000}"/>
    <cellStyle name="20% - Accent2 2 2 2 2 3 6" xfId="1146" xr:uid="{00000000-0005-0000-0000-000076040000}"/>
    <cellStyle name="20% - Accent2 2 2 2 2 4" xfId="1147" xr:uid="{00000000-0005-0000-0000-000077040000}"/>
    <cellStyle name="20% - Accent2 2 2 2 2 4 2" xfId="1148" xr:uid="{00000000-0005-0000-0000-000078040000}"/>
    <cellStyle name="20% - Accent2 2 2 2 2 4 2 2" xfId="1149" xr:uid="{00000000-0005-0000-0000-000079040000}"/>
    <cellStyle name="20% - Accent2 2 2 2 2 4 2 2 2" xfId="1150" xr:uid="{00000000-0005-0000-0000-00007A040000}"/>
    <cellStyle name="20% - Accent2 2 2 2 2 4 2 2 2 2" xfId="1151" xr:uid="{00000000-0005-0000-0000-00007B040000}"/>
    <cellStyle name="20% - Accent2 2 2 2 2 4 2 2 3" xfId="1152" xr:uid="{00000000-0005-0000-0000-00007C040000}"/>
    <cellStyle name="20% - Accent2 2 2 2 2 4 2 3" xfId="1153" xr:uid="{00000000-0005-0000-0000-00007D040000}"/>
    <cellStyle name="20% - Accent2 2 2 2 2 4 2 3 2" xfId="1154" xr:uid="{00000000-0005-0000-0000-00007E040000}"/>
    <cellStyle name="20% - Accent2 2 2 2 2 4 2 4" xfId="1155" xr:uid="{00000000-0005-0000-0000-00007F040000}"/>
    <cellStyle name="20% - Accent2 2 2 2 2 4 3" xfId="1156" xr:uid="{00000000-0005-0000-0000-000080040000}"/>
    <cellStyle name="20% - Accent2 2 2 2 2 4 3 2" xfId="1157" xr:uid="{00000000-0005-0000-0000-000081040000}"/>
    <cellStyle name="20% - Accent2 2 2 2 2 4 3 2 2" xfId="1158" xr:uid="{00000000-0005-0000-0000-000082040000}"/>
    <cellStyle name="20% - Accent2 2 2 2 2 4 3 3" xfId="1159" xr:uid="{00000000-0005-0000-0000-000083040000}"/>
    <cellStyle name="20% - Accent2 2 2 2 2 4 4" xfId="1160" xr:uid="{00000000-0005-0000-0000-000084040000}"/>
    <cellStyle name="20% - Accent2 2 2 2 2 4 4 2" xfId="1161" xr:uid="{00000000-0005-0000-0000-000085040000}"/>
    <cellStyle name="20% - Accent2 2 2 2 2 4 5" xfId="1162" xr:uid="{00000000-0005-0000-0000-000086040000}"/>
    <cellStyle name="20% - Accent2 2 2 2 2 5" xfId="1163" xr:uid="{00000000-0005-0000-0000-000087040000}"/>
    <cellStyle name="20% - Accent2 2 2 2 2 5 2" xfId="1164" xr:uid="{00000000-0005-0000-0000-000088040000}"/>
    <cellStyle name="20% - Accent2 2 2 2 2 5 2 2" xfId="1165" xr:uid="{00000000-0005-0000-0000-000089040000}"/>
    <cellStyle name="20% - Accent2 2 2 2 2 5 2 2 2" xfId="1166" xr:uid="{00000000-0005-0000-0000-00008A040000}"/>
    <cellStyle name="20% - Accent2 2 2 2 2 5 2 3" xfId="1167" xr:uid="{00000000-0005-0000-0000-00008B040000}"/>
    <cellStyle name="20% - Accent2 2 2 2 2 5 3" xfId="1168" xr:uid="{00000000-0005-0000-0000-00008C040000}"/>
    <cellStyle name="20% - Accent2 2 2 2 2 5 3 2" xfId="1169" xr:uid="{00000000-0005-0000-0000-00008D040000}"/>
    <cellStyle name="20% - Accent2 2 2 2 2 5 4" xfId="1170" xr:uid="{00000000-0005-0000-0000-00008E040000}"/>
    <cellStyle name="20% - Accent2 2 2 2 2 6" xfId="1171" xr:uid="{00000000-0005-0000-0000-00008F040000}"/>
    <cellStyle name="20% - Accent2 2 2 2 2 6 2" xfId="1172" xr:uid="{00000000-0005-0000-0000-000090040000}"/>
    <cellStyle name="20% - Accent2 2 2 2 2 6 2 2" xfId="1173" xr:uid="{00000000-0005-0000-0000-000091040000}"/>
    <cellStyle name="20% - Accent2 2 2 2 2 6 3" xfId="1174" xr:uid="{00000000-0005-0000-0000-000092040000}"/>
    <cellStyle name="20% - Accent2 2 2 2 2 7" xfId="1175" xr:uid="{00000000-0005-0000-0000-000093040000}"/>
    <cellStyle name="20% - Accent2 2 2 2 2 7 2" xfId="1176" xr:uid="{00000000-0005-0000-0000-000094040000}"/>
    <cellStyle name="20% - Accent2 2 2 2 2 8" xfId="1177" xr:uid="{00000000-0005-0000-0000-000095040000}"/>
    <cellStyle name="20% - Accent2 2 2 2 3" xfId="1178" xr:uid="{00000000-0005-0000-0000-000096040000}"/>
    <cellStyle name="20% - Accent2 2 2 2 3 2" xfId="1179" xr:uid="{00000000-0005-0000-0000-000097040000}"/>
    <cellStyle name="20% - Accent2 2 2 2 3 2 2" xfId="1180" xr:uid="{00000000-0005-0000-0000-000098040000}"/>
    <cellStyle name="20% - Accent2 2 2 2 3 2 2 2" xfId="1181" xr:uid="{00000000-0005-0000-0000-000099040000}"/>
    <cellStyle name="20% - Accent2 2 2 2 3 2 2 2 2" xfId="1182" xr:uid="{00000000-0005-0000-0000-00009A040000}"/>
    <cellStyle name="20% - Accent2 2 2 2 3 2 2 2 2 2" xfId="1183" xr:uid="{00000000-0005-0000-0000-00009B040000}"/>
    <cellStyle name="20% - Accent2 2 2 2 3 2 2 2 2 2 2" xfId="1184" xr:uid="{00000000-0005-0000-0000-00009C040000}"/>
    <cellStyle name="20% - Accent2 2 2 2 3 2 2 2 2 3" xfId="1185" xr:uid="{00000000-0005-0000-0000-00009D040000}"/>
    <cellStyle name="20% - Accent2 2 2 2 3 2 2 2 3" xfId="1186" xr:uid="{00000000-0005-0000-0000-00009E040000}"/>
    <cellStyle name="20% - Accent2 2 2 2 3 2 2 2 3 2" xfId="1187" xr:uid="{00000000-0005-0000-0000-00009F040000}"/>
    <cellStyle name="20% - Accent2 2 2 2 3 2 2 2 4" xfId="1188" xr:uid="{00000000-0005-0000-0000-0000A0040000}"/>
    <cellStyle name="20% - Accent2 2 2 2 3 2 2 3" xfId="1189" xr:uid="{00000000-0005-0000-0000-0000A1040000}"/>
    <cellStyle name="20% - Accent2 2 2 2 3 2 2 3 2" xfId="1190" xr:uid="{00000000-0005-0000-0000-0000A2040000}"/>
    <cellStyle name="20% - Accent2 2 2 2 3 2 2 3 2 2" xfId="1191" xr:uid="{00000000-0005-0000-0000-0000A3040000}"/>
    <cellStyle name="20% - Accent2 2 2 2 3 2 2 3 3" xfId="1192" xr:uid="{00000000-0005-0000-0000-0000A4040000}"/>
    <cellStyle name="20% - Accent2 2 2 2 3 2 2 4" xfId="1193" xr:uid="{00000000-0005-0000-0000-0000A5040000}"/>
    <cellStyle name="20% - Accent2 2 2 2 3 2 2 4 2" xfId="1194" xr:uid="{00000000-0005-0000-0000-0000A6040000}"/>
    <cellStyle name="20% - Accent2 2 2 2 3 2 2 5" xfId="1195" xr:uid="{00000000-0005-0000-0000-0000A7040000}"/>
    <cellStyle name="20% - Accent2 2 2 2 3 2 3" xfId="1196" xr:uid="{00000000-0005-0000-0000-0000A8040000}"/>
    <cellStyle name="20% - Accent2 2 2 2 3 2 3 2" xfId="1197" xr:uid="{00000000-0005-0000-0000-0000A9040000}"/>
    <cellStyle name="20% - Accent2 2 2 2 3 2 3 2 2" xfId="1198" xr:uid="{00000000-0005-0000-0000-0000AA040000}"/>
    <cellStyle name="20% - Accent2 2 2 2 3 2 3 2 2 2" xfId="1199" xr:uid="{00000000-0005-0000-0000-0000AB040000}"/>
    <cellStyle name="20% - Accent2 2 2 2 3 2 3 2 3" xfId="1200" xr:uid="{00000000-0005-0000-0000-0000AC040000}"/>
    <cellStyle name="20% - Accent2 2 2 2 3 2 3 3" xfId="1201" xr:uid="{00000000-0005-0000-0000-0000AD040000}"/>
    <cellStyle name="20% - Accent2 2 2 2 3 2 3 3 2" xfId="1202" xr:uid="{00000000-0005-0000-0000-0000AE040000}"/>
    <cellStyle name="20% - Accent2 2 2 2 3 2 3 4" xfId="1203" xr:uid="{00000000-0005-0000-0000-0000AF040000}"/>
    <cellStyle name="20% - Accent2 2 2 2 3 2 4" xfId="1204" xr:uid="{00000000-0005-0000-0000-0000B0040000}"/>
    <cellStyle name="20% - Accent2 2 2 2 3 2 4 2" xfId="1205" xr:uid="{00000000-0005-0000-0000-0000B1040000}"/>
    <cellStyle name="20% - Accent2 2 2 2 3 2 4 2 2" xfId="1206" xr:uid="{00000000-0005-0000-0000-0000B2040000}"/>
    <cellStyle name="20% - Accent2 2 2 2 3 2 4 3" xfId="1207" xr:uid="{00000000-0005-0000-0000-0000B3040000}"/>
    <cellStyle name="20% - Accent2 2 2 2 3 2 5" xfId="1208" xr:uid="{00000000-0005-0000-0000-0000B4040000}"/>
    <cellStyle name="20% - Accent2 2 2 2 3 2 5 2" xfId="1209" xr:uid="{00000000-0005-0000-0000-0000B5040000}"/>
    <cellStyle name="20% - Accent2 2 2 2 3 2 6" xfId="1210" xr:uid="{00000000-0005-0000-0000-0000B6040000}"/>
    <cellStyle name="20% - Accent2 2 2 2 3 3" xfId="1211" xr:uid="{00000000-0005-0000-0000-0000B7040000}"/>
    <cellStyle name="20% - Accent2 2 2 2 3 3 2" xfId="1212" xr:uid="{00000000-0005-0000-0000-0000B8040000}"/>
    <cellStyle name="20% - Accent2 2 2 2 3 3 2 2" xfId="1213" xr:uid="{00000000-0005-0000-0000-0000B9040000}"/>
    <cellStyle name="20% - Accent2 2 2 2 3 3 2 2 2" xfId="1214" xr:uid="{00000000-0005-0000-0000-0000BA040000}"/>
    <cellStyle name="20% - Accent2 2 2 2 3 3 2 2 2 2" xfId="1215" xr:uid="{00000000-0005-0000-0000-0000BB040000}"/>
    <cellStyle name="20% - Accent2 2 2 2 3 3 2 2 3" xfId="1216" xr:uid="{00000000-0005-0000-0000-0000BC040000}"/>
    <cellStyle name="20% - Accent2 2 2 2 3 3 2 3" xfId="1217" xr:uid="{00000000-0005-0000-0000-0000BD040000}"/>
    <cellStyle name="20% - Accent2 2 2 2 3 3 2 3 2" xfId="1218" xr:uid="{00000000-0005-0000-0000-0000BE040000}"/>
    <cellStyle name="20% - Accent2 2 2 2 3 3 2 4" xfId="1219" xr:uid="{00000000-0005-0000-0000-0000BF040000}"/>
    <cellStyle name="20% - Accent2 2 2 2 3 3 3" xfId="1220" xr:uid="{00000000-0005-0000-0000-0000C0040000}"/>
    <cellStyle name="20% - Accent2 2 2 2 3 3 3 2" xfId="1221" xr:uid="{00000000-0005-0000-0000-0000C1040000}"/>
    <cellStyle name="20% - Accent2 2 2 2 3 3 3 2 2" xfId="1222" xr:uid="{00000000-0005-0000-0000-0000C2040000}"/>
    <cellStyle name="20% - Accent2 2 2 2 3 3 3 3" xfId="1223" xr:uid="{00000000-0005-0000-0000-0000C3040000}"/>
    <cellStyle name="20% - Accent2 2 2 2 3 3 4" xfId="1224" xr:uid="{00000000-0005-0000-0000-0000C4040000}"/>
    <cellStyle name="20% - Accent2 2 2 2 3 3 4 2" xfId="1225" xr:uid="{00000000-0005-0000-0000-0000C5040000}"/>
    <cellStyle name="20% - Accent2 2 2 2 3 3 5" xfId="1226" xr:uid="{00000000-0005-0000-0000-0000C6040000}"/>
    <cellStyle name="20% - Accent2 2 2 2 3 4" xfId="1227" xr:uid="{00000000-0005-0000-0000-0000C7040000}"/>
    <cellStyle name="20% - Accent2 2 2 2 3 4 2" xfId="1228" xr:uid="{00000000-0005-0000-0000-0000C8040000}"/>
    <cellStyle name="20% - Accent2 2 2 2 3 4 2 2" xfId="1229" xr:uid="{00000000-0005-0000-0000-0000C9040000}"/>
    <cellStyle name="20% - Accent2 2 2 2 3 4 2 2 2" xfId="1230" xr:uid="{00000000-0005-0000-0000-0000CA040000}"/>
    <cellStyle name="20% - Accent2 2 2 2 3 4 2 3" xfId="1231" xr:uid="{00000000-0005-0000-0000-0000CB040000}"/>
    <cellStyle name="20% - Accent2 2 2 2 3 4 3" xfId="1232" xr:uid="{00000000-0005-0000-0000-0000CC040000}"/>
    <cellStyle name="20% - Accent2 2 2 2 3 4 3 2" xfId="1233" xr:uid="{00000000-0005-0000-0000-0000CD040000}"/>
    <cellStyle name="20% - Accent2 2 2 2 3 4 4" xfId="1234" xr:uid="{00000000-0005-0000-0000-0000CE040000}"/>
    <cellStyle name="20% - Accent2 2 2 2 3 5" xfId="1235" xr:uid="{00000000-0005-0000-0000-0000CF040000}"/>
    <cellStyle name="20% - Accent2 2 2 2 3 5 2" xfId="1236" xr:uid="{00000000-0005-0000-0000-0000D0040000}"/>
    <cellStyle name="20% - Accent2 2 2 2 3 5 2 2" xfId="1237" xr:uid="{00000000-0005-0000-0000-0000D1040000}"/>
    <cellStyle name="20% - Accent2 2 2 2 3 5 3" xfId="1238" xr:uid="{00000000-0005-0000-0000-0000D2040000}"/>
    <cellStyle name="20% - Accent2 2 2 2 3 6" xfId="1239" xr:uid="{00000000-0005-0000-0000-0000D3040000}"/>
    <cellStyle name="20% - Accent2 2 2 2 3 6 2" xfId="1240" xr:uid="{00000000-0005-0000-0000-0000D4040000}"/>
    <cellStyle name="20% - Accent2 2 2 2 3 7" xfId="1241" xr:uid="{00000000-0005-0000-0000-0000D5040000}"/>
    <cellStyle name="20% - Accent2 2 2 2 4" xfId="1242" xr:uid="{00000000-0005-0000-0000-0000D6040000}"/>
    <cellStyle name="20% - Accent2 2 2 2 4 2" xfId="1243" xr:uid="{00000000-0005-0000-0000-0000D7040000}"/>
    <cellStyle name="20% - Accent2 2 2 2 4 2 2" xfId="1244" xr:uid="{00000000-0005-0000-0000-0000D8040000}"/>
    <cellStyle name="20% - Accent2 2 2 2 4 2 2 2" xfId="1245" xr:uid="{00000000-0005-0000-0000-0000D9040000}"/>
    <cellStyle name="20% - Accent2 2 2 2 4 2 2 2 2" xfId="1246" xr:uid="{00000000-0005-0000-0000-0000DA040000}"/>
    <cellStyle name="20% - Accent2 2 2 2 4 2 2 2 2 2" xfId="1247" xr:uid="{00000000-0005-0000-0000-0000DB040000}"/>
    <cellStyle name="20% - Accent2 2 2 2 4 2 2 2 3" xfId="1248" xr:uid="{00000000-0005-0000-0000-0000DC040000}"/>
    <cellStyle name="20% - Accent2 2 2 2 4 2 2 3" xfId="1249" xr:uid="{00000000-0005-0000-0000-0000DD040000}"/>
    <cellStyle name="20% - Accent2 2 2 2 4 2 2 3 2" xfId="1250" xr:uid="{00000000-0005-0000-0000-0000DE040000}"/>
    <cellStyle name="20% - Accent2 2 2 2 4 2 2 4" xfId="1251" xr:uid="{00000000-0005-0000-0000-0000DF040000}"/>
    <cellStyle name="20% - Accent2 2 2 2 4 2 3" xfId="1252" xr:uid="{00000000-0005-0000-0000-0000E0040000}"/>
    <cellStyle name="20% - Accent2 2 2 2 4 2 3 2" xfId="1253" xr:uid="{00000000-0005-0000-0000-0000E1040000}"/>
    <cellStyle name="20% - Accent2 2 2 2 4 2 3 2 2" xfId="1254" xr:uid="{00000000-0005-0000-0000-0000E2040000}"/>
    <cellStyle name="20% - Accent2 2 2 2 4 2 3 3" xfId="1255" xr:uid="{00000000-0005-0000-0000-0000E3040000}"/>
    <cellStyle name="20% - Accent2 2 2 2 4 2 4" xfId="1256" xr:uid="{00000000-0005-0000-0000-0000E4040000}"/>
    <cellStyle name="20% - Accent2 2 2 2 4 2 4 2" xfId="1257" xr:uid="{00000000-0005-0000-0000-0000E5040000}"/>
    <cellStyle name="20% - Accent2 2 2 2 4 2 5" xfId="1258" xr:uid="{00000000-0005-0000-0000-0000E6040000}"/>
    <cellStyle name="20% - Accent2 2 2 2 4 3" xfId="1259" xr:uid="{00000000-0005-0000-0000-0000E7040000}"/>
    <cellStyle name="20% - Accent2 2 2 2 4 3 2" xfId="1260" xr:uid="{00000000-0005-0000-0000-0000E8040000}"/>
    <cellStyle name="20% - Accent2 2 2 2 4 3 2 2" xfId="1261" xr:uid="{00000000-0005-0000-0000-0000E9040000}"/>
    <cellStyle name="20% - Accent2 2 2 2 4 3 2 2 2" xfId="1262" xr:uid="{00000000-0005-0000-0000-0000EA040000}"/>
    <cellStyle name="20% - Accent2 2 2 2 4 3 2 3" xfId="1263" xr:uid="{00000000-0005-0000-0000-0000EB040000}"/>
    <cellStyle name="20% - Accent2 2 2 2 4 3 3" xfId="1264" xr:uid="{00000000-0005-0000-0000-0000EC040000}"/>
    <cellStyle name="20% - Accent2 2 2 2 4 3 3 2" xfId="1265" xr:uid="{00000000-0005-0000-0000-0000ED040000}"/>
    <cellStyle name="20% - Accent2 2 2 2 4 3 4" xfId="1266" xr:uid="{00000000-0005-0000-0000-0000EE040000}"/>
    <cellStyle name="20% - Accent2 2 2 2 4 4" xfId="1267" xr:uid="{00000000-0005-0000-0000-0000EF040000}"/>
    <cellStyle name="20% - Accent2 2 2 2 4 4 2" xfId="1268" xr:uid="{00000000-0005-0000-0000-0000F0040000}"/>
    <cellStyle name="20% - Accent2 2 2 2 4 4 2 2" xfId="1269" xr:uid="{00000000-0005-0000-0000-0000F1040000}"/>
    <cellStyle name="20% - Accent2 2 2 2 4 4 3" xfId="1270" xr:uid="{00000000-0005-0000-0000-0000F2040000}"/>
    <cellStyle name="20% - Accent2 2 2 2 4 5" xfId="1271" xr:uid="{00000000-0005-0000-0000-0000F3040000}"/>
    <cellStyle name="20% - Accent2 2 2 2 4 5 2" xfId="1272" xr:uid="{00000000-0005-0000-0000-0000F4040000}"/>
    <cellStyle name="20% - Accent2 2 2 2 4 6" xfId="1273" xr:uid="{00000000-0005-0000-0000-0000F5040000}"/>
    <cellStyle name="20% - Accent2 2 2 2 5" xfId="1274" xr:uid="{00000000-0005-0000-0000-0000F6040000}"/>
    <cellStyle name="20% - Accent2 2 2 2 5 2" xfId="1275" xr:uid="{00000000-0005-0000-0000-0000F7040000}"/>
    <cellStyle name="20% - Accent2 2 2 2 5 2 2" xfId="1276" xr:uid="{00000000-0005-0000-0000-0000F8040000}"/>
    <cellStyle name="20% - Accent2 2 2 2 5 2 2 2" xfId="1277" xr:uid="{00000000-0005-0000-0000-0000F9040000}"/>
    <cellStyle name="20% - Accent2 2 2 2 5 2 2 2 2" xfId="1278" xr:uid="{00000000-0005-0000-0000-0000FA040000}"/>
    <cellStyle name="20% - Accent2 2 2 2 5 2 2 3" xfId="1279" xr:uid="{00000000-0005-0000-0000-0000FB040000}"/>
    <cellStyle name="20% - Accent2 2 2 2 5 2 3" xfId="1280" xr:uid="{00000000-0005-0000-0000-0000FC040000}"/>
    <cellStyle name="20% - Accent2 2 2 2 5 2 3 2" xfId="1281" xr:uid="{00000000-0005-0000-0000-0000FD040000}"/>
    <cellStyle name="20% - Accent2 2 2 2 5 2 4" xfId="1282" xr:uid="{00000000-0005-0000-0000-0000FE040000}"/>
    <cellStyle name="20% - Accent2 2 2 2 5 3" xfId="1283" xr:uid="{00000000-0005-0000-0000-0000FF040000}"/>
    <cellStyle name="20% - Accent2 2 2 2 5 3 2" xfId="1284" xr:uid="{00000000-0005-0000-0000-000000050000}"/>
    <cellStyle name="20% - Accent2 2 2 2 5 3 2 2" xfId="1285" xr:uid="{00000000-0005-0000-0000-000001050000}"/>
    <cellStyle name="20% - Accent2 2 2 2 5 3 3" xfId="1286" xr:uid="{00000000-0005-0000-0000-000002050000}"/>
    <cellStyle name="20% - Accent2 2 2 2 5 4" xfId="1287" xr:uid="{00000000-0005-0000-0000-000003050000}"/>
    <cellStyle name="20% - Accent2 2 2 2 5 4 2" xfId="1288" xr:uid="{00000000-0005-0000-0000-000004050000}"/>
    <cellStyle name="20% - Accent2 2 2 2 5 5" xfId="1289" xr:uid="{00000000-0005-0000-0000-000005050000}"/>
    <cellStyle name="20% - Accent2 2 2 2 6" xfId="1290" xr:uid="{00000000-0005-0000-0000-000006050000}"/>
    <cellStyle name="20% - Accent2 2 2 2 6 2" xfId="1291" xr:uid="{00000000-0005-0000-0000-000007050000}"/>
    <cellStyle name="20% - Accent2 2 2 2 6 2 2" xfId="1292" xr:uid="{00000000-0005-0000-0000-000008050000}"/>
    <cellStyle name="20% - Accent2 2 2 2 6 2 2 2" xfId="1293" xr:uid="{00000000-0005-0000-0000-000009050000}"/>
    <cellStyle name="20% - Accent2 2 2 2 6 2 3" xfId="1294" xr:uid="{00000000-0005-0000-0000-00000A050000}"/>
    <cellStyle name="20% - Accent2 2 2 2 6 3" xfId="1295" xr:uid="{00000000-0005-0000-0000-00000B050000}"/>
    <cellStyle name="20% - Accent2 2 2 2 6 3 2" xfId="1296" xr:uid="{00000000-0005-0000-0000-00000C050000}"/>
    <cellStyle name="20% - Accent2 2 2 2 6 4" xfId="1297" xr:uid="{00000000-0005-0000-0000-00000D050000}"/>
    <cellStyle name="20% - Accent2 2 2 2 7" xfId="1298" xr:uid="{00000000-0005-0000-0000-00000E050000}"/>
    <cellStyle name="20% - Accent2 2 2 2 7 2" xfId="1299" xr:uid="{00000000-0005-0000-0000-00000F050000}"/>
    <cellStyle name="20% - Accent2 2 2 2 7 2 2" xfId="1300" xr:uid="{00000000-0005-0000-0000-000010050000}"/>
    <cellStyle name="20% - Accent2 2 2 2 7 3" xfId="1301" xr:uid="{00000000-0005-0000-0000-000011050000}"/>
    <cellStyle name="20% - Accent2 2 2 2 8" xfId="1302" xr:uid="{00000000-0005-0000-0000-000012050000}"/>
    <cellStyle name="20% - Accent2 2 2 2 8 2" xfId="1303" xr:uid="{00000000-0005-0000-0000-000013050000}"/>
    <cellStyle name="20% - Accent2 2 2 2 9" xfId="1304" xr:uid="{00000000-0005-0000-0000-000014050000}"/>
    <cellStyle name="20% - Accent2 2 2 3" xfId="1305" xr:uid="{00000000-0005-0000-0000-000015050000}"/>
    <cellStyle name="20% - Accent2 2 2 3 2" xfId="1306" xr:uid="{00000000-0005-0000-0000-000016050000}"/>
    <cellStyle name="20% - Accent2 2 2 3 2 2" xfId="1307" xr:uid="{00000000-0005-0000-0000-000017050000}"/>
    <cellStyle name="20% - Accent2 2 2 3 2 2 2" xfId="1308" xr:uid="{00000000-0005-0000-0000-000018050000}"/>
    <cellStyle name="20% - Accent2 2 2 3 2 2 2 2" xfId="1309" xr:uid="{00000000-0005-0000-0000-000019050000}"/>
    <cellStyle name="20% - Accent2 2 2 3 2 2 2 2 2" xfId="1310" xr:uid="{00000000-0005-0000-0000-00001A050000}"/>
    <cellStyle name="20% - Accent2 2 2 3 2 2 2 2 2 2" xfId="1311" xr:uid="{00000000-0005-0000-0000-00001B050000}"/>
    <cellStyle name="20% - Accent2 2 2 3 2 2 2 2 2 2 2" xfId="1312" xr:uid="{00000000-0005-0000-0000-00001C050000}"/>
    <cellStyle name="20% - Accent2 2 2 3 2 2 2 2 2 3" xfId="1313" xr:uid="{00000000-0005-0000-0000-00001D050000}"/>
    <cellStyle name="20% - Accent2 2 2 3 2 2 2 2 3" xfId="1314" xr:uid="{00000000-0005-0000-0000-00001E050000}"/>
    <cellStyle name="20% - Accent2 2 2 3 2 2 2 2 3 2" xfId="1315" xr:uid="{00000000-0005-0000-0000-00001F050000}"/>
    <cellStyle name="20% - Accent2 2 2 3 2 2 2 2 4" xfId="1316" xr:uid="{00000000-0005-0000-0000-000020050000}"/>
    <cellStyle name="20% - Accent2 2 2 3 2 2 2 3" xfId="1317" xr:uid="{00000000-0005-0000-0000-000021050000}"/>
    <cellStyle name="20% - Accent2 2 2 3 2 2 2 3 2" xfId="1318" xr:uid="{00000000-0005-0000-0000-000022050000}"/>
    <cellStyle name="20% - Accent2 2 2 3 2 2 2 3 2 2" xfId="1319" xr:uid="{00000000-0005-0000-0000-000023050000}"/>
    <cellStyle name="20% - Accent2 2 2 3 2 2 2 3 3" xfId="1320" xr:uid="{00000000-0005-0000-0000-000024050000}"/>
    <cellStyle name="20% - Accent2 2 2 3 2 2 2 4" xfId="1321" xr:uid="{00000000-0005-0000-0000-000025050000}"/>
    <cellStyle name="20% - Accent2 2 2 3 2 2 2 4 2" xfId="1322" xr:uid="{00000000-0005-0000-0000-000026050000}"/>
    <cellStyle name="20% - Accent2 2 2 3 2 2 2 5" xfId="1323" xr:uid="{00000000-0005-0000-0000-000027050000}"/>
    <cellStyle name="20% - Accent2 2 2 3 2 2 3" xfId="1324" xr:uid="{00000000-0005-0000-0000-000028050000}"/>
    <cellStyle name="20% - Accent2 2 2 3 2 2 3 2" xfId="1325" xr:uid="{00000000-0005-0000-0000-000029050000}"/>
    <cellStyle name="20% - Accent2 2 2 3 2 2 3 2 2" xfId="1326" xr:uid="{00000000-0005-0000-0000-00002A050000}"/>
    <cellStyle name="20% - Accent2 2 2 3 2 2 3 2 2 2" xfId="1327" xr:uid="{00000000-0005-0000-0000-00002B050000}"/>
    <cellStyle name="20% - Accent2 2 2 3 2 2 3 2 3" xfId="1328" xr:uid="{00000000-0005-0000-0000-00002C050000}"/>
    <cellStyle name="20% - Accent2 2 2 3 2 2 3 3" xfId="1329" xr:uid="{00000000-0005-0000-0000-00002D050000}"/>
    <cellStyle name="20% - Accent2 2 2 3 2 2 3 3 2" xfId="1330" xr:uid="{00000000-0005-0000-0000-00002E050000}"/>
    <cellStyle name="20% - Accent2 2 2 3 2 2 3 4" xfId="1331" xr:uid="{00000000-0005-0000-0000-00002F050000}"/>
    <cellStyle name="20% - Accent2 2 2 3 2 2 4" xfId="1332" xr:uid="{00000000-0005-0000-0000-000030050000}"/>
    <cellStyle name="20% - Accent2 2 2 3 2 2 4 2" xfId="1333" xr:uid="{00000000-0005-0000-0000-000031050000}"/>
    <cellStyle name="20% - Accent2 2 2 3 2 2 4 2 2" xfId="1334" xr:uid="{00000000-0005-0000-0000-000032050000}"/>
    <cellStyle name="20% - Accent2 2 2 3 2 2 4 3" xfId="1335" xr:uid="{00000000-0005-0000-0000-000033050000}"/>
    <cellStyle name="20% - Accent2 2 2 3 2 2 5" xfId="1336" xr:uid="{00000000-0005-0000-0000-000034050000}"/>
    <cellStyle name="20% - Accent2 2 2 3 2 2 5 2" xfId="1337" xr:uid="{00000000-0005-0000-0000-000035050000}"/>
    <cellStyle name="20% - Accent2 2 2 3 2 2 6" xfId="1338" xr:uid="{00000000-0005-0000-0000-000036050000}"/>
    <cellStyle name="20% - Accent2 2 2 3 2 3" xfId="1339" xr:uid="{00000000-0005-0000-0000-000037050000}"/>
    <cellStyle name="20% - Accent2 2 2 3 2 3 2" xfId="1340" xr:uid="{00000000-0005-0000-0000-000038050000}"/>
    <cellStyle name="20% - Accent2 2 2 3 2 3 2 2" xfId="1341" xr:uid="{00000000-0005-0000-0000-000039050000}"/>
    <cellStyle name="20% - Accent2 2 2 3 2 3 2 2 2" xfId="1342" xr:uid="{00000000-0005-0000-0000-00003A050000}"/>
    <cellStyle name="20% - Accent2 2 2 3 2 3 2 2 2 2" xfId="1343" xr:uid="{00000000-0005-0000-0000-00003B050000}"/>
    <cellStyle name="20% - Accent2 2 2 3 2 3 2 2 3" xfId="1344" xr:uid="{00000000-0005-0000-0000-00003C050000}"/>
    <cellStyle name="20% - Accent2 2 2 3 2 3 2 3" xfId="1345" xr:uid="{00000000-0005-0000-0000-00003D050000}"/>
    <cellStyle name="20% - Accent2 2 2 3 2 3 2 3 2" xfId="1346" xr:uid="{00000000-0005-0000-0000-00003E050000}"/>
    <cellStyle name="20% - Accent2 2 2 3 2 3 2 4" xfId="1347" xr:uid="{00000000-0005-0000-0000-00003F050000}"/>
    <cellStyle name="20% - Accent2 2 2 3 2 3 3" xfId="1348" xr:uid="{00000000-0005-0000-0000-000040050000}"/>
    <cellStyle name="20% - Accent2 2 2 3 2 3 3 2" xfId="1349" xr:uid="{00000000-0005-0000-0000-000041050000}"/>
    <cellStyle name="20% - Accent2 2 2 3 2 3 3 2 2" xfId="1350" xr:uid="{00000000-0005-0000-0000-000042050000}"/>
    <cellStyle name="20% - Accent2 2 2 3 2 3 3 3" xfId="1351" xr:uid="{00000000-0005-0000-0000-000043050000}"/>
    <cellStyle name="20% - Accent2 2 2 3 2 3 4" xfId="1352" xr:uid="{00000000-0005-0000-0000-000044050000}"/>
    <cellStyle name="20% - Accent2 2 2 3 2 3 4 2" xfId="1353" xr:uid="{00000000-0005-0000-0000-000045050000}"/>
    <cellStyle name="20% - Accent2 2 2 3 2 3 5" xfId="1354" xr:uid="{00000000-0005-0000-0000-000046050000}"/>
    <cellStyle name="20% - Accent2 2 2 3 2 4" xfId="1355" xr:uid="{00000000-0005-0000-0000-000047050000}"/>
    <cellStyle name="20% - Accent2 2 2 3 2 4 2" xfId="1356" xr:uid="{00000000-0005-0000-0000-000048050000}"/>
    <cellStyle name="20% - Accent2 2 2 3 2 4 2 2" xfId="1357" xr:uid="{00000000-0005-0000-0000-000049050000}"/>
    <cellStyle name="20% - Accent2 2 2 3 2 4 2 2 2" xfId="1358" xr:uid="{00000000-0005-0000-0000-00004A050000}"/>
    <cellStyle name="20% - Accent2 2 2 3 2 4 2 3" xfId="1359" xr:uid="{00000000-0005-0000-0000-00004B050000}"/>
    <cellStyle name="20% - Accent2 2 2 3 2 4 3" xfId="1360" xr:uid="{00000000-0005-0000-0000-00004C050000}"/>
    <cellStyle name="20% - Accent2 2 2 3 2 4 3 2" xfId="1361" xr:uid="{00000000-0005-0000-0000-00004D050000}"/>
    <cellStyle name="20% - Accent2 2 2 3 2 4 4" xfId="1362" xr:uid="{00000000-0005-0000-0000-00004E050000}"/>
    <cellStyle name="20% - Accent2 2 2 3 2 5" xfId="1363" xr:uid="{00000000-0005-0000-0000-00004F050000}"/>
    <cellStyle name="20% - Accent2 2 2 3 2 5 2" xfId="1364" xr:uid="{00000000-0005-0000-0000-000050050000}"/>
    <cellStyle name="20% - Accent2 2 2 3 2 5 2 2" xfId="1365" xr:uid="{00000000-0005-0000-0000-000051050000}"/>
    <cellStyle name="20% - Accent2 2 2 3 2 5 3" xfId="1366" xr:uid="{00000000-0005-0000-0000-000052050000}"/>
    <cellStyle name="20% - Accent2 2 2 3 2 6" xfId="1367" xr:uid="{00000000-0005-0000-0000-000053050000}"/>
    <cellStyle name="20% - Accent2 2 2 3 2 6 2" xfId="1368" xr:uid="{00000000-0005-0000-0000-000054050000}"/>
    <cellStyle name="20% - Accent2 2 2 3 2 7" xfId="1369" xr:uid="{00000000-0005-0000-0000-000055050000}"/>
    <cellStyle name="20% - Accent2 2 2 3 3" xfId="1370" xr:uid="{00000000-0005-0000-0000-000056050000}"/>
    <cellStyle name="20% - Accent2 2 2 3 3 2" xfId="1371" xr:uid="{00000000-0005-0000-0000-000057050000}"/>
    <cellStyle name="20% - Accent2 2 2 3 3 2 2" xfId="1372" xr:uid="{00000000-0005-0000-0000-000058050000}"/>
    <cellStyle name="20% - Accent2 2 2 3 3 2 2 2" xfId="1373" xr:uid="{00000000-0005-0000-0000-000059050000}"/>
    <cellStyle name="20% - Accent2 2 2 3 3 2 2 2 2" xfId="1374" xr:uid="{00000000-0005-0000-0000-00005A050000}"/>
    <cellStyle name="20% - Accent2 2 2 3 3 2 2 2 2 2" xfId="1375" xr:uid="{00000000-0005-0000-0000-00005B050000}"/>
    <cellStyle name="20% - Accent2 2 2 3 3 2 2 2 3" xfId="1376" xr:uid="{00000000-0005-0000-0000-00005C050000}"/>
    <cellStyle name="20% - Accent2 2 2 3 3 2 2 3" xfId="1377" xr:uid="{00000000-0005-0000-0000-00005D050000}"/>
    <cellStyle name="20% - Accent2 2 2 3 3 2 2 3 2" xfId="1378" xr:uid="{00000000-0005-0000-0000-00005E050000}"/>
    <cellStyle name="20% - Accent2 2 2 3 3 2 2 4" xfId="1379" xr:uid="{00000000-0005-0000-0000-00005F050000}"/>
    <cellStyle name="20% - Accent2 2 2 3 3 2 3" xfId="1380" xr:uid="{00000000-0005-0000-0000-000060050000}"/>
    <cellStyle name="20% - Accent2 2 2 3 3 2 3 2" xfId="1381" xr:uid="{00000000-0005-0000-0000-000061050000}"/>
    <cellStyle name="20% - Accent2 2 2 3 3 2 3 2 2" xfId="1382" xr:uid="{00000000-0005-0000-0000-000062050000}"/>
    <cellStyle name="20% - Accent2 2 2 3 3 2 3 3" xfId="1383" xr:uid="{00000000-0005-0000-0000-000063050000}"/>
    <cellStyle name="20% - Accent2 2 2 3 3 2 4" xfId="1384" xr:uid="{00000000-0005-0000-0000-000064050000}"/>
    <cellStyle name="20% - Accent2 2 2 3 3 2 4 2" xfId="1385" xr:uid="{00000000-0005-0000-0000-000065050000}"/>
    <cellStyle name="20% - Accent2 2 2 3 3 2 5" xfId="1386" xr:uid="{00000000-0005-0000-0000-000066050000}"/>
    <cellStyle name="20% - Accent2 2 2 3 3 3" xfId="1387" xr:uid="{00000000-0005-0000-0000-000067050000}"/>
    <cellStyle name="20% - Accent2 2 2 3 3 3 2" xfId="1388" xr:uid="{00000000-0005-0000-0000-000068050000}"/>
    <cellStyle name="20% - Accent2 2 2 3 3 3 2 2" xfId="1389" xr:uid="{00000000-0005-0000-0000-000069050000}"/>
    <cellStyle name="20% - Accent2 2 2 3 3 3 2 2 2" xfId="1390" xr:uid="{00000000-0005-0000-0000-00006A050000}"/>
    <cellStyle name="20% - Accent2 2 2 3 3 3 2 3" xfId="1391" xr:uid="{00000000-0005-0000-0000-00006B050000}"/>
    <cellStyle name="20% - Accent2 2 2 3 3 3 3" xfId="1392" xr:uid="{00000000-0005-0000-0000-00006C050000}"/>
    <cellStyle name="20% - Accent2 2 2 3 3 3 3 2" xfId="1393" xr:uid="{00000000-0005-0000-0000-00006D050000}"/>
    <cellStyle name="20% - Accent2 2 2 3 3 3 4" xfId="1394" xr:uid="{00000000-0005-0000-0000-00006E050000}"/>
    <cellStyle name="20% - Accent2 2 2 3 3 4" xfId="1395" xr:uid="{00000000-0005-0000-0000-00006F050000}"/>
    <cellStyle name="20% - Accent2 2 2 3 3 4 2" xfId="1396" xr:uid="{00000000-0005-0000-0000-000070050000}"/>
    <cellStyle name="20% - Accent2 2 2 3 3 4 2 2" xfId="1397" xr:uid="{00000000-0005-0000-0000-000071050000}"/>
    <cellStyle name="20% - Accent2 2 2 3 3 4 3" xfId="1398" xr:uid="{00000000-0005-0000-0000-000072050000}"/>
    <cellStyle name="20% - Accent2 2 2 3 3 5" xfId="1399" xr:uid="{00000000-0005-0000-0000-000073050000}"/>
    <cellStyle name="20% - Accent2 2 2 3 3 5 2" xfId="1400" xr:uid="{00000000-0005-0000-0000-000074050000}"/>
    <cellStyle name="20% - Accent2 2 2 3 3 6" xfId="1401" xr:uid="{00000000-0005-0000-0000-000075050000}"/>
    <cellStyle name="20% - Accent2 2 2 3 4" xfId="1402" xr:uid="{00000000-0005-0000-0000-000076050000}"/>
    <cellStyle name="20% - Accent2 2 2 3 4 2" xfId="1403" xr:uid="{00000000-0005-0000-0000-000077050000}"/>
    <cellStyle name="20% - Accent2 2 2 3 4 2 2" xfId="1404" xr:uid="{00000000-0005-0000-0000-000078050000}"/>
    <cellStyle name="20% - Accent2 2 2 3 4 2 2 2" xfId="1405" xr:uid="{00000000-0005-0000-0000-000079050000}"/>
    <cellStyle name="20% - Accent2 2 2 3 4 2 2 2 2" xfId="1406" xr:uid="{00000000-0005-0000-0000-00007A050000}"/>
    <cellStyle name="20% - Accent2 2 2 3 4 2 2 3" xfId="1407" xr:uid="{00000000-0005-0000-0000-00007B050000}"/>
    <cellStyle name="20% - Accent2 2 2 3 4 2 3" xfId="1408" xr:uid="{00000000-0005-0000-0000-00007C050000}"/>
    <cellStyle name="20% - Accent2 2 2 3 4 2 3 2" xfId="1409" xr:uid="{00000000-0005-0000-0000-00007D050000}"/>
    <cellStyle name="20% - Accent2 2 2 3 4 2 4" xfId="1410" xr:uid="{00000000-0005-0000-0000-00007E050000}"/>
    <cellStyle name="20% - Accent2 2 2 3 4 3" xfId="1411" xr:uid="{00000000-0005-0000-0000-00007F050000}"/>
    <cellStyle name="20% - Accent2 2 2 3 4 3 2" xfId="1412" xr:uid="{00000000-0005-0000-0000-000080050000}"/>
    <cellStyle name="20% - Accent2 2 2 3 4 3 2 2" xfId="1413" xr:uid="{00000000-0005-0000-0000-000081050000}"/>
    <cellStyle name="20% - Accent2 2 2 3 4 3 3" xfId="1414" xr:uid="{00000000-0005-0000-0000-000082050000}"/>
    <cellStyle name="20% - Accent2 2 2 3 4 4" xfId="1415" xr:uid="{00000000-0005-0000-0000-000083050000}"/>
    <cellStyle name="20% - Accent2 2 2 3 4 4 2" xfId="1416" xr:uid="{00000000-0005-0000-0000-000084050000}"/>
    <cellStyle name="20% - Accent2 2 2 3 4 5" xfId="1417" xr:uid="{00000000-0005-0000-0000-000085050000}"/>
    <cellStyle name="20% - Accent2 2 2 3 5" xfId="1418" xr:uid="{00000000-0005-0000-0000-000086050000}"/>
    <cellStyle name="20% - Accent2 2 2 3 5 2" xfId="1419" xr:uid="{00000000-0005-0000-0000-000087050000}"/>
    <cellStyle name="20% - Accent2 2 2 3 5 2 2" xfId="1420" xr:uid="{00000000-0005-0000-0000-000088050000}"/>
    <cellStyle name="20% - Accent2 2 2 3 5 2 2 2" xfId="1421" xr:uid="{00000000-0005-0000-0000-000089050000}"/>
    <cellStyle name="20% - Accent2 2 2 3 5 2 3" xfId="1422" xr:uid="{00000000-0005-0000-0000-00008A050000}"/>
    <cellStyle name="20% - Accent2 2 2 3 5 3" xfId="1423" xr:uid="{00000000-0005-0000-0000-00008B050000}"/>
    <cellStyle name="20% - Accent2 2 2 3 5 3 2" xfId="1424" xr:uid="{00000000-0005-0000-0000-00008C050000}"/>
    <cellStyle name="20% - Accent2 2 2 3 5 4" xfId="1425" xr:uid="{00000000-0005-0000-0000-00008D050000}"/>
    <cellStyle name="20% - Accent2 2 2 3 6" xfId="1426" xr:uid="{00000000-0005-0000-0000-00008E050000}"/>
    <cellStyle name="20% - Accent2 2 2 3 6 2" xfId="1427" xr:uid="{00000000-0005-0000-0000-00008F050000}"/>
    <cellStyle name="20% - Accent2 2 2 3 6 2 2" xfId="1428" xr:uid="{00000000-0005-0000-0000-000090050000}"/>
    <cellStyle name="20% - Accent2 2 2 3 6 3" xfId="1429" xr:uid="{00000000-0005-0000-0000-000091050000}"/>
    <cellStyle name="20% - Accent2 2 2 3 7" xfId="1430" xr:uid="{00000000-0005-0000-0000-000092050000}"/>
    <cellStyle name="20% - Accent2 2 2 3 7 2" xfId="1431" xr:uid="{00000000-0005-0000-0000-000093050000}"/>
    <cellStyle name="20% - Accent2 2 2 3 8" xfId="1432" xr:uid="{00000000-0005-0000-0000-000094050000}"/>
    <cellStyle name="20% - Accent2 2 2 4" xfId="1433" xr:uid="{00000000-0005-0000-0000-000095050000}"/>
    <cellStyle name="20% - Accent2 2 2 4 2" xfId="1434" xr:uid="{00000000-0005-0000-0000-000096050000}"/>
    <cellStyle name="20% - Accent2 2 2 4 2 2" xfId="1435" xr:uid="{00000000-0005-0000-0000-000097050000}"/>
    <cellStyle name="20% - Accent2 2 2 4 2 2 2" xfId="1436" xr:uid="{00000000-0005-0000-0000-000098050000}"/>
    <cellStyle name="20% - Accent2 2 2 4 2 2 2 2" xfId="1437" xr:uid="{00000000-0005-0000-0000-000099050000}"/>
    <cellStyle name="20% - Accent2 2 2 4 2 2 2 2 2" xfId="1438" xr:uid="{00000000-0005-0000-0000-00009A050000}"/>
    <cellStyle name="20% - Accent2 2 2 4 2 2 2 2 2 2" xfId="1439" xr:uid="{00000000-0005-0000-0000-00009B050000}"/>
    <cellStyle name="20% - Accent2 2 2 4 2 2 2 2 3" xfId="1440" xr:uid="{00000000-0005-0000-0000-00009C050000}"/>
    <cellStyle name="20% - Accent2 2 2 4 2 2 2 3" xfId="1441" xr:uid="{00000000-0005-0000-0000-00009D050000}"/>
    <cellStyle name="20% - Accent2 2 2 4 2 2 2 3 2" xfId="1442" xr:uid="{00000000-0005-0000-0000-00009E050000}"/>
    <cellStyle name="20% - Accent2 2 2 4 2 2 2 4" xfId="1443" xr:uid="{00000000-0005-0000-0000-00009F050000}"/>
    <cellStyle name="20% - Accent2 2 2 4 2 2 3" xfId="1444" xr:uid="{00000000-0005-0000-0000-0000A0050000}"/>
    <cellStyle name="20% - Accent2 2 2 4 2 2 3 2" xfId="1445" xr:uid="{00000000-0005-0000-0000-0000A1050000}"/>
    <cellStyle name="20% - Accent2 2 2 4 2 2 3 2 2" xfId="1446" xr:uid="{00000000-0005-0000-0000-0000A2050000}"/>
    <cellStyle name="20% - Accent2 2 2 4 2 2 3 3" xfId="1447" xr:uid="{00000000-0005-0000-0000-0000A3050000}"/>
    <cellStyle name="20% - Accent2 2 2 4 2 2 4" xfId="1448" xr:uid="{00000000-0005-0000-0000-0000A4050000}"/>
    <cellStyle name="20% - Accent2 2 2 4 2 2 4 2" xfId="1449" xr:uid="{00000000-0005-0000-0000-0000A5050000}"/>
    <cellStyle name="20% - Accent2 2 2 4 2 2 5" xfId="1450" xr:uid="{00000000-0005-0000-0000-0000A6050000}"/>
    <cellStyle name="20% - Accent2 2 2 4 2 3" xfId="1451" xr:uid="{00000000-0005-0000-0000-0000A7050000}"/>
    <cellStyle name="20% - Accent2 2 2 4 2 3 2" xfId="1452" xr:uid="{00000000-0005-0000-0000-0000A8050000}"/>
    <cellStyle name="20% - Accent2 2 2 4 2 3 2 2" xfId="1453" xr:uid="{00000000-0005-0000-0000-0000A9050000}"/>
    <cellStyle name="20% - Accent2 2 2 4 2 3 2 2 2" xfId="1454" xr:uid="{00000000-0005-0000-0000-0000AA050000}"/>
    <cellStyle name="20% - Accent2 2 2 4 2 3 2 3" xfId="1455" xr:uid="{00000000-0005-0000-0000-0000AB050000}"/>
    <cellStyle name="20% - Accent2 2 2 4 2 3 3" xfId="1456" xr:uid="{00000000-0005-0000-0000-0000AC050000}"/>
    <cellStyle name="20% - Accent2 2 2 4 2 3 3 2" xfId="1457" xr:uid="{00000000-0005-0000-0000-0000AD050000}"/>
    <cellStyle name="20% - Accent2 2 2 4 2 3 4" xfId="1458" xr:uid="{00000000-0005-0000-0000-0000AE050000}"/>
    <cellStyle name="20% - Accent2 2 2 4 2 4" xfId="1459" xr:uid="{00000000-0005-0000-0000-0000AF050000}"/>
    <cellStyle name="20% - Accent2 2 2 4 2 4 2" xfId="1460" xr:uid="{00000000-0005-0000-0000-0000B0050000}"/>
    <cellStyle name="20% - Accent2 2 2 4 2 4 2 2" xfId="1461" xr:uid="{00000000-0005-0000-0000-0000B1050000}"/>
    <cellStyle name="20% - Accent2 2 2 4 2 4 3" xfId="1462" xr:uid="{00000000-0005-0000-0000-0000B2050000}"/>
    <cellStyle name="20% - Accent2 2 2 4 2 5" xfId="1463" xr:uid="{00000000-0005-0000-0000-0000B3050000}"/>
    <cellStyle name="20% - Accent2 2 2 4 2 5 2" xfId="1464" xr:uid="{00000000-0005-0000-0000-0000B4050000}"/>
    <cellStyle name="20% - Accent2 2 2 4 2 6" xfId="1465" xr:uid="{00000000-0005-0000-0000-0000B5050000}"/>
    <cellStyle name="20% - Accent2 2 2 4 3" xfId="1466" xr:uid="{00000000-0005-0000-0000-0000B6050000}"/>
    <cellStyle name="20% - Accent2 2 2 4 3 2" xfId="1467" xr:uid="{00000000-0005-0000-0000-0000B7050000}"/>
    <cellStyle name="20% - Accent2 2 2 4 3 2 2" xfId="1468" xr:uid="{00000000-0005-0000-0000-0000B8050000}"/>
    <cellStyle name="20% - Accent2 2 2 4 3 2 2 2" xfId="1469" xr:uid="{00000000-0005-0000-0000-0000B9050000}"/>
    <cellStyle name="20% - Accent2 2 2 4 3 2 2 2 2" xfId="1470" xr:uid="{00000000-0005-0000-0000-0000BA050000}"/>
    <cellStyle name="20% - Accent2 2 2 4 3 2 2 3" xfId="1471" xr:uid="{00000000-0005-0000-0000-0000BB050000}"/>
    <cellStyle name="20% - Accent2 2 2 4 3 2 3" xfId="1472" xr:uid="{00000000-0005-0000-0000-0000BC050000}"/>
    <cellStyle name="20% - Accent2 2 2 4 3 2 3 2" xfId="1473" xr:uid="{00000000-0005-0000-0000-0000BD050000}"/>
    <cellStyle name="20% - Accent2 2 2 4 3 2 4" xfId="1474" xr:uid="{00000000-0005-0000-0000-0000BE050000}"/>
    <cellStyle name="20% - Accent2 2 2 4 3 3" xfId="1475" xr:uid="{00000000-0005-0000-0000-0000BF050000}"/>
    <cellStyle name="20% - Accent2 2 2 4 3 3 2" xfId="1476" xr:uid="{00000000-0005-0000-0000-0000C0050000}"/>
    <cellStyle name="20% - Accent2 2 2 4 3 3 2 2" xfId="1477" xr:uid="{00000000-0005-0000-0000-0000C1050000}"/>
    <cellStyle name="20% - Accent2 2 2 4 3 3 3" xfId="1478" xr:uid="{00000000-0005-0000-0000-0000C2050000}"/>
    <cellStyle name="20% - Accent2 2 2 4 3 4" xfId="1479" xr:uid="{00000000-0005-0000-0000-0000C3050000}"/>
    <cellStyle name="20% - Accent2 2 2 4 3 4 2" xfId="1480" xr:uid="{00000000-0005-0000-0000-0000C4050000}"/>
    <cellStyle name="20% - Accent2 2 2 4 3 5" xfId="1481" xr:uid="{00000000-0005-0000-0000-0000C5050000}"/>
    <cellStyle name="20% - Accent2 2 2 4 4" xfId="1482" xr:uid="{00000000-0005-0000-0000-0000C6050000}"/>
    <cellStyle name="20% - Accent2 2 2 4 4 2" xfId="1483" xr:uid="{00000000-0005-0000-0000-0000C7050000}"/>
    <cellStyle name="20% - Accent2 2 2 4 4 2 2" xfId="1484" xr:uid="{00000000-0005-0000-0000-0000C8050000}"/>
    <cellStyle name="20% - Accent2 2 2 4 4 2 2 2" xfId="1485" xr:uid="{00000000-0005-0000-0000-0000C9050000}"/>
    <cellStyle name="20% - Accent2 2 2 4 4 2 3" xfId="1486" xr:uid="{00000000-0005-0000-0000-0000CA050000}"/>
    <cellStyle name="20% - Accent2 2 2 4 4 3" xfId="1487" xr:uid="{00000000-0005-0000-0000-0000CB050000}"/>
    <cellStyle name="20% - Accent2 2 2 4 4 3 2" xfId="1488" xr:uid="{00000000-0005-0000-0000-0000CC050000}"/>
    <cellStyle name="20% - Accent2 2 2 4 4 4" xfId="1489" xr:uid="{00000000-0005-0000-0000-0000CD050000}"/>
    <cellStyle name="20% - Accent2 2 2 4 5" xfId="1490" xr:uid="{00000000-0005-0000-0000-0000CE050000}"/>
    <cellStyle name="20% - Accent2 2 2 4 5 2" xfId="1491" xr:uid="{00000000-0005-0000-0000-0000CF050000}"/>
    <cellStyle name="20% - Accent2 2 2 4 5 2 2" xfId="1492" xr:uid="{00000000-0005-0000-0000-0000D0050000}"/>
    <cellStyle name="20% - Accent2 2 2 4 5 3" xfId="1493" xr:uid="{00000000-0005-0000-0000-0000D1050000}"/>
    <cellStyle name="20% - Accent2 2 2 4 6" xfId="1494" xr:uid="{00000000-0005-0000-0000-0000D2050000}"/>
    <cellStyle name="20% - Accent2 2 2 4 6 2" xfId="1495" xr:uid="{00000000-0005-0000-0000-0000D3050000}"/>
    <cellStyle name="20% - Accent2 2 2 4 7" xfId="1496" xr:uid="{00000000-0005-0000-0000-0000D4050000}"/>
    <cellStyle name="20% - Accent2 2 2 5" xfId="1497" xr:uid="{00000000-0005-0000-0000-0000D5050000}"/>
    <cellStyle name="20% - Accent2 2 2 5 2" xfId="1498" xr:uid="{00000000-0005-0000-0000-0000D6050000}"/>
    <cellStyle name="20% - Accent2 2 2 5 2 2" xfId="1499" xr:uid="{00000000-0005-0000-0000-0000D7050000}"/>
    <cellStyle name="20% - Accent2 2 2 5 2 2 2" xfId="1500" xr:uid="{00000000-0005-0000-0000-0000D8050000}"/>
    <cellStyle name="20% - Accent2 2 2 5 2 2 2 2" xfId="1501" xr:uid="{00000000-0005-0000-0000-0000D9050000}"/>
    <cellStyle name="20% - Accent2 2 2 5 2 2 2 2 2" xfId="1502" xr:uid="{00000000-0005-0000-0000-0000DA050000}"/>
    <cellStyle name="20% - Accent2 2 2 5 2 2 2 3" xfId="1503" xr:uid="{00000000-0005-0000-0000-0000DB050000}"/>
    <cellStyle name="20% - Accent2 2 2 5 2 2 3" xfId="1504" xr:uid="{00000000-0005-0000-0000-0000DC050000}"/>
    <cellStyle name="20% - Accent2 2 2 5 2 2 3 2" xfId="1505" xr:uid="{00000000-0005-0000-0000-0000DD050000}"/>
    <cellStyle name="20% - Accent2 2 2 5 2 2 4" xfId="1506" xr:uid="{00000000-0005-0000-0000-0000DE050000}"/>
    <cellStyle name="20% - Accent2 2 2 5 2 3" xfId="1507" xr:uid="{00000000-0005-0000-0000-0000DF050000}"/>
    <cellStyle name="20% - Accent2 2 2 5 2 3 2" xfId="1508" xr:uid="{00000000-0005-0000-0000-0000E0050000}"/>
    <cellStyle name="20% - Accent2 2 2 5 2 3 2 2" xfId="1509" xr:uid="{00000000-0005-0000-0000-0000E1050000}"/>
    <cellStyle name="20% - Accent2 2 2 5 2 3 3" xfId="1510" xr:uid="{00000000-0005-0000-0000-0000E2050000}"/>
    <cellStyle name="20% - Accent2 2 2 5 2 4" xfId="1511" xr:uid="{00000000-0005-0000-0000-0000E3050000}"/>
    <cellStyle name="20% - Accent2 2 2 5 2 4 2" xfId="1512" xr:uid="{00000000-0005-0000-0000-0000E4050000}"/>
    <cellStyle name="20% - Accent2 2 2 5 2 5" xfId="1513" xr:uid="{00000000-0005-0000-0000-0000E5050000}"/>
    <cellStyle name="20% - Accent2 2 2 5 3" xfId="1514" xr:uid="{00000000-0005-0000-0000-0000E6050000}"/>
    <cellStyle name="20% - Accent2 2 2 5 3 2" xfId="1515" xr:uid="{00000000-0005-0000-0000-0000E7050000}"/>
    <cellStyle name="20% - Accent2 2 2 5 3 2 2" xfId="1516" xr:uid="{00000000-0005-0000-0000-0000E8050000}"/>
    <cellStyle name="20% - Accent2 2 2 5 3 2 2 2" xfId="1517" xr:uid="{00000000-0005-0000-0000-0000E9050000}"/>
    <cellStyle name="20% - Accent2 2 2 5 3 2 3" xfId="1518" xr:uid="{00000000-0005-0000-0000-0000EA050000}"/>
    <cellStyle name="20% - Accent2 2 2 5 3 3" xfId="1519" xr:uid="{00000000-0005-0000-0000-0000EB050000}"/>
    <cellStyle name="20% - Accent2 2 2 5 3 3 2" xfId="1520" xr:uid="{00000000-0005-0000-0000-0000EC050000}"/>
    <cellStyle name="20% - Accent2 2 2 5 3 4" xfId="1521" xr:uid="{00000000-0005-0000-0000-0000ED050000}"/>
    <cellStyle name="20% - Accent2 2 2 5 4" xfId="1522" xr:uid="{00000000-0005-0000-0000-0000EE050000}"/>
    <cellStyle name="20% - Accent2 2 2 5 4 2" xfId="1523" xr:uid="{00000000-0005-0000-0000-0000EF050000}"/>
    <cellStyle name="20% - Accent2 2 2 5 4 2 2" xfId="1524" xr:uid="{00000000-0005-0000-0000-0000F0050000}"/>
    <cellStyle name="20% - Accent2 2 2 5 4 3" xfId="1525" xr:uid="{00000000-0005-0000-0000-0000F1050000}"/>
    <cellStyle name="20% - Accent2 2 2 5 5" xfId="1526" xr:uid="{00000000-0005-0000-0000-0000F2050000}"/>
    <cellStyle name="20% - Accent2 2 2 5 5 2" xfId="1527" xr:uid="{00000000-0005-0000-0000-0000F3050000}"/>
    <cellStyle name="20% - Accent2 2 2 5 6" xfId="1528" xr:uid="{00000000-0005-0000-0000-0000F4050000}"/>
    <cellStyle name="20% - Accent2 2 2 6" xfId="1529" xr:uid="{00000000-0005-0000-0000-0000F5050000}"/>
    <cellStyle name="20% - Accent2 2 2 6 2" xfId="1530" xr:uid="{00000000-0005-0000-0000-0000F6050000}"/>
    <cellStyle name="20% - Accent2 2 2 6 2 2" xfId="1531" xr:uid="{00000000-0005-0000-0000-0000F7050000}"/>
    <cellStyle name="20% - Accent2 2 2 6 2 2 2" xfId="1532" xr:uid="{00000000-0005-0000-0000-0000F8050000}"/>
    <cellStyle name="20% - Accent2 2 2 6 2 2 2 2" xfId="1533" xr:uid="{00000000-0005-0000-0000-0000F9050000}"/>
    <cellStyle name="20% - Accent2 2 2 6 2 2 3" xfId="1534" xr:uid="{00000000-0005-0000-0000-0000FA050000}"/>
    <cellStyle name="20% - Accent2 2 2 6 2 3" xfId="1535" xr:uid="{00000000-0005-0000-0000-0000FB050000}"/>
    <cellStyle name="20% - Accent2 2 2 6 2 3 2" xfId="1536" xr:uid="{00000000-0005-0000-0000-0000FC050000}"/>
    <cellStyle name="20% - Accent2 2 2 6 2 4" xfId="1537" xr:uid="{00000000-0005-0000-0000-0000FD050000}"/>
    <cellStyle name="20% - Accent2 2 2 6 3" xfId="1538" xr:uid="{00000000-0005-0000-0000-0000FE050000}"/>
    <cellStyle name="20% - Accent2 2 2 6 3 2" xfId="1539" xr:uid="{00000000-0005-0000-0000-0000FF050000}"/>
    <cellStyle name="20% - Accent2 2 2 6 3 2 2" xfId="1540" xr:uid="{00000000-0005-0000-0000-000000060000}"/>
    <cellStyle name="20% - Accent2 2 2 6 3 3" xfId="1541" xr:uid="{00000000-0005-0000-0000-000001060000}"/>
    <cellStyle name="20% - Accent2 2 2 6 4" xfId="1542" xr:uid="{00000000-0005-0000-0000-000002060000}"/>
    <cellStyle name="20% - Accent2 2 2 6 4 2" xfId="1543" xr:uid="{00000000-0005-0000-0000-000003060000}"/>
    <cellStyle name="20% - Accent2 2 2 6 5" xfId="1544" xr:uid="{00000000-0005-0000-0000-000004060000}"/>
    <cellStyle name="20% - Accent2 2 2 7" xfId="1545" xr:uid="{00000000-0005-0000-0000-000005060000}"/>
    <cellStyle name="20% - Accent2 2 2 7 2" xfId="1546" xr:uid="{00000000-0005-0000-0000-000006060000}"/>
    <cellStyle name="20% - Accent2 2 2 7 2 2" xfId="1547" xr:uid="{00000000-0005-0000-0000-000007060000}"/>
    <cellStyle name="20% - Accent2 2 2 7 2 2 2" xfId="1548" xr:uid="{00000000-0005-0000-0000-000008060000}"/>
    <cellStyle name="20% - Accent2 2 2 7 2 3" xfId="1549" xr:uid="{00000000-0005-0000-0000-000009060000}"/>
    <cellStyle name="20% - Accent2 2 2 7 3" xfId="1550" xr:uid="{00000000-0005-0000-0000-00000A060000}"/>
    <cellStyle name="20% - Accent2 2 2 7 3 2" xfId="1551" xr:uid="{00000000-0005-0000-0000-00000B060000}"/>
    <cellStyle name="20% - Accent2 2 2 7 4" xfId="1552" xr:uid="{00000000-0005-0000-0000-00000C060000}"/>
    <cellStyle name="20% - Accent2 2 2 8" xfId="1553" xr:uid="{00000000-0005-0000-0000-00000D060000}"/>
    <cellStyle name="20% - Accent2 2 2 8 2" xfId="1554" xr:uid="{00000000-0005-0000-0000-00000E060000}"/>
    <cellStyle name="20% - Accent2 2 2 8 2 2" xfId="1555" xr:uid="{00000000-0005-0000-0000-00000F060000}"/>
    <cellStyle name="20% - Accent2 2 2 8 3" xfId="1556" xr:uid="{00000000-0005-0000-0000-000010060000}"/>
    <cellStyle name="20% - Accent2 2 2 9" xfId="1557" xr:uid="{00000000-0005-0000-0000-000011060000}"/>
    <cellStyle name="20% - Accent2 2 2 9 2" xfId="1558" xr:uid="{00000000-0005-0000-0000-000012060000}"/>
    <cellStyle name="20% - Accent2 2 3" xfId="1559" xr:uid="{00000000-0005-0000-0000-000013060000}"/>
    <cellStyle name="20% - Accent2 2 3 2" xfId="1560" xr:uid="{00000000-0005-0000-0000-000014060000}"/>
    <cellStyle name="20% - Accent2 2 3 2 2" xfId="1561" xr:uid="{00000000-0005-0000-0000-000015060000}"/>
    <cellStyle name="20% - Accent2 2 3 2 2 2" xfId="1562" xr:uid="{00000000-0005-0000-0000-000016060000}"/>
    <cellStyle name="20% - Accent2 2 3 2 2 2 2" xfId="1563" xr:uid="{00000000-0005-0000-0000-000017060000}"/>
    <cellStyle name="20% - Accent2 2 3 2 2 2 2 2" xfId="1564" xr:uid="{00000000-0005-0000-0000-000018060000}"/>
    <cellStyle name="20% - Accent2 2 3 2 2 2 2 2 2" xfId="1565" xr:uid="{00000000-0005-0000-0000-000019060000}"/>
    <cellStyle name="20% - Accent2 2 3 2 2 2 2 2 2 2" xfId="1566" xr:uid="{00000000-0005-0000-0000-00001A060000}"/>
    <cellStyle name="20% - Accent2 2 3 2 2 2 2 2 2 2 2" xfId="1567" xr:uid="{00000000-0005-0000-0000-00001B060000}"/>
    <cellStyle name="20% - Accent2 2 3 2 2 2 2 2 2 3" xfId="1568" xr:uid="{00000000-0005-0000-0000-00001C060000}"/>
    <cellStyle name="20% - Accent2 2 3 2 2 2 2 2 3" xfId="1569" xr:uid="{00000000-0005-0000-0000-00001D060000}"/>
    <cellStyle name="20% - Accent2 2 3 2 2 2 2 2 3 2" xfId="1570" xr:uid="{00000000-0005-0000-0000-00001E060000}"/>
    <cellStyle name="20% - Accent2 2 3 2 2 2 2 2 4" xfId="1571" xr:uid="{00000000-0005-0000-0000-00001F060000}"/>
    <cellStyle name="20% - Accent2 2 3 2 2 2 2 3" xfId="1572" xr:uid="{00000000-0005-0000-0000-000020060000}"/>
    <cellStyle name="20% - Accent2 2 3 2 2 2 2 3 2" xfId="1573" xr:uid="{00000000-0005-0000-0000-000021060000}"/>
    <cellStyle name="20% - Accent2 2 3 2 2 2 2 3 2 2" xfId="1574" xr:uid="{00000000-0005-0000-0000-000022060000}"/>
    <cellStyle name="20% - Accent2 2 3 2 2 2 2 3 3" xfId="1575" xr:uid="{00000000-0005-0000-0000-000023060000}"/>
    <cellStyle name="20% - Accent2 2 3 2 2 2 2 4" xfId="1576" xr:uid="{00000000-0005-0000-0000-000024060000}"/>
    <cellStyle name="20% - Accent2 2 3 2 2 2 2 4 2" xfId="1577" xr:uid="{00000000-0005-0000-0000-000025060000}"/>
    <cellStyle name="20% - Accent2 2 3 2 2 2 2 5" xfId="1578" xr:uid="{00000000-0005-0000-0000-000026060000}"/>
    <cellStyle name="20% - Accent2 2 3 2 2 2 3" xfId="1579" xr:uid="{00000000-0005-0000-0000-000027060000}"/>
    <cellStyle name="20% - Accent2 2 3 2 2 2 3 2" xfId="1580" xr:uid="{00000000-0005-0000-0000-000028060000}"/>
    <cellStyle name="20% - Accent2 2 3 2 2 2 3 2 2" xfId="1581" xr:uid="{00000000-0005-0000-0000-000029060000}"/>
    <cellStyle name="20% - Accent2 2 3 2 2 2 3 2 2 2" xfId="1582" xr:uid="{00000000-0005-0000-0000-00002A060000}"/>
    <cellStyle name="20% - Accent2 2 3 2 2 2 3 2 3" xfId="1583" xr:uid="{00000000-0005-0000-0000-00002B060000}"/>
    <cellStyle name="20% - Accent2 2 3 2 2 2 3 3" xfId="1584" xr:uid="{00000000-0005-0000-0000-00002C060000}"/>
    <cellStyle name="20% - Accent2 2 3 2 2 2 3 3 2" xfId="1585" xr:uid="{00000000-0005-0000-0000-00002D060000}"/>
    <cellStyle name="20% - Accent2 2 3 2 2 2 3 4" xfId="1586" xr:uid="{00000000-0005-0000-0000-00002E060000}"/>
    <cellStyle name="20% - Accent2 2 3 2 2 2 4" xfId="1587" xr:uid="{00000000-0005-0000-0000-00002F060000}"/>
    <cellStyle name="20% - Accent2 2 3 2 2 2 4 2" xfId="1588" xr:uid="{00000000-0005-0000-0000-000030060000}"/>
    <cellStyle name="20% - Accent2 2 3 2 2 2 4 2 2" xfId="1589" xr:uid="{00000000-0005-0000-0000-000031060000}"/>
    <cellStyle name="20% - Accent2 2 3 2 2 2 4 3" xfId="1590" xr:uid="{00000000-0005-0000-0000-000032060000}"/>
    <cellStyle name="20% - Accent2 2 3 2 2 2 5" xfId="1591" xr:uid="{00000000-0005-0000-0000-000033060000}"/>
    <cellStyle name="20% - Accent2 2 3 2 2 2 5 2" xfId="1592" xr:uid="{00000000-0005-0000-0000-000034060000}"/>
    <cellStyle name="20% - Accent2 2 3 2 2 2 6" xfId="1593" xr:uid="{00000000-0005-0000-0000-000035060000}"/>
    <cellStyle name="20% - Accent2 2 3 2 2 3" xfId="1594" xr:uid="{00000000-0005-0000-0000-000036060000}"/>
    <cellStyle name="20% - Accent2 2 3 2 2 3 2" xfId="1595" xr:uid="{00000000-0005-0000-0000-000037060000}"/>
    <cellStyle name="20% - Accent2 2 3 2 2 3 2 2" xfId="1596" xr:uid="{00000000-0005-0000-0000-000038060000}"/>
    <cellStyle name="20% - Accent2 2 3 2 2 3 2 2 2" xfId="1597" xr:uid="{00000000-0005-0000-0000-000039060000}"/>
    <cellStyle name="20% - Accent2 2 3 2 2 3 2 2 2 2" xfId="1598" xr:uid="{00000000-0005-0000-0000-00003A060000}"/>
    <cellStyle name="20% - Accent2 2 3 2 2 3 2 2 3" xfId="1599" xr:uid="{00000000-0005-0000-0000-00003B060000}"/>
    <cellStyle name="20% - Accent2 2 3 2 2 3 2 3" xfId="1600" xr:uid="{00000000-0005-0000-0000-00003C060000}"/>
    <cellStyle name="20% - Accent2 2 3 2 2 3 2 3 2" xfId="1601" xr:uid="{00000000-0005-0000-0000-00003D060000}"/>
    <cellStyle name="20% - Accent2 2 3 2 2 3 2 4" xfId="1602" xr:uid="{00000000-0005-0000-0000-00003E060000}"/>
    <cellStyle name="20% - Accent2 2 3 2 2 3 3" xfId="1603" xr:uid="{00000000-0005-0000-0000-00003F060000}"/>
    <cellStyle name="20% - Accent2 2 3 2 2 3 3 2" xfId="1604" xr:uid="{00000000-0005-0000-0000-000040060000}"/>
    <cellStyle name="20% - Accent2 2 3 2 2 3 3 2 2" xfId="1605" xr:uid="{00000000-0005-0000-0000-000041060000}"/>
    <cellStyle name="20% - Accent2 2 3 2 2 3 3 3" xfId="1606" xr:uid="{00000000-0005-0000-0000-000042060000}"/>
    <cellStyle name="20% - Accent2 2 3 2 2 3 4" xfId="1607" xr:uid="{00000000-0005-0000-0000-000043060000}"/>
    <cellStyle name="20% - Accent2 2 3 2 2 3 4 2" xfId="1608" xr:uid="{00000000-0005-0000-0000-000044060000}"/>
    <cellStyle name="20% - Accent2 2 3 2 2 3 5" xfId="1609" xr:uid="{00000000-0005-0000-0000-000045060000}"/>
    <cellStyle name="20% - Accent2 2 3 2 2 4" xfId="1610" xr:uid="{00000000-0005-0000-0000-000046060000}"/>
    <cellStyle name="20% - Accent2 2 3 2 2 4 2" xfId="1611" xr:uid="{00000000-0005-0000-0000-000047060000}"/>
    <cellStyle name="20% - Accent2 2 3 2 2 4 2 2" xfId="1612" xr:uid="{00000000-0005-0000-0000-000048060000}"/>
    <cellStyle name="20% - Accent2 2 3 2 2 4 2 2 2" xfId="1613" xr:uid="{00000000-0005-0000-0000-000049060000}"/>
    <cellStyle name="20% - Accent2 2 3 2 2 4 2 3" xfId="1614" xr:uid="{00000000-0005-0000-0000-00004A060000}"/>
    <cellStyle name="20% - Accent2 2 3 2 2 4 3" xfId="1615" xr:uid="{00000000-0005-0000-0000-00004B060000}"/>
    <cellStyle name="20% - Accent2 2 3 2 2 4 3 2" xfId="1616" xr:uid="{00000000-0005-0000-0000-00004C060000}"/>
    <cellStyle name="20% - Accent2 2 3 2 2 4 4" xfId="1617" xr:uid="{00000000-0005-0000-0000-00004D060000}"/>
    <cellStyle name="20% - Accent2 2 3 2 2 5" xfId="1618" xr:uid="{00000000-0005-0000-0000-00004E060000}"/>
    <cellStyle name="20% - Accent2 2 3 2 2 5 2" xfId="1619" xr:uid="{00000000-0005-0000-0000-00004F060000}"/>
    <cellStyle name="20% - Accent2 2 3 2 2 5 2 2" xfId="1620" xr:uid="{00000000-0005-0000-0000-000050060000}"/>
    <cellStyle name="20% - Accent2 2 3 2 2 5 3" xfId="1621" xr:uid="{00000000-0005-0000-0000-000051060000}"/>
    <cellStyle name="20% - Accent2 2 3 2 2 6" xfId="1622" xr:uid="{00000000-0005-0000-0000-000052060000}"/>
    <cellStyle name="20% - Accent2 2 3 2 2 6 2" xfId="1623" xr:uid="{00000000-0005-0000-0000-000053060000}"/>
    <cellStyle name="20% - Accent2 2 3 2 2 7" xfId="1624" xr:uid="{00000000-0005-0000-0000-000054060000}"/>
    <cellStyle name="20% - Accent2 2 3 2 3" xfId="1625" xr:uid="{00000000-0005-0000-0000-000055060000}"/>
    <cellStyle name="20% - Accent2 2 3 2 3 2" xfId="1626" xr:uid="{00000000-0005-0000-0000-000056060000}"/>
    <cellStyle name="20% - Accent2 2 3 2 3 2 2" xfId="1627" xr:uid="{00000000-0005-0000-0000-000057060000}"/>
    <cellStyle name="20% - Accent2 2 3 2 3 2 2 2" xfId="1628" xr:uid="{00000000-0005-0000-0000-000058060000}"/>
    <cellStyle name="20% - Accent2 2 3 2 3 2 2 2 2" xfId="1629" xr:uid="{00000000-0005-0000-0000-000059060000}"/>
    <cellStyle name="20% - Accent2 2 3 2 3 2 2 2 2 2" xfId="1630" xr:uid="{00000000-0005-0000-0000-00005A060000}"/>
    <cellStyle name="20% - Accent2 2 3 2 3 2 2 2 3" xfId="1631" xr:uid="{00000000-0005-0000-0000-00005B060000}"/>
    <cellStyle name="20% - Accent2 2 3 2 3 2 2 3" xfId="1632" xr:uid="{00000000-0005-0000-0000-00005C060000}"/>
    <cellStyle name="20% - Accent2 2 3 2 3 2 2 3 2" xfId="1633" xr:uid="{00000000-0005-0000-0000-00005D060000}"/>
    <cellStyle name="20% - Accent2 2 3 2 3 2 2 4" xfId="1634" xr:uid="{00000000-0005-0000-0000-00005E060000}"/>
    <cellStyle name="20% - Accent2 2 3 2 3 2 3" xfId="1635" xr:uid="{00000000-0005-0000-0000-00005F060000}"/>
    <cellStyle name="20% - Accent2 2 3 2 3 2 3 2" xfId="1636" xr:uid="{00000000-0005-0000-0000-000060060000}"/>
    <cellStyle name="20% - Accent2 2 3 2 3 2 3 2 2" xfId="1637" xr:uid="{00000000-0005-0000-0000-000061060000}"/>
    <cellStyle name="20% - Accent2 2 3 2 3 2 3 3" xfId="1638" xr:uid="{00000000-0005-0000-0000-000062060000}"/>
    <cellStyle name="20% - Accent2 2 3 2 3 2 4" xfId="1639" xr:uid="{00000000-0005-0000-0000-000063060000}"/>
    <cellStyle name="20% - Accent2 2 3 2 3 2 4 2" xfId="1640" xr:uid="{00000000-0005-0000-0000-000064060000}"/>
    <cellStyle name="20% - Accent2 2 3 2 3 2 5" xfId="1641" xr:uid="{00000000-0005-0000-0000-000065060000}"/>
    <cellStyle name="20% - Accent2 2 3 2 3 3" xfId="1642" xr:uid="{00000000-0005-0000-0000-000066060000}"/>
    <cellStyle name="20% - Accent2 2 3 2 3 3 2" xfId="1643" xr:uid="{00000000-0005-0000-0000-000067060000}"/>
    <cellStyle name="20% - Accent2 2 3 2 3 3 2 2" xfId="1644" xr:uid="{00000000-0005-0000-0000-000068060000}"/>
    <cellStyle name="20% - Accent2 2 3 2 3 3 2 2 2" xfId="1645" xr:uid="{00000000-0005-0000-0000-000069060000}"/>
    <cellStyle name="20% - Accent2 2 3 2 3 3 2 3" xfId="1646" xr:uid="{00000000-0005-0000-0000-00006A060000}"/>
    <cellStyle name="20% - Accent2 2 3 2 3 3 3" xfId="1647" xr:uid="{00000000-0005-0000-0000-00006B060000}"/>
    <cellStyle name="20% - Accent2 2 3 2 3 3 3 2" xfId="1648" xr:uid="{00000000-0005-0000-0000-00006C060000}"/>
    <cellStyle name="20% - Accent2 2 3 2 3 3 4" xfId="1649" xr:uid="{00000000-0005-0000-0000-00006D060000}"/>
    <cellStyle name="20% - Accent2 2 3 2 3 4" xfId="1650" xr:uid="{00000000-0005-0000-0000-00006E060000}"/>
    <cellStyle name="20% - Accent2 2 3 2 3 4 2" xfId="1651" xr:uid="{00000000-0005-0000-0000-00006F060000}"/>
    <cellStyle name="20% - Accent2 2 3 2 3 4 2 2" xfId="1652" xr:uid="{00000000-0005-0000-0000-000070060000}"/>
    <cellStyle name="20% - Accent2 2 3 2 3 4 3" xfId="1653" xr:uid="{00000000-0005-0000-0000-000071060000}"/>
    <cellStyle name="20% - Accent2 2 3 2 3 5" xfId="1654" xr:uid="{00000000-0005-0000-0000-000072060000}"/>
    <cellStyle name="20% - Accent2 2 3 2 3 5 2" xfId="1655" xr:uid="{00000000-0005-0000-0000-000073060000}"/>
    <cellStyle name="20% - Accent2 2 3 2 3 6" xfId="1656" xr:uid="{00000000-0005-0000-0000-000074060000}"/>
    <cellStyle name="20% - Accent2 2 3 2 4" xfId="1657" xr:uid="{00000000-0005-0000-0000-000075060000}"/>
    <cellStyle name="20% - Accent2 2 3 2 4 2" xfId="1658" xr:uid="{00000000-0005-0000-0000-000076060000}"/>
    <cellStyle name="20% - Accent2 2 3 2 4 2 2" xfId="1659" xr:uid="{00000000-0005-0000-0000-000077060000}"/>
    <cellStyle name="20% - Accent2 2 3 2 4 2 2 2" xfId="1660" xr:uid="{00000000-0005-0000-0000-000078060000}"/>
    <cellStyle name="20% - Accent2 2 3 2 4 2 2 2 2" xfId="1661" xr:uid="{00000000-0005-0000-0000-000079060000}"/>
    <cellStyle name="20% - Accent2 2 3 2 4 2 2 3" xfId="1662" xr:uid="{00000000-0005-0000-0000-00007A060000}"/>
    <cellStyle name="20% - Accent2 2 3 2 4 2 3" xfId="1663" xr:uid="{00000000-0005-0000-0000-00007B060000}"/>
    <cellStyle name="20% - Accent2 2 3 2 4 2 3 2" xfId="1664" xr:uid="{00000000-0005-0000-0000-00007C060000}"/>
    <cellStyle name="20% - Accent2 2 3 2 4 2 4" xfId="1665" xr:uid="{00000000-0005-0000-0000-00007D060000}"/>
    <cellStyle name="20% - Accent2 2 3 2 4 3" xfId="1666" xr:uid="{00000000-0005-0000-0000-00007E060000}"/>
    <cellStyle name="20% - Accent2 2 3 2 4 3 2" xfId="1667" xr:uid="{00000000-0005-0000-0000-00007F060000}"/>
    <cellStyle name="20% - Accent2 2 3 2 4 3 2 2" xfId="1668" xr:uid="{00000000-0005-0000-0000-000080060000}"/>
    <cellStyle name="20% - Accent2 2 3 2 4 3 3" xfId="1669" xr:uid="{00000000-0005-0000-0000-000081060000}"/>
    <cellStyle name="20% - Accent2 2 3 2 4 4" xfId="1670" xr:uid="{00000000-0005-0000-0000-000082060000}"/>
    <cellStyle name="20% - Accent2 2 3 2 4 4 2" xfId="1671" xr:uid="{00000000-0005-0000-0000-000083060000}"/>
    <cellStyle name="20% - Accent2 2 3 2 4 5" xfId="1672" xr:uid="{00000000-0005-0000-0000-000084060000}"/>
    <cellStyle name="20% - Accent2 2 3 2 5" xfId="1673" xr:uid="{00000000-0005-0000-0000-000085060000}"/>
    <cellStyle name="20% - Accent2 2 3 2 5 2" xfId="1674" xr:uid="{00000000-0005-0000-0000-000086060000}"/>
    <cellStyle name="20% - Accent2 2 3 2 5 2 2" xfId="1675" xr:uid="{00000000-0005-0000-0000-000087060000}"/>
    <cellStyle name="20% - Accent2 2 3 2 5 2 2 2" xfId="1676" xr:uid="{00000000-0005-0000-0000-000088060000}"/>
    <cellStyle name="20% - Accent2 2 3 2 5 2 3" xfId="1677" xr:uid="{00000000-0005-0000-0000-000089060000}"/>
    <cellStyle name="20% - Accent2 2 3 2 5 3" xfId="1678" xr:uid="{00000000-0005-0000-0000-00008A060000}"/>
    <cellStyle name="20% - Accent2 2 3 2 5 3 2" xfId="1679" xr:uid="{00000000-0005-0000-0000-00008B060000}"/>
    <cellStyle name="20% - Accent2 2 3 2 5 4" xfId="1680" xr:uid="{00000000-0005-0000-0000-00008C060000}"/>
    <cellStyle name="20% - Accent2 2 3 2 6" xfId="1681" xr:uid="{00000000-0005-0000-0000-00008D060000}"/>
    <cellStyle name="20% - Accent2 2 3 2 6 2" xfId="1682" xr:uid="{00000000-0005-0000-0000-00008E060000}"/>
    <cellStyle name="20% - Accent2 2 3 2 6 2 2" xfId="1683" xr:uid="{00000000-0005-0000-0000-00008F060000}"/>
    <cellStyle name="20% - Accent2 2 3 2 6 3" xfId="1684" xr:uid="{00000000-0005-0000-0000-000090060000}"/>
    <cellStyle name="20% - Accent2 2 3 2 7" xfId="1685" xr:uid="{00000000-0005-0000-0000-000091060000}"/>
    <cellStyle name="20% - Accent2 2 3 2 7 2" xfId="1686" xr:uid="{00000000-0005-0000-0000-000092060000}"/>
    <cellStyle name="20% - Accent2 2 3 2 8" xfId="1687" xr:uid="{00000000-0005-0000-0000-000093060000}"/>
    <cellStyle name="20% - Accent2 2 3 3" xfId="1688" xr:uid="{00000000-0005-0000-0000-000094060000}"/>
    <cellStyle name="20% - Accent2 2 3 3 2" xfId="1689" xr:uid="{00000000-0005-0000-0000-000095060000}"/>
    <cellStyle name="20% - Accent2 2 3 3 2 2" xfId="1690" xr:uid="{00000000-0005-0000-0000-000096060000}"/>
    <cellStyle name="20% - Accent2 2 3 3 2 2 2" xfId="1691" xr:uid="{00000000-0005-0000-0000-000097060000}"/>
    <cellStyle name="20% - Accent2 2 3 3 2 2 2 2" xfId="1692" xr:uid="{00000000-0005-0000-0000-000098060000}"/>
    <cellStyle name="20% - Accent2 2 3 3 2 2 2 2 2" xfId="1693" xr:uid="{00000000-0005-0000-0000-000099060000}"/>
    <cellStyle name="20% - Accent2 2 3 3 2 2 2 2 2 2" xfId="1694" xr:uid="{00000000-0005-0000-0000-00009A060000}"/>
    <cellStyle name="20% - Accent2 2 3 3 2 2 2 2 3" xfId="1695" xr:uid="{00000000-0005-0000-0000-00009B060000}"/>
    <cellStyle name="20% - Accent2 2 3 3 2 2 2 3" xfId="1696" xr:uid="{00000000-0005-0000-0000-00009C060000}"/>
    <cellStyle name="20% - Accent2 2 3 3 2 2 2 3 2" xfId="1697" xr:uid="{00000000-0005-0000-0000-00009D060000}"/>
    <cellStyle name="20% - Accent2 2 3 3 2 2 2 4" xfId="1698" xr:uid="{00000000-0005-0000-0000-00009E060000}"/>
    <cellStyle name="20% - Accent2 2 3 3 2 2 3" xfId="1699" xr:uid="{00000000-0005-0000-0000-00009F060000}"/>
    <cellStyle name="20% - Accent2 2 3 3 2 2 3 2" xfId="1700" xr:uid="{00000000-0005-0000-0000-0000A0060000}"/>
    <cellStyle name="20% - Accent2 2 3 3 2 2 3 2 2" xfId="1701" xr:uid="{00000000-0005-0000-0000-0000A1060000}"/>
    <cellStyle name="20% - Accent2 2 3 3 2 2 3 3" xfId="1702" xr:uid="{00000000-0005-0000-0000-0000A2060000}"/>
    <cellStyle name="20% - Accent2 2 3 3 2 2 4" xfId="1703" xr:uid="{00000000-0005-0000-0000-0000A3060000}"/>
    <cellStyle name="20% - Accent2 2 3 3 2 2 4 2" xfId="1704" xr:uid="{00000000-0005-0000-0000-0000A4060000}"/>
    <cellStyle name="20% - Accent2 2 3 3 2 2 5" xfId="1705" xr:uid="{00000000-0005-0000-0000-0000A5060000}"/>
    <cellStyle name="20% - Accent2 2 3 3 2 3" xfId="1706" xr:uid="{00000000-0005-0000-0000-0000A6060000}"/>
    <cellStyle name="20% - Accent2 2 3 3 2 3 2" xfId="1707" xr:uid="{00000000-0005-0000-0000-0000A7060000}"/>
    <cellStyle name="20% - Accent2 2 3 3 2 3 2 2" xfId="1708" xr:uid="{00000000-0005-0000-0000-0000A8060000}"/>
    <cellStyle name="20% - Accent2 2 3 3 2 3 2 2 2" xfId="1709" xr:uid="{00000000-0005-0000-0000-0000A9060000}"/>
    <cellStyle name="20% - Accent2 2 3 3 2 3 2 3" xfId="1710" xr:uid="{00000000-0005-0000-0000-0000AA060000}"/>
    <cellStyle name="20% - Accent2 2 3 3 2 3 3" xfId="1711" xr:uid="{00000000-0005-0000-0000-0000AB060000}"/>
    <cellStyle name="20% - Accent2 2 3 3 2 3 3 2" xfId="1712" xr:uid="{00000000-0005-0000-0000-0000AC060000}"/>
    <cellStyle name="20% - Accent2 2 3 3 2 3 4" xfId="1713" xr:uid="{00000000-0005-0000-0000-0000AD060000}"/>
    <cellStyle name="20% - Accent2 2 3 3 2 4" xfId="1714" xr:uid="{00000000-0005-0000-0000-0000AE060000}"/>
    <cellStyle name="20% - Accent2 2 3 3 2 4 2" xfId="1715" xr:uid="{00000000-0005-0000-0000-0000AF060000}"/>
    <cellStyle name="20% - Accent2 2 3 3 2 4 2 2" xfId="1716" xr:uid="{00000000-0005-0000-0000-0000B0060000}"/>
    <cellStyle name="20% - Accent2 2 3 3 2 4 3" xfId="1717" xr:uid="{00000000-0005-0000-0000-0000B1060000}"/>
    <cellStyle name="20% - Accent2 2 3 3 2 5" xfId="1718" xr:uid="{00000000-0005-0000-0000-0000B2060000}"/>
    <cellStyle name="20% - Accent2 2 3 3 2 5 2" xfId="1719" xr:uid="{00000000-0005-0000-0000-0000B3060000}"/>
    <cellStyle name="20% - Accent2 2 3 3 2 6" xfId="1720" xr:uid="{00000000-0005-0000-0000-0000B4060000}"/>
    <cellStyle name="20% - Accent2 2 3 3 3" xfId="1721" xr:uid="{00000000-0005-0000-0000-0000B5060000}"/>
    <cellStyle name="20% - Accent2 2 3 3 3 2" xfId="1722" xr:uid="{00000000-0005-0000-0000-0000B6060000}"/>
    <cellStyle name="20% - Accent2 2 3 3 3 2 2" xfId="1723" xr:uid="{00000000-0005-0000-0000-0000B7060000}"/>
    <cellStyle name="20% - Accent2 2 3 3 3 2 2 2" xfId="1724" xr:uid="{00000000-0005-0000-0000-0000B8060000}"/>
    <cellStyle name="20% - Accent2 2 3 3 3 2 2 2 2" xfId="1725" xr:uid="{00000000-0005-0000-0000-0000B9060000}"/>
    <cellStyle name="20% - Accent2 2 3 3 3 2 2 3" xfId="1726" xr:uid="{00000000-0005-0000-0000-0000BA060000}"/>
    <cellStyle name="20% - Accent2 2 3 3 3 2 3" xfId="1727" xr:uid="{00000000-0005-0000-0000-0000BB060000}"/>
    <cellStyle name="20% - Accent2 2 3 3 3 2 3 2" xfId="1728" xr:uid="{00000000-0005-0000-0000-0000BC060000}"/>
    <cellStyle name="20% - Accent2 2 3 3 3 2 4" xfId="1729" xr:uid="{00000000-0005-0000-0000-0000BD060000}"/>
    <cellStyle name="20% - Accent2 2 3 3 3 3" xfId="1730" xr:uid="{00000000-0005-0000-0000-0000BE060000}"/>
    <cellStyle name="20% - Accent2 2 3 3 3 3 2" xfId="1731" xr:uid="{00000000-0005-0000-0000-0000BF060000}"/>
    <cellStyle name="20% - Accent2 2 3 3 3 3 2 2" xfId="1732" xr:uid="{00000000-0005-0000-0000-0000C0060000}"/>
    <cellStyle name="20% - Accent2 2 3 3 3 3 3" xfId="1733" xr:uid="{00000000-0005-0000-0000-0000C1060000}"/>
    <cellStyle name="20% - Accent2 2 3 3 3 4" xfId="1734" xr:uid="{00000000-0005-0000-0000-0000C2060000}"/>
    <cellStyle name="20% - Accent2 2 3 3 3 4 2" xfId="1735" xr:uid="{00000000-0005-0000-0000-0000C3060000}"/>
    <cellStyle name="20% - Accent2 2 3 3 3 5" xfId="1736" xr:uid="{00000000-0005-0000-0000-0000C4060000}"/>
    <cellStyle name="20% - Accent2 2 3 3 4" xfId="1737" xr:uid="{00000000-0005-0000-0000-0000C5060000}"/>
    <cellStyle name="20% - Accent2 2 3 3 4 2" xfId="1738" xr:uid="{00000000-0005-0000-0000-0000C6060000}"/>
    <cellStyle name="20% - Accent2 2 3 3 4 2 2" xfId="1739" xr:uid="{00000000-0005-0000-0000-0000C7060000}"/>
    <cellStyle name="20% - Accent2 2 3 3 4 2 2 2" xfId="1740" xr:uid="{00000000-0005-0000-0000-0000C8060000}"/>
    <cellStyle name="20% - Accent2 2 3 3 4 2 3" xfId="1741" xr:uid="{00000000-0005-0000-0000-0000C9060000}"/>
    <cellStyle name="20% - Accent2 2 3 3 4 3" xfId="1742" xr:uid="{00000000-0005-0000-0000-0000CA060000}"/>
    <cellStyle name="20% - Accent2 2 3 3 4 3 2" xfId="1743" xr:uid="{00000000-0005-0000-0000-0000CB060000}"/>
    <cellStyle name="20% - Accent2 2 3 3 4 4" xfId="1744" xr:uid="{00000000-0005-0000-0000-0000CC060000}"/>
    <cellStyle name="20% - Accent2 2 3 3 5" xfId="1745" xr:uid="{00000000-0005-0000-0000-0000CD060000}"/>
    <cellStyle name="20% - Accent2 2 3 3 5 2" xfId="1746" xr:uid="{00000000-0005-0000-0000-0000CE060000}"/>
    <cellStyle name="20% - Accent2 2 3 3 5 2 2" xfId="1747" xr:uid="{00000000-0005-0000-0000-0000CF060000}"/>
    <cellStyle name="20% - Accent2 2 3 3 5 3" xfId="1748" xr:uid="{00000000-0005-0000-0000-0000D0060000}"/>
    <cellStyle name="20% - Accent2 2 3 3 6" xfId="1749" xr:uid="{00000000-0005-0000-0000-0000D1060000}"/>
    <cellStyle name="20% - Accent2 2 3 3 6 2" xfId="1750" xr:uid="{00000000-0005-0000-0000-0000D2060000}"/>
    <cellStyle name="20% - Accent2 2 3 3 7" xfId="1751" xr:uid="{00000000-0005-0000-0000-0000D3060000}"/>
    <cellStyle name="20% - Accent2 2 3 4" xfId="1752" xr:uid="{00000000-0005-0000-0000-0000D4060000}"/>
    <cellStyle name="20% - Accent2 2 3 4 2" xfId="1753" xr:uid="{00000000-0005-0000-0000-0000D5060000}"/>
    <cellStyle name="20% - Accent2 2 3 4 2 2" xfId="1754" xr:uid="{00000000-0005-0000-0000-0000D6060000}"/>
    <cellStyle name="20% - Accent2 2 3 4 2 2 2" xfId="1755" xr:uid="{00000000-0005-0000-0000-0000D7060000}"/>
    <cellStyle name="20% - Accent2 2 3 4 2 2 2 2" xfId="1756" xr:uid="{00000000-0005-0000-0000-0000D8060000}"/>
    <cellStyle name="20% - Accent2 2 3 4 2 2 2 2 2" xfId="1757" xr:uid="{00000000-0005-0000-0000-0000D9060000}"/>
    <cellStyle name="20% - Accent2 2 3 4 2 2 2 3" xfId="1758" xr:uid="{00000000-0005-0000-0000-0000DA060000}"/>
    <cellStyle name="20% - Accent2 2 3 4 2 2 3" xfId="1759" xr:uid="{00000000-0005-0000-0000-0000DB060000}"/>
    <cellStyle name="20% - Accent2 2 3 4 2 2 3 2" xfId="1760" xr:uid="{00000000-0005-0000-0000-0000DC060000}"/>
    <cellStyle name="20% - Accent2 2 3 4 2 2 4" xfId="1761" xr:uid="{00000000-0005-0000-0000-0000DD060000}"/>
    <cellStyle name="20% - Accent2 2 3 4 2 3" xfId="1762" xr:uid="{00000000-0005-0000-0000-0000DE060000}"/>
    <cellStyle name="20% - Accent2 2 3 4 2 3 2" xfId="1763" xr:uid="{00000000-0005-0000-0000-0000DF060000}"/>
    <cellStyle name="20% - Accent2 2 3 4 2 3 2 2" xfId="1764" xr:uid="{00000000-0005-0000-0000-0000E0060000}"/>
    <cellStyle name="20% - Accent2 2 3 4 2 3 3" xfId="1765" xr:uid="{00000000-0005-0000-0000-0000E1060000}"/>
    <cellStyle name="20% - Accent2 2 3 4 2 4" xfId="1766" xr:uid="{00000000-0005-0000-0000-0000E2060000}"/>
    <cellStyle name="20% - Accent2 2 3 4 2 4 2" xfId="1767" xr:uid="{00000000-0005-0000-0000-0000E3060000}"/>
    <cellStyle name="20% - Accent2 2 3 4 2 5" xfId="1768" xr:uid="{00000000-0005-0000-0000-0000E4060000}"/>
    <cellStyle name="20% - Accent2 2 3 4 3" xfId="1769" xr:uid="{00000000-0005-0000-0000-0000E5060000}"/>
    <cellStyle name="20% - Accent2 2 3 4 3 2" xfId="1770" xr:uid="{00000000-0005-0000-0000-0000E6060000}"/>
    <cellStyle name="20% - Accent2 2 3 4 3 2 2" xfId="1771" xr:uid="{00000000-0005-0000-0000-0000E7060000}"/>
    <cellStyle name="20% - Accent2 2 3 4 3 2 2 2" xfId="1772" xr:uid="{00000000-0005-0000-0000-0000E8060000}"/>
    <cellStyle name="20% - Accent2 2 3 4 3 2 3" xfId="1773" xr:uid="{00000000-0005-0000-0000-0000E9060000}"/>
    <cellStyle name="20% - Accent2 2 3 4 3 3" xfId="1774" xr:uid="{00000000-0005-0000-0000-0000EA060000}"/>
    <cellStyle name="20% - Accent2 2 3 4 3 3 2" xfId="1775" xr:uid="{00000000-0005-0000-0000-0000EB060000}"/>
    <cellStyle name="20% - Accent2 2 3 4 3 4" xfId="1776" xr:uid="{00000000-0005-0000-0000-0000EC060000}"/>
    <cellStyle name="20% - Accent2 2 3 4 4" xfId="1777" xr:uid="{00000000-0005-0000-0000-0000ED060000}"/>
    <cellStyle name="20% - Accent2 2 3 4 4 2" xfId="1778" xr:uid="{00000000-0005-0000-0000-0000EE060000}"/>
    <cellStyle name="20% - Accent2 2 3 4 4 2 2" xfId="1779" xr:uid="{00000000-0005-0000-0000-0000EF060000}"/>
    <cellStyle name="20% - Accent2 2 3 4 4 3" xfId="1780" xr:uid="{00000000-0005-0000-0000-0000F0060000}"/>
    <cellStyle name="20% - Accent2 2 3 4 5" xfId="1781" xr:uid="{00000000-0005-0000-0000-0000F1060000}"/>
    <cellStyle name="20% - Accent2 2 3 4 5 2" xfId="1782" xr:uid="{00000000-0005-0000-0000-0000F2060000}"/>
    <cellStyle name="20% - Accent2 2 3 4 6" xfId="1783" xr:uid="{00000000-0005-0000-0000-0000F3060000}"/>
    <cellStyle name="20% - Accent2 2 3 5" xfId="1784" xr:uid="{00000000-0005-0000-0000-0000F4060000}"/>
    <cellStyle name="20% - Accent2 2 3 5 2" xfId="1785" xr:uid="{00000000-0005-0000-0000-0000F5060000}"/>
    <cellStyle name="20% - Accent2 2 3 5 2 2" xfId="1786" xr:uid="{00000000-0005-0000-0000-0000F6060000}"/>
    <cellStyle name="20% - Accent2 2 3 5 2 2 2" xfId="1787" xr:uid="{00000000-0005-0000-0000-0000F7060000}"/>
    <cellStyle name="20% - Accent2 2 3 5 2 2 2 2" xfId="1788" xr:uid="{00000000-0005-0000-0000-0000F8060000}"/>
    <cellStyle name="20% - Accent2 2 3 5 2 2 3" xfId="1789" xr:uid="{00000000-0005-0000-0000-0000F9060000}"/>
    <cellStyle name="20% - Accent2 2 3 5 2 3" xfId="1790" xr:uid="{00000000-0005-0000-0000-0000FA060000}"/>
    <cellStyle name="20% - Accent2 2 3 5 2 3 2" xfId="1791" xr:uid="{00000000-0005-0000-0000-0000FB060000}"/>
    <cellStyle name="20% - Accent2 2 3 5 2 4" xfId="1792" xr:uid="{00000000-0005-0000-0000-0000FC060000}"/>
    <cellStyle name="20% - Accent2 2 3 5 3" xfId="1793" xr:uid="{00000000-0005-0000-0000-0000FD060000}"/>
    <cellStyle name="20% - Accent2 2 3 5 3 2" xfId="1794" xr:uid="{00000000-0005-0000-0000-0000FE060000}"/>
    <cellStyle name="20% - Accent2 2 3 5 3 2 2" xfId="1795" xr:uid="{00000000-0005-0000-0000-0000FF060000}"/>
    <cellStyle name="20% - Accent2 2 3 5 3 3" xfId="1796" xr:uid="{00000000-0005-0000-0000-000000070000}"/>
    <cellStyle name="20% - Accent2 2 3 5 4" xfId="1797" xr:uid="{00000000-0005-0000-0000-000001070000}"/>
    <cellStyle name="20% - Accent2 2 3 5 4 2" xfId="1798" xr:uid="{00000000-0005-0000-0000-000002070000}"/>
    <cellStyle name="20% - Accent2 2 3 5 5" xfId="1799" xr:uid="{00000000-0005-0000-0000-000003070000}"/>
    <cellStyle name="20% - Accent2 2 3 6" xfId="1800" xr:uid="{00000000-0005-0000-0000-000004070000}"/>
    <cellStyle name="20% - Accent2 2 3 6 2" xfId="1801" xr:uid="{00000000-0005-0000-0000-000005070000}"/>
    <cellStyle name="20% - Accent2 2 3 6 2 2" xfId="1802" xr:uid="{00000000-0005-0000-0000-000006070000}"/>
    <cellStyle name="20% - Accent2 2 3 6 2 2 2" xfId="1803" xr:uid="{00000000-0005-0000-0000-000007070000}"/>
    <cellStyle name="20% - Accent2 2 3 6 2 3" xfId="1804" xr:uid="{00000000-0005-0000-0000-000008070000}"/>
    <cellStyle name="20% - Accent2 2 3 6 3" xfId="1805" xr:uid="{00000000-0005-0000-0000-000009070000}"/>
    <cellStyle name="20% - Accent2 2 3 6 3 2" xfId="1806" xr:uid="{00000000-0005-0000-0000-00000A070000}"/>
    <cellStyle name="20% - Accent2 2 3 6 4" xfId="1807" xr:uid="{00000000-0005-0000-0000-00000B070000}"/>
    <cellStyle name="20% - Accent2 2 3 7" xfId="1808" xr:uid="{00000000-0005-0000-0000-00000C070000}"/>
    <cellStyle name="20% - Accent2 2 3 7 2" xfId="1809" xr:uid="{00000000-0005-0000-0000-00000D070000}"/>
    <cellStyle name="20% - Accent2 2 3 7 2 2" xfId="1810" xr:uid="{00000000-0005-0000-0000-00000E070000}"/>
    <cellStyle name="20% - Accent2 2 3 7 3" xfId="1811" xr:uid="{00000000-0005-0000-0000-00000F070000}"/>
    <cellStyle name="20% - Accent2 2 3 8" xfId="1812" xr:uid="{00000000-0005-0000-0000-000010070000}"/>
    <cellStyle name="20% - Accent2 2 3 8 2" xfId="1813" xr:uid="{00000000-0005-0000-0000-000011070000}"/>
    <cellStyle name="20% - Accent2 2 3 9" xfId="1814" xr:uid="{00000000-0005-0000-0000-000012070000}"/>
    <cellStyle name="20% - Accent2 2 4" xfId="1815" xr:uid="{00000000-0005-0000-0000-000013070000}"/>
    <cellStyle name="20% - Accent2 2 4 2" xfId="1816" xr:uid="{00000000-0005-0000-0000-000014070000}"/>
    <cellStyle name="20% - Accent2 2 4 2 2" xfId="1817" xr:uid="{00000000-0005-0000-0000-000015070000}"/>
    <cellStyle name="20% - Accent2 2 4 2 2 2" xfId="1818" xr:uid="{00000000-0005-0000-0000-000016070000}"/>
    <cellStyle name="20% - Accent2 2 4 2 2 2 2" xfId="1819" xr:uid="{00000000-0005-0000-0000-000017070000}"/>
    <cellStyle name="20% - Accent2 2 4 2 2 2 2 2" xfId="1820" xr:uid="{00000000-0005-0000-0000-000018070000}"/>
    <cellStyle name="20% - Accent2 2 4 2 2 2 2 2 2" xfId="1821" xr:uid="{00000000-0005-0000-0000-000019070000}"/>
    <cellStyle name="20% - Accent2 2 4 2 2 2 2 2 2 2" xfId="1822" xr:uid="{00000000-0005-0000-0000-00001A070000}"/>
    <cellStyle name="20% - Accent2 2 4 2 2 2 2 2 3" xfId="1823" xr:uid="{00000000-0005-0000-0000-00001B070000}"/>
    <cellStyle name="20% - Accent2 2 4 2 2 2 2 3" xfId="1824" xr:uid="{00000000-0005-0000-0000-00001C070000}"/>
    <cellStyle name="20% - Accent2 2 4 2 2 2 2 3 2" xfId="1825" xr:uid="{00000000-0005-0000-0000-00001D070000}"/>
    <cellStyle name="20% - Accent2 2 4 2 2 2 2 4" xfId="1826" xr:uid="{00000000-0005-0000-0000-00001E070000}"/>
    <cellStyle name="20% - Accent2 2 4 2 2 2 3" xfId="1827" xr:uid="{00000000-0005-0000-0000-00001F070000}"/>
    <cellStyle name="20% - Accent2 2 4 2 2 2 3 2" xfId="1828" xr:uid="{00000000-0005-0000-0000-000020070000}"/>
    <cellStyle name="20% - Accent2 2 4 2 2 2 3 2 2" xfId="1829" xr:uid="{00000000-0005-0000-0000-000021070000}"/>
    <cellStyle name="20% - Accent2 2 4 2 2 2 3 3" xfId="1830" xr:uid="{00000000-0005-0000-0000-000022070000}"/>
    <cellStyle name="20% - Accent2 2 4 2 2 2 4" xfId="1831" xr:uid="{00000000-0005-0000-0000-000023070000}"/>
    <cellStyle name="20% - Accent2 2 4 2 2 2 4 2" xfId="1832" xr:uid="{00000000-0005-0000-0000-000024070000}"/>
    <cellStyle name="20% - Accent2 2 4 2 2 2 5" xfId="1833" xr:uid="{00000000-0005-0000-0000-000025070000}"/>
    <cellStyle name="20% - Accent2 2 4 2 2 3" xfId="1834" xr:uid="{00000000-0005-0000-0000-000026070000}"/>
    <cellStyle name="20% - Accent2 2 4 2 2 3 2" xfId="1835" xr:uid="{00000000-0005-0000-0000-000027070000}"/>
    <cellStyle name="20% - Accent2 2 4 2 2 3 2 2" xfId="1836" xr:uid="{00000000-0005-0000-0000-000028070000}"/>
    <cellStyle name="20% - Accent2 2 4 2 2 3 2 2 2" xfId="1837" xr:uid="{00000000-0005-0000-0000-000029070000}"/>
    <cellStyle name="20% - Accent2 2 4 2 2 3 2 3" xfId="1838" xr:uid="{00000000-0005-0000-0000-00002A070000}"/>
    <cellStyle name="20% - Accent2 2 4 2 2 3 3" xfId="1839" xr:uid="{00000000-0005-0000-0000-00002B070000}"/>
    <cellStyle name="20% - Accent2 2 4 2 2 3 3 2" xfId="1840" xr:uid="{00000000-0005-0000-0000-00002C070000}"/>
    <cellStyle name="20% - Accent2 2 4 2 2 3 4" xfId="1841" xr:uid="{00000000-0005-0000-0000-00002D070000}"/>
    <cellStyle name="20% - Accent2 2 4 2 2 4" xfId="1842" xr:uid="{00000000-0005-0000-0000-00002E070000}"/>
    <cellStyle name="20% - Accent2 2 4 2 2 4 2" xfId="1843" xr:uid="{00000000-0005-0000-0000-00002F070000}"/>
    <cellStyle name="20% - Accent2 2 4 2 2 4 2 2" xfId="1844" xr:uid="{00000000-0005-0000-0000-000030070000}"/>
    <cellStyle name="20% - Accent2 2 4 2 2 4 3" xfId="1845" xr:uid="{00000000-0005-0000-0000-000031070000}"/>
    <cellStyle name="20% - Accent2 2 4 2 2 5" xfId="1846" xr:uid="{00000000-0005-0000-0000-000032070000}"/>
    <cellStyle name="20% - Accent2 2 4 2 2 5 2" xfId="1847" xr:uid="{00000000-0005-0000-0000-000033070000}"/>
    <cellStyle name="20% - Accent2 2 4 2 2 6" xfId="1848" xr:uid="{00000000-0005-0000-0000-000034070000}"/>
    <cellStyle name="20% - Accent2 2 4 2 3" xfId="1849" xr:uid="{00000000-0005-0000-0000-000035070000}"/>
    <cellStyle name="20% - Accent2 2 4 2 3 2" xfId="1850" xr:uid="{00000000-0005-0000-0000-000036070000}"/>
    <cellStyle name="20% - Accent2 2 4 2 3 2 2" xfId="1851" xr:uid="{00000000-0005-0000-0000-000037070000}"/>
    <cellStyle name="20% - Accent2 2 4 2 3 2 2 2" xfId="1852" xr:uid="{00000000-0005-0000-0000-000038070000}"/>
    <cellStyle name="20% - Accent2 2 4 2 3 2 2 2 2" xfId="1853" xr:uid="{00000000-0005-0000-0000-000039070000}"/>
    <cellStyle name="20% - Accent2 2 4 2 3 2 2 3" xfId="1854" xr:uid="{00000000-0005-0000-0000-00003A070000}"/>
    <cellStyle name="20% - Accent2 2 4 2 3 2 3" xfId="1855" xr:uid="{00000000-0005-0000-0000-00003B070000}"/>
    <cellStyle name="20% - Accent2 2 4 2 3 2 3 2" xfId="1856" xr:uid="{00000000-0005-0000-0000-00003C070000}"/>
    <cellStyle name="20% - Accent2 2 4 2 3 2 4" xfId="1857" xr:uid="{00000000-0005-0000-0000-00003D070000}"/>
    <cellStyle name="20% - Accent2 2 4 2 3 3" xfId="1858" xr:uid="{00000000-0005-0000-0000-00003E070000}"/>
    <cellStyle name="20% - Accent2 2 4 2 3 3 2" xfId="1859" xr:uid="{00000000-0005-0000-0000-00003F070000}"/>
    <cellStyle name="20% - Accent2 2 4 2 3 3 2 2" xfId="1860" xr:uid="{00000000-0005-0000-0000-000040070000}"/>
    <cellStyle name="20% - Accent2 2 4 2 3 3 3" xfId="1861" xr:uid="{00000000-0005-0000-0000-000041070000}"/>
    <cellStyle name="20% - Accent2 2 4 2 3 4" xfId="1862" xr:uid="{00000000-0005-0000-0000-000042070000}"/>
    <cellStyle name="20% - Accent2 2 4 2 3 4 2" xfId="1863" xr:uid="{00000000-0005-0000-0000-000043070000}"/>
    <cellStyle name="20% - Accent2 2 4 2 3 5" xfId="1864" xr:uid="{00000000-0005-0000-0000-000044070000}"/>
    <cellStyle name="20% - Accent2 2 4 2 4" xfId="1865" xr:uid="{00000000-0005-0000-0000-000045070000}"/>
    <cellStyle name="20% - Accent2 2 4 2 4 2" xfId="1866" xr:uid="{00000000-0005-0000-0000-000046070000}"/>
    <cellStyle name="20% - Accent2 2 4 2 4 2 2" xfId="1867" xr:uid="{00000000-0005-0000-0000-000047070000}"/>
    <cellStyle name="20% - Accent2 2 4 2 4 2 2 2" xfId="1868" xr:uid="{00000000-0005-0000-0000-000048070000}"/>
    <cellStyle name="20% - Accent2 2 4 2 4 2 3" xfId="1869" xr:uid="{00000000-0005-0000-0000-000049070000}"/>
    <cellStyle name="20% - Accent2 2 4 2 4 3" xfId="1870" xr:uid="{00000000-0005-0000-0000-00004A070000}"/>
    <cellStyle name="20% - Accent2 2 4 2 4 3 2" xfId="1871" xr:uid="{00000000-0005-0000-0000-00004B070000}"/>
    <cellStyle name="20% - Accent2 2 4 2 4 4" xfId="1872" xr:uid="{00000000-0005-0000-0000-00004C070000}"/>
    <cellStyle name="20% - Accent2 2 4 2 5" xfId="1873" xr:uid="{00000000-0005-0000-0000-00004D070000}"/>
    <cellStyle name="20% - Accent2 2 4 2 5 2" xfId="1874" xr:uid="{00000000-0005-0000-0000-00004E070000}"/>
    <cellStyle name="20% - Accent2 2 4 2 5 2 2" xfId="1875" xr:uid="{00000000-0005-0000-0000-00004F070000}"/>
    <cellStyle name="20% - Accent2 2 4 2 5 3" xfId="1876" xr:uid="{00000000-0005-0000-0000-000050070000}"/>
    <cellStyle name="20% - Accent2 2 4 2 6" xfId="1877" xr:uid="{00000000-0005-0000-0000-000051070000}"/>
    <cellStyle name="20% - Accent2 2 4 2 6 2" xfId="1878" xr:uid="{00000000-0005-0000-0000-000052070000}"/>
    <cellStyle name="20% - Accent2 2 4 2 7" xfId="1879" xr:uid="{00000000-0005-0000-0000-000053070000}"/>
    <cellStyle name="20% - Accent2 2 4 3" xfId="1880" xr:uid="{00000000-0005-0000-0000-000054070000}"/>
    <cellStyle name="20% - Accent2 2 4 3 2" xfId="1881" xr:uid="{00000000-0005-0000-0000-000055070000}"/>
    <cellStyle name="20% - Accent2 2 4 3 2 2" xfId="1882" xr:uid="{00000000-0005-0000-0000-000056070000}"/>
    <cellStyle name="20% - Accent2 2 4 3 2 2 2" xfId="1883" xr:uid="{00000000-0005-0000-0000-000057070000}"/>
    <cellStyle name="20% - Accent2 2 4 3 2 2 2 2" xfId="1884" xr:uid="{00000000-0005-0000-0000-000058070000}"/>
    <cellStyle name="20% - Accent2 2 4 3 2 2 2 2 2" xfId="1885" xr:uid="{00000000-0005-0000-0000-000059070000}"/>
    <cellStyle name="20% - Accent2 2 4 3 2 2 2 3" xfId="1886" xr:uid="{00000000-0005-0000-0000-00005A070000}"/>
    <cellStyle name="20% - Accent2 2 4 3 2 2 3" xfId="1887" xr:uid="{00000000-0005-0000-0000-00005B070000}"/>
    <cellStyle name="20% - Accent2 2 4 3 2 2 3 2" xfId="1888" xr:uid="{00000000-0005-0000-0000-00005C070000}"/>
    <cellStyle name="20% - Accent2 2 4 3 2 2 4" xfId="1889" xr:uid="{00000000-0005-0000-0000-00005D070000}"/>
    <cellStyle name="20% - Accent2 2 4 3 2 3" xfId="1890" xr:uid="{00000000-0005-0000-0000-00005E070000}"/>
    <cellStyle name="20% - Accent2 2 4 3 2 3 2" xfId="1891" xr:uid="{00000000-0005-0000-0000-00005F070000}"/>
    <cellStyle name="20% - Accent2 2 4 3 2 3 2 2" xfId="1892" xr:uid="{00000000-0005-0000-0000-000060070000}"/>
    <cellStyle name="20% - Accent2 2 4 3 2 3 3" xfId="1893" xr:uid="{00000000-0005-0000-0000-000061070000}"/>
    <cellStyle name="20% - Accent2 2 4 3 2 4" xfId="1894" xr:uid="{00000000-0005-0000-0000-000062070000}"/>
    <cellStyle name="20% - Accent2 2 4 3 2 4 2" xfId="1895" xr:uid="{00000000-0005-0000-0000-000063070000}"/>
    <cellStyle name="20% - Accent2 2 4 3 2 5" xfId="1896" xr:uid="{00000000-0005-0000-0000-000064070000}"/>
    <cellStyle name="20% - Accent2 2 4 3 3" xfId="1897" xr:uid="{00000000-0005-0000-0000-000065070000}"/>
    <cellStyle name="20% - Accent2 2 4 3 3 2" xfId="1898" xr:uid="{00000000-0005-0000-0000-000066070000}"/>
    <cellStyle name="20% - Accent2 2 4 3 3 2 2" xfId="1899" xr:uid="{00000000-0005-0000-0000-000067070000}"/>
    <cellStyle name="20% - Accent2 2 4 3 3 2 2 2" xfId="1900" xr:uid="{00000000-0005-0000-0000-000068070000}"/>
    <cellStyle name="20% - Accent2 2 4 3 3 2 3" xfId="1901" xr:uid="{00000000-0005-0000-0000-000069070000}"/>
    <cellStyle name="20% - Accent2 2 4 3 3 3" xfId="1902" xr:uid="{00000000-0005-0000-0000-00006A070000}"/>
    <cellStyle name="20% - Accent2 2 4 3 3 3 2" xfId="1903" xr:uid="{00000000-0005-0000-0000-00006B070000}"/>
    <cellStyle name="20% - Accent2 2 4 3 3 4" xfId="1904" xr:uid="{00000000-0005-0000-0000-00006C070000}"/>
    <cellStyle name="20% - Accent2 2 4 3 4" xfId="1905" xr:uid="{00000000-0005-0000-0000-00006D070000}"/>
    <cellStyle name="20% - Accent2 2 4 3 4 2" xfId="1906" xr:uid="{00000000-0005-0000-0000-00006E070000}"/>
    <cellStyle name="20% - Accent2 2 4 3 4 2 2" xfId="1907" xr:uid="{00000000-0005-0000-0000-00006F070000}"/>
    <cellStyle name="20% - Accent2 2 4 3 4 3" xfId="1908" xr:uid="{00000000-0005-0000-0000-000070070000}"/>
    <cellStyle name="20% - Accent2 2 4 3 5" xfId="1909" xr:uid="{00000000-0005-0000-0000-000071070000}"/>
    <cellStyle name="20% - Accent2 2 4 3 5 2" xfId="1910" xr:uid="{00000000-0005-0000-0000-000072070000}"/>
    <cellStyle name="20% - Accent2 2 4 3 6" xfId="1911" xr:uid="{00000000-0005-0000-0000-000073070000}"/>
    <cellStyle name="20% - Accent2 2 4 4" xfId="1912" xr:uid="{00000000-0005-0000-0000-000074070000}"/>
    <cellStyle name="20% - Accent2 2 4 4 2" xfId="1913" xr:uid="{00000000-0005-0000-0000-000075070000}"/>
    <cellStyle name="20% - Accent2 2 4 4 2 2" xfId="1914" xr:uid="{00000000-0005-0000-0000-000076070000}"/>
    <cellStyle name="20% - Accent2 2 4 4 2 2 2" xfId="1915" xr:uid="{00000000-0005-0000-0000-000077070000}"/>
    <cellStyle name="20% - Accent2 2 4 4 2 2 2 2" xfId="1916" xr:uid="{00000000-0005-0000-0000-000078070000}"/>
    <cellStyle name="20% - Accent2 2 4 4 2 2 3" xfId="1917" xr:uid="{00000000-0005-0000-0000-000079070000}"/>
    <cellStyle name="20% - Accent2 2 4 4 2 3" xfId="1918" xr:uid="{00000000-0005-0000-0000-00007A070000}"/>
    <cellStyle name="20% - Accent2 2 4 4 2 3 2" xfId="1919" xr:uid="{00000000-0005-0000-0000-00007B070000}"/>
    <cellStyle name="20% - Accent2 2 4 4 2 4" xfId="1920" xr:uid="{00000000-0005-0000-0000-00007C070000}"/>
    <cellStyle name="20% - Accent2 2 4 4 3" xfId="1921" xr:uid="{00000000-0005-0000-0000-00007D070000}"/>
    <cellStyle name="20% - Accent2 2 4 4 3 2" xfId="1922" xr:uid="{00000000-0005-0000-0000-00007E070000}"/>
    <cellStyle name="20% - Accent2 2 4 4 3 2 2" xfId="1923" xr:uid="{00000000-0005-0000-0000-00007F070000}"/>
    <cellStyle name="20% - Accent2 2 4 4 3 3" xfId="1924" xr:uid="{00000000-0005-0000-0000-000080070000}"/>
    <cellStyle name="20% - Accent2 2 4 4 4" xfId="1925" xr:uid="{00000000-0005-0000-0000-000081070000}"/>
    <cellStyle name="20% - Accent2 2 4 4 4 2" xfId="1926" xr:uid="{00000000-0005-0000-0000-000082070000}"/>
    <cellStyle name="20% - Accent2 2 4 4 5" xfId="1927" xr:uid="{00000000-0005-0000-0000-000083070000}"/>
    <cellStyle name="20% - Accent2 2 4 5" xfId="1928" xr:uid="{00000000-0005-0000-0000-000084070000}"/>
    <cellStyle name="20% - Accent2 2 4 5 2" xfId="1929" xr:uid="{00000000-0005-0000-0000-000085070000}"/>
    <cellStyle name="20% - Accent2 2 4 5 2 2" xfId="1930" xr:uid="{00000000-0005-0000-0000-000086070000}"/>
    <cellStyle name="20% - Accent2 2 4 5 2 2 2" xfId="1931" xr:uid="{00000000-0005-0000-0000-000087070000}"/>
    <cellStyle name="20% - Accent2 2 4 5 2 3" xfId="1932" xr:uid="{00000000-0005-0000-0000-000088070000}"/>
    <cellStyle name="20% - Accent2 2 4 5 3" xfId="1933" xr:uid="{00000000-0005-0000-0000-000089070000}"/>
    <cellStyle name="20% - Accent2 2 4 5 3 2" xfId="1934" xr:uid="{00000000-0005-0000-0000-00008A070000}"/>
    <cellStyle name="20% - Accent2 2 4 5 4" xfId="1935" xr:uid="{00000000-0005-0000-0000-00008B070000}"/>
    <cellStyle name="20% - Accent2 2 4 6" xfId="1936" xr:uid="{00000000-0005-0000-0000-00008C070000}"/>
    <cellStyle name="20% - Accent2 2 4 6 2" xfId="1937" xr:uid="{00000000-0005-0000-0000-00008D070000}"/>
    <cellStyle name="20% - Accent2 2 4 6 2 2" xfId="1938" xr:uid="{00000000-0005-0000-0000-00008E070000}"/>
    <cellStyle name="20% - Accent2 2 4 6 3" xfId="1939" xr:uid="{00000000-0005-0000-0000-00008F070000}"/>
    <cellStyle name="20% - Accent2 2 4 7" xfId="1940" xr:uid="{00000000-0005-0000-0000-000090070000}"/>
    <cellStyle name="20% - Accent2 2 4 7 2" xfId="1941" xr:uid="{00000000-0005-0000-0000-000091070000}"/>
    <cellStyle name="20% - Accent2 2 4 8" xfId="1942" xr:uid="{00000000-0005-0000-0000-000092070000}"/>
    <cellStyle name="20% - Accent2 2 5" xfId="1943" xr:uid="{00000000-0005-0000-0000-000093070000}"/>
    <cellStyle name="20% - Accent2 2 5 2" xfId="1944" xr:uid="{00000000-0005-0000-0000-000094070000}"/>
    <cellStyle name="20% - Accent2 2 5 2 2" xfId="1945" xr:uid="{00000000-0005-0000-0000-000095070000}"/>
    <cellStyle name="20% - Accent2 2 5 2 2 2" xfId="1946" xr:uid="{00000000-0005-0000-0000-000096070000}"/>
    <cellStyle name="20% - Accent2 2 5 2 2 2 2" xfId="1947" xr:uid="{00000000-0005-0000-0000-000097070000}"/>
    <cellStyle name="20% - Accent2 2 5 2 2 2 2 2" xfId="1948" xr:uid="{00000000-0005-0000-0000-000098070000}"/>
    <cellStyle name="20% - Accent2 2 5 2 2 2 2 2 2" xfId="1949" xr:uid="{00000000-0005-0000-0000-000099070000}"/>
    <cellStyle name="20% - Accent2 2 5 2 2 2 2 3" xfId="1950" xr:uid="{00000000-0005-0000-0000-00009A070000}"/>
    <cellStyle name="20% - Accent2 2 5 2 2 2 3" xfId="1951" xr:uid="{00000000-0005-0000-0000-00009B070000}"/>
    <cellStyle name="20% - Accent2 2 5 2 2 2 3 2" xfId="1952" xr:uid="{00000000-0005-0000-0000-00009C070000}"/>
    <cellStyle name="20% - Accent2 2 5 2 2 2 4" xfId="1953" xr:uid="{00000000-0005-0000-0000-00009D070000}"/>
    <cellStyle name="20% - Accent2 2 5 2 2 3" xfId="1954" xr:uid="{00000000-0005-0000-0000-00009E070000}"/>
    <cellStyle name="20% - Accent2 2 5 2 2 3 2" xfId="1955" xr:uid="{00000000-0005-0000-0000-00009F070000}"/>
    <cellStyle name="20% - Accent2 2 5 2 2 3 2 2" xfId="1956" xr:uid="{00000000-0005-0000-0000-0000A0070000}"/>
    <cellStyle name="20% - Accent2 2 5 2 2 3 3" xfId="1957" xr:uid="{00000000-0005-0000-0000-0000A1070000}"/>
    <cellStyle name="20% - Accent2 2 5 2 2 4" xfId="1958" xr:uid="{00000000-0005-0000-0000-0000A2070000}"/>
    <cellStyle name="20% - Accent2 2 5 2 2 4 2" xfId="1959" xr:uid="{00000000-0005-0000-0000-0000A3070000}"/>
    <cellStyle name="20% - Accent2 2 5 2 2 5" xfId="1960" xr:uid="{00000000-0005-0000-0000-0000A4070000}"/>
    <cellStyle name="20% - Accent2 2 5 2 3" xfId="1961" xr:uid="{00000000-0005-0000-0000-0000A5070000}"/>
    <cellStyle name="20% - Accent2 2 5 2 3 2" xfId="1962" xr:uid="{00000000-0005-0000-0000-0000A6070000}"/>
    <cellStyle name="20% - Accent2 2 5 2 3 2 2" xfId="1963" xr:uid="{00000000-0005-0000-0000-0000A7070000}"/>
    <cellStyle name="20% - Accent2 2 5 2 3 2 2 2" xfId="1964" xr:uid="{00000000-0005-0000-0000-0000A8070000}"/>
    <cellStyle name="20% - Accent2 2 5 2 3 2 3" xfId="1965" xr:uid="{00000000-0005-0000-0000-0000A9070000}"/>
    <cellStyle name="20% - Accent2 2 5 2 3 3" xfId="1966" xr:uid="{00000000-0005-0000-0000-0000AA070000}"/>
    <cellStyle name="20% - Accent2 2 5 2 3 3 2" xfId="1967" xr:uid="{00000000-0005-0000-0000-0000AB070000}"/>
    <cellStyle name="20% - Accent2 2 5 2 3 4" xfId="1968" xr:uid="{00000000-0005-0000-0000-0000AC070000}"/>
    <cellStyle name="20% - Accent2 2 5 2 4" xfId="1969" xr:uid="{00000000-0005-0000-0000-0000AD070000}"/>
    <cellStyle name="20% - Accent2 2 5 2 4 2" xfId="1970" xr:uid="{00000000-0005-0000-0000-0000AE070000}"/>
    <cellStyle name="20% - Accent2 2 5 2 4 2 2" xfId="1971" xr:uid="{00000000-0005-0000-0000-0000AF070000}"/>
    <cellStyle name="20% - Accent2 2 5 2 4 3" xfId="1972" xr:uid="{00000000-0005-0000-0000-0000B0070000}"/>
    <cellStyle name="20% - Accent2 2 5 2 5" xfId="1973" xr:uid="{00000000-0005-0000-0000-0000B1070000}"/>
    <cellStyle name="20% - Accent2 2 5 2 5 2" xfId="1974" xr:uid="{00000000-0005-0000-0000-0000B2070000}"/>
    <cellStyle name="20% - Accent2 2 5 2 6" xfId="1975" xr:uid="{00000000-0005-0000-0000-0000B3070000}"/>
    <cellStyle name="20% - Accent2 2 5 3" xfId="1976" xr:uid="{00000000-0005-0000-0000-0000B4070000}"/>
    <cellStyle name="20% - Accent2 2 5 3 2" xfId="1977" xr:uid="{00000000-0005-0000-0000-0000B5070000}"/>
    <cellStyle name="20% - Accent2 2 5 3 2 2" xfId="1978" xr:uid="{00000000-0005-0000-0000-0000B6070000}"/>
    <cellStyle name="20% - Accent2 2 5 3 2 2 2" xfId="1979" xr:uid="{00000000-0005-0000-0000-0000B7070000}"/>
    <cellStyle name="20% - Accent2 2 5 3 2 2 2 2" xfId="1980" xr:uid="{00000000-0005-0000-0000-0000B8070000}"/>
    <cellStyle name="20% - Accent2 2 5 3 2 2 3" xfId="1981" xr:uid="{00000000-0005-0000-0000-0000B9070000}"/>
    <cellStyle name="20% - Accent2 2 5 3 2 3" xfId="1982" xr:uid="{00000000-0005-0000-0000-0000BA070000}"/>
    <cellStyle name="20% - Accent2 2 5 3 2 3 2" xfId="1983" xr:uid="{00000000-0005-0000-0000-0000BB070000}"/>
    <cellStyle name="20% - Accent2 2 5 3 2 4" xfId="1984" xr:uid="{00000000-0005-0000-0000-0000BC070000}"/>
    <cellStyle name="20% - Accent2 2 5 3 3" xfId="1985" xr:uid="{00000000-0005-0000-0000-0000BD070000}"/>
    <cellStyle name="20% - Accent2 2 5 3 3 2" xfId="1986" xr:uid="{00000000-0005-0000-0000-0000BE070000}"/>
    <cellStyle name="20% - Accent2 2 5 3 3 2 2" xfId="1987" xr:uid="{00000000-0005-0000-0000-0000BF070000}"/>
    <cellStyle name="20% - Accent2 2 5 3 3 3" xfId="1988" xr:uid="{00000000-0005-0000-0000-0000C0070000}"/>
    <cellStyle name="20% - Accent2 2 5 3 4" xfId="1989" xr:uid="{00000000-0005-0000-0000-0000C1070000}"/>
    <cellStyle name="20% - Accent2 2 5 3 4 2" xfId="1990" xr:uid="{00000000-0005-0000-0000-0000C2070000}"/>
    <cellStyle name="20% - Accent2 2 5 3 5" xfId="1991" xr:uid="{00000000-0005-0000-0000-0000C3070000}"/>
    <cellStyle name="20% - Accent2 2 5 4" xfId="1992" xr:uid="{00000000-0005-0000-0000-0000C4070000}"/>
    <cellStyle name="20% - Accent2 2 5 4 2" xfId="1993" xr:uid="{00000000-0005-0000-0000-0000C5070000}"/>
    <cellStyle name="20% - Accent2 2 5 4 2 2" xfId="1994" xr:uid="{00000000-0005-0000-0000-0000C6070000}"/>
    <cellStyle name="20% - Accent2 2 5 4 2 2 2" xfId="1995" xr:uid="{00000000-0005-0000-0000-0000C7070000}"/>
    <cellStyle name="20% - Accent2 2 5 4 2 3" xfId="1996" xr:uid="{00000000-0005-0000-0000-0000C8070000}"/>
    <cellStyle name="20% - Accent2 2 5 4 3" xfId="1997" xr:uid="{00000000-0005-0000-0000-0000C9070000}"/>
    <cellStyle name="20% - Accent2 2 5 4 3 2" xfId="1998" xr:uid="{00000000-0005-0000-0000-0000CA070000}"/>
    <cellStyle name="20% - Accent2 2 5 4 4" xfId="1999" xr:uid="{00000000-0005-0000-0000-0000CB070000}"/>
    <cellStyle name="20% - Accent2 2 5 5" xfId="2000" xr:uid="{00000000-0005-0000-0000-0000CC070000}"/>
    <cellStyle name="20% - Accent2 2 5 5 2" xfId="2001" xr:uid="{00000000-0005-0000-0000-0000CD070000}"/>
    <cellStyle name="20% - Accent2 2 5 5 2 2" xfId="2002" xr:uid="{00000000-0005-0000-0000-0000CE070000}"/>
    <cellStyle name="20% - Accent2 2 5 5 3" xfId="2003" xr:uid="{00000000-0005-0000-0000-0000CF070000}"/>
    <cellStyle name="20% - Accent2 2 5 6" xfId="2004" xr:uid="{00000000-0005-0000-0000-0000D0070000}"/>
    <cellStyle name="20% - Accent2 2 5 6 2" xfId="2005" xr:uid="{00000000-0005-0000-0000-0000D1070000}"/>
    <cellStyle name="20% - Accent2 2 5 7" xfId="2006" xr:uid="{00000000-0005-0000-0000-0000D2070000}"/>
    <cellStyle name="20% - Accent2 2 6" xfId="2007" xr:uid="{00000000-0005-0000-0000-0000D3070000}"/>
    <cellStyle name="20% - Accent2 2 6 2" xfId="2008" xr:uid="{00000000-0005-0000-0000-0000D4070000}"/>
    <cellStyle name="20% - Accent2 2 6 2 2" xfId="2009" xr:uid="{00000000-0005-0000-0000-0000D5070000}"/>
    <cellStyle name="20% - Accent2 2 6 2 2 2" xfId="2010" xr:uid="{00000000-0005-0000-0000-0000D6070000}"/>
    <cellStyle name="20% - Accent2 2 6 2 2 2 2" xfId="2011" xr:uid="{00000000-0005-0000-0000-0000D7070000}"/>
    <cellStyle name="20% - Accent2 2 6 2 2 2 2 2" xfId="2012" xr:uid="{00000000-0005-0000-0000-0000D8070000}"/>
    <cellStyle name="20% - Accent2 2 6 2 2 2 3" xfId="2013" xr:uid="{00000000-0005-0000-0000-0000D9070000}"/>
    <cellStyle name="20% - Accent2 2 6 2 2 3" xfId="2014" xr:uid="{00000000-0005-0000-0000-0000DA070000}"/>
    <cellStyle name="20% - Accent2 2 6 2 2 3 2" xfId="2015" xr:uid="{00000000-0005-0000-0000-0000DB070000}"/>
    <cellStyle name="20% - Accent2 2 6 2 2 4" xfId="2016" xr:uid="{00000000-0005-0000-0000-0000DC070000}"/>
    <cellStyle name="20% - Accent2 2 6 2 3" xfId="2017" xr:uid="{00000000-0005-0000-0000-0000DD070000}"/>
    <cellStyle name="20% - Accent2 2 6 2 3 2" xfId="2018" xr:uid="{00000000-0005-0000-0000-0000DE070000}"/>
    <cellStyle name="20% - Accent2 2 6 2 3 2 2" xfId="2019" xr:uid="{00000000-0005-0000-0000-0000DF070000}"/>
    <cellStyle name="20% - Accent2 2 6 2 3 3" xfId="2020" xr:uid="{00000000-0005-0000-0000-0000E0070000}"/>
    <cellStyle name="20% - Accent2 2 6 2 4" xfId="2021" xr:uid="{00000000-0005-0000-0000-0000E1070000}"/>
    <cellStyle name="20% - Accent2 2 6 2 4 2" xfId="2022" xr:uid="{00000000-0005-0000-0000-0000E2070000}"/>
    <cellStyle name="20% - Accent2 2 6 2 5" xfId="2023" xr:uid="{00000000-0005-0000-0000-0000E3070000}"/>
    <cellStyle name="20% - Accent2 2 6 3" xfId="2024" xr:uid="{00000000-0005-0000-0000-0000E4070000}"/>
    <cellStyle name="20% - Accent2 2 6 3 2" xfId="2025" xr:uid="{00000000-0005-0000-0000-0000E5070000}"/>
    <cellStyle name="20% - Accent2 2 6 3 2 2" xfId="2026" xr:uid="{00000000-0005-0000-0000-0000E6070000}"/>
    <cellStyle name="20% - Accent2 2 6 3 2 2 2" xfId="2027" xr:uid="{00000000-0005-0000-0000-0000E7070000}"/>
    <cellStyle name="20% - Accent2 2 6 3 2 3" xfId="2028" xr:uid="{00000000-0005-0000-0000-0000E8070000}"/>
    <cellStyle name="20% - Accent2 2 6 3 3" xfId="2029" xr:uid="{00000000-0005-0000-0000-0000E9070000}"/>
    <cellStyle name="20% - Accent2 2 6 3 3 2" xfId="2030" xr:uid="{00000000-0005-0000-0000-0000EA070000}"/>
    <cellStyle name="20% - Accent2 2 6 3 4" xfId="2031" xr:uid="{00000000-0005-0000-0000-0000EB070000}"/>
    <cellStyle name="20% - Accent2 2 6 4" xfId="2032" xr:uid="{00000000-0005-0000-0000-0000EC070000}"/>
    <cellStyle name="20% - Accent2 2 6 4 2" xfId="2033" xr:uid="{00000000-0005-0000-0000-0000ED070000}"/>
    <cellStyle name="20% - Accent2 2 6 4 2 2" xfId="2034" xr:uid="{00000000-0005-0000-0000-0000EE070000}"/>
    <cellStyle name="20% - Accent2 2 6 4 3" xfId="2035" xr:uid="{00000000-0005-0000-0000-0000EF070000}"/>
    <cellStyle name="20% - Accent2 2 6 5" xfId="2036" xr:uid="{00000000-0005-0000-0000-0000F0070000}"/>
    <cellStyle name="20% - Accent2 2 6 5 2" xfId="2037" xr:uid="{00000000-0005-0000-0000-0000F1070000}"/>
    <cellStyle name="20% - Accent2 2 6 6" xfId="2038" xr:uid="{00000000-0005-0000-0000-0000F2070000}"/>
    <cellStyle name="20% - Accent2 2 7" xfId="2039" xr:uid="{00000000-0005-0000-0000-0000F3070000}"/>
    <cellStyle name="20% - Accent2 2 7 2" xfId="2040" xr:uid="{00000000-0005-0000-0000-0000F4070000}"/>
    <cellStyle name="20% - Accent2 2 7 2 2" xfId="2041" xr:uid="{00000000-0005-0000-0000-0000F5070000}"/>
    <cellStyle name="20% - Accent2 2 7 2 2 2" xfId="2042" xr:uid="{00000000-0005-0000-0000-0000F6070000}"/>
    <cellStyle name="20% - Accent2 2 7 2 2 2 2" xfId="2043" xr:uid="{00000000-0005-0000-0000-0000F7070000}"/>
    <cellStyle name="20% - Accent2 2 7 2 2 3" xfId="2044" xr:uid="{00000000-0005-0000-0000-0000F8070000}"/>
    <cellStyle name="20% - Accent2 2 7 2 3" xfId="2045" xr:uid="{00000000-0005-0000-0000-0000F9070000}"/>
    <cellStyle name="20% - Accent2 2 7 2 3 2" xfId="2046" xr:uid="{00000000-0005-0000-0000-0000FA070000}"/>
    <cellStyle name="20% - Accent2 2 7 2 4" xfId="2047" xr:uid="{00000000-0005-0000-0000-0000FB070000}"/>
    <cellStyle name="20% - Accent2 2 7 3" xfId="2048" xr:uid="{00000000-0005-0000-0000-0000FC070000}"/>
    <cellStyle name="20% - Accent2 2 7 3 2" xfId="2049" xr:uid="{00000000-0005-0000-0000-0000FD070000}"/>
    <cellStyle name="20% - Accent2 2 7 3 2 2" xfId="2050" xr:uid="{00000000-0005-0000-0000-0000FE070000}"/>
    <cellStyle name="20% - Accent2 2 7 3 3" xfId="2051" xr:uid="{00000000-0005-0000-0000-0000FF070000}"/>
    <cellStyle name="20% - Accent2 2 7 4" xfId="2052" xr:uid="{00000000-0005-0000-0000-000000080000}"/>
    <cellStyle name="20% - Accent2 2 7 4 2" xfId="2053" xr:uid="{00000000-0005-0000-0000-000001080000}"/>
    <cellStyle name="20% - Accent2 2 7 5" xfId="2054" xr:uid="{00000000-0005-0000-0000-000002080000}"/>
    <cellStyle name="20% - Accent2 2 8" xfId="2055" xr:uid="{00000000-0005-0000-0000-000003080000}"/>
    <cellStyle name="20% - Accent2 2 8 2" xfId="2056" xr:uid="{00000000-0005-0000-0000-000004080000}"/>
    <cellStyle name="20% - Accent2 2 8 2 2" xfId="2057" xr:uid="{00000000-0005-0000-0000-000005080000}"/>
    <cellStyle name="20% - Accent2 2 8 2 2 2" xfId="2058" xr:uid="{00000000-0005-0000-0000-000006080000}"/>
    <cellStyle name="20% - Accent2 2 8 2 3" xfId="2059" xr:uid="{00000000-0005-0000-0000-000007080000}"/>
    <cellStyle name="20% - Accent2 2 8 3" xfId="2060" xr:uid="{00000000-0005-0000-0000-000008080000}"/>
    <cellStyle name="20% - Accent2 2 8 3 2" xfId="2061" xr:uid="{00000000-0005-0000-0000-000009080000}"/>
    <cellStyle name="20% - Accent2 2 8 4" xfId="2062" xr:uid="{00000000-0005-0000-0000-00000A080000}"/>
    <cellStyle name="20% - Accent2 2 9" xfId="2063" xr:uid="{00000000-0005-0000-0000-00000B080000}"/>
    <cellStyle name="20% - Accent2 2 9 2" xfId="2064" xr:uid="{00000000-0005-0000-0000-00000C080000}"/>
    <cellStyle name="20% - Accent2 2 9 2 2" xfId="2065" xr:uid="{00000000-0005-0000-0000-00000D080000}"/>
    <cellStyle name="20% - Accent2 2 9 3" xfId="2066" xr:uid="{00000000-0005-0000-0000-00000E080000}"/>
    <cellStyle name="20% - Accent2 3" xfId="2067" xr:uid="{00000000-0005-0000-0000-00000F080000}"/>
    <cellStyle name="20% - Accent2 4" xfId="2068" xr:uid="{00000000-0005-0000-0000-000010080000}"/>
    <cellStyle name="20% - Accent2 5" xfId="2069" xr:uid="{00000000-0005-0000-0000-000011080000}"/>
    <cellStyle name="20% - Accent2 6" xfId="2070" xr:uid="{00000000-0005-0000-0000-000012080000}"/>
    <cellStyle name="20% - Accent2 7" xfId="2071" xr:uid="{00000000-0005-0000-0000-000013080000}"/>
    <cellStyle name="20% - Accent2 8" xfId="2072" xr:uid="{00000000-0005-0000-0000-000014080000}"/>
    <cellStyle name="20% - Accent2 9" xfId="2073" xr:uid="{00000000-0005-0000-0000-000015080000}"/>
    <cellStyle name="20% - Accent3 10" xfId="2074" xr:uid="{00000000-0005-0000-0000-000016080000}"/>
    <cellStyle name="20% - Accent3 11" xfId="2075" xr:uid="{00000000-0005-0000-0000-000017080000}"/>
    <cellStyle name="20% - Accent3 12" xfId="2076" xr:uid="{00000000-0005-0000-0000-000018080000}"/>
    <cellStyle name="20% - Accent3 13" xfId="2077" xr:uid="{00000000-0005-0000-0000-000019080000}"/>
    <cellStyle name="20% - Accent3 2" xfId="2078" xr:uid="{00000000-0005-0000-0000-00001A080000}"/>
    <cellStyle name="20% - Accent3 2 10" xfId="2079" xr:uid="{00000000-0005-0000-0000-00001B080000}"/>
    <cellStyle name="20% - Accent3 2 10 2" xfId="2080" xr:uid="{00000000-0005-0000-0000-00001C080000}"/>
    <cellStyle name="20% - Accent3 2 11" xfId="2081" xr:uid="{00000000-0005-0000-0000-00001D080000}"/>
    <cellStyle name="20% - Accent3 2 2" xfId="2082" xr:uid="{00000000-0005-0000-0000-00001E080000}"/>
    <cellStyle name="20% - Accent3 2 2 10" xfId="2083" xr:uid="{00000000-0005-0000-0000-00001F080000}"/>
    <cellStyle name="20% - Accent3 2 2 2" xfId="2084" xr:uid="{00000000-0005-0000-0000-000020080000}"/>
    <cellStyle name="20% - Accent3 2 2 2 2" xfId="2085" xr:uid="{00000000-0005-0000-0000-000021080000}"/>
    <cellStyle name="20% - Accent3 2 2 2 2 2" xfId="2086" xr:uid="{00000000-0005-0000-0000-000022080000}"/>
    <cellStyle name="20% - Accent3 2 2 2 2 2 2" xfId="2087" xr:uid="{00000000-0005-0000-0000-000023080000}"/>
    <cellStyle name="20% - Accent3 2 2 2 2 2 2 2" xfId="2088" xr:uid="{00000000-0005-0000-0000-000024080000}"/>
    <cellStyle name="20% - Accent3 2 2 2 2 2 2 2 2" xfId="2089" xr:uid="{00000000-0005-0000-0000-000025080000}"/>
    <cellStyle name="20% - Accent3 2 2 2 2 2 2 2 2 2" xfId="2090" xr:uid="{00000000-0005-0000-0000-000026080000}"/>
    <cellStyle name="20% - Accent3 2 2 2 2 2 2 2 2 2 2" xfId="2091" xr:uid="{00000000-0005-0000-0000-000027080000}"/>
    <cellStyle name="20% - Accent3 2 2 2 2 2 2 2 2 2 2 2" xfId="2092" xr:uid="{00000000-0005-0000-0000-000028080000}"/>
    <cellStyle name="20% - Accent3 2 2 2 2 2 2 2 2 2 3" xfId="2093" xr:uid="{00000000-0005-0000-0000-000029080000}"/>
    <cellStyle name="20% - Accent3 2 2 2 2 2 2 2 2 3" xfId="2094" xr:uid="{00000000-0005-0000-0000-00002A080000}"/>
    <cellStyle name="20% - Accent3 2 2 2 2 2 2 2 2 3 2" xfId="2095" xr:uid="{00000000-0005-0000-0000-00002B080000}"/>
    <cellStyle name="20% - Accent3 2 2 2 2 2 2 2 2 4" xfId="2096" xr:uid="{00000000-0005-0000-0000-00002C080000}"/>
    <cellStyle name="20% - Accent3 2 2 2 2 2 2 2 3" xfId="2097" xr:uid="{00000000-0005-0000-0000-00002D080000}"/>
    <cellStyle name="20% - Accent3 2 2 2 2 2 2 2 3 2" xfId="2098" xr:uid="{00000000-0005-0000-0000-00002E080000}"/>
    <cellStyle name="20% - Accent3 2 2 2 2 2 2 2 3 2 2" xfId="2099" xr:uid="{00000000-0005-0000-0000-00002F080000}"/>
    <cellStyle name="20% - Accent3 2 2 2 2 2 2 2 3 3" xfId="2100" xr:uid="{00000000-0005-0000-0000-000030080000}"/>
    <cellStyle name="20% - Accent3 2 2 2 2 2 2 2 4" xfId="2101" xr:uid="{00000000-0005-0000-0000-000031080000}"/>
    <cellStyle name="20% - Accent3 2 2 2 2 2 2 2 4 2" xfId="2102" xr:uid="{00000000-0005-0000-0000-000032080000}"/>
    <cellStyle name="20% - Accent3 2 2 2 2 2 2 2 5" xfId="2103" xr:uid="{00000000-0005-0000-0000-000033080000}"/>
    <cellStyle name="20% - Accent3 2 2 2 2 2 2 3" xfId="2104" xr:uid="{00000000-0005-0000-0000-000034080000}"/>
    <cellStyle name="20% - Accent3 2 2 2 2 2 2 3 2" xfId="2105" xr:uid="{00000000-0005-0000-0000-000035080000}"/>
    <cellStyle name="20% - Accent3 2 2 2 2 2 2 3 2 2" xfId="2106" xr:uid="{00000000-0005-0000-0000-000036080000}"/>
    <cellStyle name="20% - Accent3 2 2 2 2 2 2 3 2 2 2" xfId="2107" xr:uid="{00000000-0005-0000-0000-000037080000}"/>
    <cellStyle name="20% - Accent3 2 2 2 2 2 2 3 2 3" xfId="2108" xr:uid="{00000000-0005-0000-0000-000038080000}"/>
    <cellStyle name="20% - Accent3 2 2 2 2 2 2 3 3" xfId="2109" xr:uid="{00000000-0005-0000-0000-000039080000}"/>
    <cellStyle name="20% - Accent3 2 2 2 2 2 2 3 3 2" xfId="2110" xr:uid="{00000000-0005-0000-0000-00003A080000}"/>
    <cellStyle name="20% - Accent3 2 2 2 2 2 2 3 4" xfId="2111" xr:uid="{00000000-0005-0000-0000-00003B080000}"/>
    <cellStyle name="20% - Accent3 2 2 2 2 2 2 4" xfId="2112" xr:uid="{00000000-0005-0000-0000-00003C080000}"/>
    <cellStyle name="20% - Accent3 2 2 2 2 2 2 4 2" xfId="2113" xr:uid="{00000000-0005-0000-0000-00003D080000}"/>
    <cellStyle name="20% - Accent3 2 2 2 2 2 2 4 2 2" xfId="2114" xr:uid="{00000000-0005-0000-0000-00003E080000}"/>
    <cellStyle name="20% - Accent3 2 2 2 2 2 2 4 3" xfId="2115" xr:uid="{00000000-0005-0000-0000-00003F080000}"/>
    <cellStyle name="20% - Accent3 2 2 2 2 2 2 5" xfId="2116" xr:uid="{00000000-0005-0000-0000-000040080000}"/>
    <cellStyle name="20% - Accent3 2 2 2 2 2 2 5 2" xfId="2117" xr:uid="{00000000-0005-0000-0000-000041080000}"/>
    <cellStyle name="20% - Accent3 2 2 2 2 2 2 6" xfId="2118" xr:uid="{00000000-0005-0000-0000-000042080000}"/>
    <cellStyle name="20% - Accent3 2 2 2 2 2 3" xfId="2119" xr:uid="{00000000-0005-0000-0000-000043080000}"/>
    <cellStyle name="20% - Accent3 2 2 2 2 2 3 2" xfId="2120" xr:uid="{00000000-0005-0000-0000-000044080000}"/>
    <cellStyle name="20% - Accent3 2 2 2 2 2 3 2 2" xfId="2121" xr:uid="{00000000-0005-0000-0000-000045080000}"/>
    <cellStyle name="20% - Accent3 2 2 2 2 2 3 2 2 2" xfId="2122" xr:uid="{00000000-0005-0000-0000-000046080000}"/>
    <cellStyle name="20% - Accent3 2 2 2 2 2 3 2 2 2 2" xfId="2123" xr:uid="{00000000-0005-0000-0000-000047080000}"/>
    <cellStyle name="20% - Accent3 2 2 2 2 2 3 2 2 3" xfId="2124" xr:uid="{00000000-0005-0000-0000-000048080000}"/>
    <cellStyle name="20% - Accent3 2 2 2 2 2 3 2 3" xfId="2125" xr:uid="{00000000-0005-0000-0000-000049080000}"/>
    <cellStyle name="20% - Accent3 2 2 2 2 2 3 2 3 2" xfId="2126" xr:uid="{00000000-0005-0000-0000-00004A080000}"/>
    <cellStyle name="20% - Accent3 2 2 2 2 2 3 2 4" xfId="2127" xr:uid="{00000000-0005-0000-0000-00004B080000}"/>
    <cellStyle name="20% - Accent3 2 2 2 2 2 3 3" xfId="2128" xr:uid="{00000000-0005-0000-0000-00004C080000}"/>
    <cellStyle name="20% - Accent3 2 2 2 2 2 3 3 2" xfId="2129" xr:uid="{00000000-0005-0000-0000-00004D080000}"/>
    <cellStyle name="20% - Accent3 2 2 2 2 2 3 3 2 2" xfId="2130" xr:uid="{00000000-0005-0000-0000-00004E080000}"/>
    <cellStyle name="20% - Accent3 2 2 2 2 2 3 3 3" xfId="2131" xr:uid="{00000000-0005-0000-0000-00004F080000}"/>
    <cellStyle name="20% - Accent3 2 2 2 2 2 3 4" xfId="2132" xr:uid="{00000000-0005-0000-0000-000050080000}"/>
    <cellStyle name="20% - Accent3 2 2 2 2 2 3 4 2" xfId="2133" xr:uid="{00000000-0005-0000-0000-000051080000}"/>
    <cellStyle name="20% - Accent3 2 2 2 2 2 3 5" xfId="2134" xr:uid="{00000000-0005-0000-0000-000052080000}"/>
    <cellStyle name="20% - Accent3 2 2 2 2 2 4" xfId="2135" xr:uid="{00000000-0005-0000-0000-000053080000}"/>
    <cellStyle name="20% - Accent3 2 2 2 2 2 4 2" xfId="2136" xr:uid="{00000000-0005-0000-0000-000054080000}"/>
    <cellStyle name="20% - Accent3 2 2 2 2 2 4 2 2" xfId="2137" xr:uid="{00000000-0005-0000-0000-000055080000}"/>
    <cellStyle name="20% - Accent3 2 2 2 2 2 4 2 2 2" xfId="2138" xr:uid="{00000000-0005-0000-0000-000056080000}"/>
    <cellStyle name="20% - Accent3 2 2 2 2 2 4 2 3" xfId="2139" xr:uid="{00000000-0005-0000-0000-000057080000}"/>
    <cellStyle name="20% - Accent3 2 2 2 2 2 4 3" xfId="2140" xr:uid="{00000000-0005-0000-0000-000058080000}"/>
    <cellStyle name="20% - Accent3 2 2 2 2 2 4 3 2" xfId="2141" xr:uid="{00000000-0005-0000-0000-000059080000}"/>
    <cellStyle name="20% - Accent3 2 2 2 2 2 4 4" xfId="2142" xr:uid="{00000000-0005-0000-0000-00005A080000}"/>
    <cellStyle name="20% - Accent3 2 2 2 2 2 5" xfId="2143" xr:uid="{00000000-0005-0000-0000-00005B080000}"/>
    <cellStyle name="20% - Accent3 2 2 2 2 2 5 2" xfId="2144" xr:uid="{00000000-0005-0000-0000-00005C080000}"/>
    <cellStyle name="20% - Accent3 2 2 2 2 2 5 2 2" xfId="2145" xr:uid="{00000000-0005-0000-0000-00005D080000}"/>
    <cellStyle name="20% - Accent3 2 2 2 2 2 5 3" xfId="2146" xr:uid="{00000000-0005-0000-0000-00005E080000}"/>
    <cellStyle name="20% - Accent3 2 2 2 2 2 6" xfId="2147" xr:uid="{00000000-0005-0000-0000-00005F080000}"/>
    <cellStyle name="20% - Accent3 2 2 2 2 2 6 2" xfId="2148" xr:uid="{00000000-0005-0000-0000-000060080000}"/>
    <cellStyle name="20% - Accent3 2 2 2 2 2 7" xfId="2149" xr:uid="{00000000-0005-0000-0000-000061080000}"/>
    <cellStyle name="20% - Accent3 2 2 2 2 3" xfId="2150" xr:uid="{00000000-0005-0000-0000-000062080000}"/>
    <cellStyle name="20% - Accent3 2 2 2 2 3 2" xfId="2151" xr:uid="{00000000-0005-0000-0000-000063080000}"/>
    <cellStyle name="20% - Accent3 2 2 2 2 3 2 2" xfId="2152" xr:uid="{00000000-0005-0000-0000-000064080000}"/>
    <cellStyle name="20% - Accent3 2 2 2 2 3 2 2 2" xfId="2153" xr:uid="{00000000-0005-0000-0000-000065080000}"/>
    <cellStyle name="20% - Accent3 2 2 2 2 3 2 2 2 2" xfId="2154" xr:uid="{00000000-0005-0000-0000-000066080000}"/>
    <cellStyle name="20% - Accent3 2 2 2 2 3 2 2 2 2 2" xfId="2155" xr:uid="{00000000-0005-0000-0000-000067080000}"/>
    <cellStyle name="20% - Accent3 2 2 2 2 3 2 2 2 3" xfId="2156" xr:uid="{00000000-0005-0000-0000-000068080000}"/>
    <cellStyle name="20% - Accent3 2 2 2 2 3 2 2 3" xfId="2157" xr:uid="{00000000-0005-0000-0000-000069080000}"/>
    <cellStyle name="20% - Accent3 2 2 2 2 3 2 2 3 2" xfId="2158" xr:uid="{00000000-0005-0000-0000-00006A080000}"/>
    <cellStyle name="20% - Accent3 2 2 2 2 3 2 2 4" xfId="2159" xr:uid="{00000000-0005-0000-0000-00006B080000}"/>
    <cellStyle name="20% - Accent3 2 2 2 2 3 2 3" xfId="2160" xr:uid="{00000000-0005-0000-0000-00006C080000}"/>
    <cellStyle name="20% - Accent3 2 2 2 2 3 2 3 2" xfId="2161" xr:uid="{00000000-0005-0000-0000-00006D080000}"/>
    <cellStyle name="20% - Accent3 2 2 2 2 3 2 3 2 2" xfId="2162" xr:uid="{00000000-0005-0000-0000-00006E080000}"/>
    <cellStyle name="20% - Accent3 2 2 2 2 3 2 3 3" xfId="2163" xr:uid="{00000000-0005-0000-0000-00006F080000}"/>
    <cellStyle name="20% - Accent3 2 2 2 2 3 2 4" xfId="2164" xr:uid="{00000000-0005-0000-0000-000070080000}"/>
    <cellStyle name="20% - Accent3 2 2 2 2 3 2 4 2" xfId="2165" xr:uid="{00000000-0005-0000-0000-000071080000}"/>
    <cellStyle name="20% - Accent3 2 2 2 2 3 2 5" xfId="2166" xr:uid="{00000000-0005-0000-0000-000072080000}"/>
    <cellStyle name="20% - Accent3 2 2 2 2 3 3" xfId="2167" xr:uid="{00000000-0005-0000-0000-000073080000}"/>
    <cellStyle name="20% - Accent3 2 2 2 2 3 3 2" xfId="2168" xr:uid="{00000000-0005-0000-0000-000074080000}"/>
    <cellStyle name="20% - Accent3 2 2 2 2 3 3 2 2" xfId="2169" xr:uid="{00000000-0005-0000-0000-000075080000}"/>
    <cellStyle name="20% - Accent3 2 2 2 2 3 3 2 2 2" xfId="2170" xr:uid="{00000000-0005-0000-0000-000076080000}"/>
    <cellStyle name="20% - Accent3 2 2 2 2 3 3 2 3" xfId="2171" xr:uid="{00000000-0005-0000-0000-000077080000}"/>
    <cellStyle name="20% - Accent3 2 2 2 2 3 3 3" xfId="2172" xr:uid="{00000000-0005-0000-0000-000078080000}"/>
    <cellStyle name="20% - Accent3 2 2 2 2 3 3 3 2" xfId="2173" xr:uid="{00000000-0005-0000-0000-000079080000}"/>
    <cellStyle name="20% - Accent3 2 2 2 2 3 3 4" xfId="2174" xr:uid="{00000000-0005-0000-0000-00007A080000}"/>
    <cellStyle name="20% - Accent3 2 2 2 2 3 4" xfId="2175" xr:uid="{00000000-0005-0000-0000-00007B080000}"/>
    <cellStyle name="20% - Accent3 2 2 2 2 3 4 2" xfId="2176" xr:uid="{00000000-0005-0000-0000-00007C080000}"/>
    <cellStyle name="20% - Accent3 2 2 2 2 3 4 2 2" xfId="2177" xr:uid="{00000000-0005-0000-0000-00007D080000}"/>
    <cellStyle name="20% - Accent3 2 2 2 2 3 4 3" xfId="2178" xr:uid="{00000000-0005-0000-0000-00007E080000}"/>
    <cellStyle name="20% - Accent3 2 2 2 2 3 5" xfId="2179" xr:uid="{00000000-0005-0000-0000-00007F080000}"/>
    <cellStyle name="20% - Accent3 2 2 2 2 3 5 2" xfId="2180" xr:uid="{00000000-0005-0000-0000-000080080000}"/>
    <cellStyle name="20% - Accent3 2 2 2 2 3 6" xfId="2181" xr:uid="{00000000-0005-0000-0000-000081080000}"/>
    <cellStyle name="20% - Accent3 2 2 2 2 4" xfId="2182" xr:uid="{00000000-0005-0000-0000-000082080000}"/>
    <cellStyle name="20% - Accent3 2 2 2 2 4 2" xfId="2183" xr:uid="{00000000-0005-0000-0000-000083080000}"/>
    <cellStyle name="20% - Accent3 2 2 2 2 4 2 2" xfId="2184" xr:uid="{00000000-0005-0000-0000-000084080000}"/>
    <cellStyle name="20% - Accent3 2 2 2 2 4 2 2 2" xfId="2185" xr:uid="{00000000-0005-0000-0000-000085080000}"/>
    <cellStyle name="20% - Accent3 2 2 2 2 4 2 2 2 2" xfId="2186" xr:uid="{00000000-0005-0000-0000-000086080000}"/>
    <cellStyle name="20% - Accent3 2 2 2 2 4 2 2 3" xfId="2187" xr:uid="{00000000-0005-0000-0000-000087080000}"/>
    <cellStyle name="20% - Accent3 2 2 2 2 4 2 3" xfId="2188" xr:uid="{00000000-0005-0000-0000-000088080000}"/>
    <cellStyle name="20% - Accent3 2 2 2 2 4 2 3 2" xfId="2189" xr:uid="{00000000-0005-0000-0000-000089080000}"/>
    <cellStyle name="20% - Accent3 2 2 2 2 4 2 4" xfId="2190" xr:uid="{00000000-0005-0000-0000-00008A080000}"/>
    <cellStyle name="20% - Accent3 2 2 2 2 4 3" xfId="2191" xr:uid="{00000000-0005-0000-0000-00008B080000}"/>
    <cellStyle name="20% - Accent3 2 2 2 2 4 3 2" xfId="2192" xr:uid="{00000000-0005-0000-0000-00008C080000}"/>
    <cellStyle name="20% - Accent3 2 2 2 2 4 3 2 2" xfId="2193" xr:uid="{00000000-0005-0000-0000-00008D080000}"/>
    <cellStyle name="20% - Accent3 2 2 2 2 4 3 3" xfId="2194" xr:uid="{00000000-0005-0000-0000-00008E080000}"/>
    <cellStyle name="20% - Accent3 2 2 2 2 4 4" xfId="2195" xr:uid="{00000000-0005-0000-0000-00008F080000}"/>
    <cellStyle name="20% - Accent3 2 2 2 2 4 4 2" xfId="2196" xr:uid="{00000000-0005-0000-0000-000090080000}"/>
    <cellStyle name="20% - Accent3 2 2 2 2 4 5" xfId="2197" xr:uid="{00000000-0005-0000-0000-000091080000}"/>
    <cellStyle name="20% - Accent3 2 2 2 2 5" xfId="2198" xr:uid="{00000000-0005-0000-0000-000092080000}"/>
    <cellStyle name="20% - Accent3 2 2 2 2 5 2" xfId="2199" xr:uid="{00000000-0005-0000-0000-000093080000}"/>
    <cellStyle name="20% - Accent3 2 2 2 2 5 2 2" xfId="2200" xr:uid="{00000000-0005-0000-0000-000094080000}"/>
    <cellStyle name="20% - Accent3 2 2 2 2 5 2 2 2" xfId="2201" xr:uid="{00000000-0005-0000-0000-000095080000}"/>
    <cellStyle name="20% - Accent3 2 2 2 2 5 2 3" xfId="2202" xr:uid="{00000000-0005-0000-0000-000096080000}"/>
    <cellStyle name="20% - Accent3 2 2 2 2 5 3" xfId="2203" xr:uid="{00000000-0005-0000-0000-000097080000}"/>
    <cellStyle name="20% - Accent3 2 2 2 2 5 3 2" xfId="2204" xr:uid="{00000000-0005-0000-0000-000098080000}"/>
    <cellStyle name="20% - Accent3 2 2 2 2 5 4" xfId="2205" xr:uid="{00000000-0005-0000-0000-000099080000}"/>
    <cellStyle name="20% - Accent3 2 2 2 2 6" xfId="2206" xr:uid="{00000000-0005-0000-0000-00009A080000}"/>
    <cellStyle name="20% - Accent3 2 2 2 2 6 2" xfId="2207" xr:uid="{00000000-0005-0000-0000-00009B080000}"/>
    <cellStyle name="20% - Accent3 2 2 2 2 6 2 2" xfId="2208" xr:uid="{00000000-0005-0000-0000-00009C080000}"/>
    <cellStyle name="20% - Accent3 2 2 2 2 6 3" xfId="2209" xr:uid="{00000000-0005-0000-0000-00009D080000}"/>
    <cellStyle name="20% - Accent3 2 2 2 2 7" xfId="2210" xr:uid="{00000000-0005-0000-0000-00009E080000}"/>
    <cellStyle name="20% - Accent3 2 2 2 2 7 2" xfId="2211" xr:uid="{00000000-0005-0000-0000-00009F080000}"/>
    <cellStyle name="20% - Accent3 2 2 2 2 8" xfId="2212" xr:uid="{00000000-0005-0000-0000-0000A0080000}"/>
    <cellStyle name="20% - Accent3 2 2 2 3" xfId="2213" xr:uid="{00000000-0005-0000-0000-0000A1080000}"/>
    <cellStyle name="20% - Accent3 2 2 2 3 2" xfId="2214" xr:uid="{00000000-0005-0000-0000-0000A2080000}"/>
    <cellStyle name="20% - Accent3 2 2 2 3 2 2" xfId="2215" xr:uid="{00000000-0005-0000-0000-0000A3080000}"/>
    <cellStyle name="20% - Accent3 2 2 2 3 2 2 2" xfId="2216" xr:uid="{00000000-0005-0000-0000-0000A4080000}"/>
    <cellStyle name="20% - Accent3 2 2 2 3 2 2 2 2" xfId="2217" xr:uid="{00000000-0005-0000-0000-0000A5080000}"/>
    <cellStyle name="20% - Accent3 2 2 2 3 2 2 2 2 2" xfId="2218" xr:uid="{00000000-0005-0000-0000-0000A6080000}"/>
    <cellStyle name="20% - Accent3 2 2 2 3 2 2 2 2 2 2" xfId="2219" xr:uid="{00000000-0005-0000-0000-0000A7080000}"/>
    <cellStyle name="20% - Accent3 2 2 2 3 2 2 2 2 3" xfId="2220" xr:uid="{00000000-0005-0000-0000-0000A8080000}"/>
    <cellStyle name="20% - Accent3 2 2 2 3 2 2 2 3" xfId="2221" xr:uid="{00000000-0005-0000-0000-0000A9080000}"/>
    <cellStyle name="20% - Accent3 2 2 2 3 2 2 2 3 2" xfId="2222" xr:uid="{00000000-0005-0000-0000-0000AA080000}"/>
    <cellStyle name="20% - Accent3 2 2 2 3 2 2 2 4" xfId="2223" xr:uid="{00000000-0005-0000-0000-0000AB080000}"/>
    <cellStyle name="20% - Accent3 2 2 2 3 2 2 3" xfId="2224" xr:uid="{00000000-0005-0000-0000-0000AC080000}"/>
    <cellStyle name="20% - Accent3 2 2 2 3 2 2 3 2" xfId="2225" xr:uid="{00000000-0005-0000-0000-0000AD080000}"/>
    <cellStyle name="20% - Accent3 2 2 2 3 2 2 3 2 2" xfId="2226" xr:uid="{00000000-0005-0000-0000-0000AE080000}"/>
    <cellStyle name="20% - Accent3 2 2 2 3 2 2 3 3" xfId="2227" xr:uid="{00000000-0005-0000-0000-0000AF080000}"/>
    <cellStyle name="20% - Accent3 2 2 2 3 2 2 4" xfId="2228" xr:uid="{00000000-0005-0000-0000-0000B0080000}"/>
    <cellStyle name="20% - Accent3 2 2 2 3 2 2 4 2" xfId="2229" xr:uid="{00000000-0005-0000-0000-0000B1080000}"/>
    <cellStyle name="20% - Accent3 2 2 2 3 2 2 5" xfId="2230" xr:uid="{00000000-0005-0000-0000-0000B2080000}"/>
    <cellStyle name="20% - Accent3 2 2 2 3 2 3" xfId="2231" xr:uid="{00000000-0005-0000-0000-0000B3080000}"/>
    <cellStyle name="20% - Accent3 2 2 2 3 2 3 2" xfId="2232" xr:uid="{00000000-0005-0000-0000-0000B4080000}"/>
    <cellStyle name="20% - Accent3 2 2 2 3 2 3 2 2" xfId="2233" xr:uid="{00000000-0005-0000-0000-0000B5080000}"/>
    <cellStyle name="20% - Accent3 2 2 2 3 2 3 2 2 2" xfId="2234" xr:uid="{00000000-0005-0000-0000-0000B6080000}"/>
    <cellStyle name="20% - Accent3 2 2 2 3 2 3 2 3" xfId="2235" xr:uid="{00000000-0005-0000-0000-0000B7080000}"/>
    <cellStyle name="20% - Accent3 2 2 2 3 2 3 3" xfId="2236" xr:uid="{00000000-0005-0000-0000-0000B8080000}"/>
    <cellStyle name="20% - Accent3 2 2 2 3 2 3 3 2" xfId="2237" xr:uid="{00000000-0005-0000-0000-0000B9080000}"/>
    <cellStyle name="20% - Accent3 2 2 2 3 2 3 4" xfId="2238" xr:uid="{00000000-0005-0000-0000-0000BA080000}"/>
    <cellStyle name="20% - Accent3 2 2 2 3 2 4" xfId="2239" xr:uid="{00000000-0005-0000-0000-0000BB080000}"/>
    <cellStyle name="20% - Accent3 2 2 2 3 2 4 2" xfId="2240" xr:uid="{00000000-0005-0000-0000-0000BC080000}"/>
    <cellStyle name="20% - Accent3 2 2 2 3 2 4 2 2" xfId="2241" xr:uid="{00000000-0005-0000-0000-0000BD080000}"/>
    <cellStyle name="20% - Accent3 2 2 2 3 2 4 3" xfId="2242" xr:uid="{00000000-0005-0000-0000-0000BE080000}"/>
    <cellStyle name="20% - Accent3 2 2 2 3 2 5" xfId="2243" xr:uid="{00000000-0005-0000-0000-0000BF080000}"/>
    <cellStyle name="20% - Accent3 2 2 2 3 2 5 2" xfId="2244" xr:uid="{00000000-0005-0000-0000-0000C0080000}"/>
    <cellStyle name="20% - Accent3 2 2 2 3 2 6" xfId="2245" xr:uid="{00000000-0005-0000-0000-0000C1080000}"/>
    <cellStyle name="20% - Accent3 2 2 2 3 3" xfId="2246" xr:uid="{00000000-0005-0000-0000-0000C2080000}"/>
    <cellStyle name="20% - Accent3 2 2 2 3 3 2" xfId="2247" xr:uid="{00000000-0005-0000-0000-0000C3080000}"/>
    <cellStyle name="20% - Accent3 2 2 2 3 3 2 2" xfId="2248" xr:uid="{00000000-0005-0000-0000-0000C4080000}"/>
    <cellStyle name="20% - Accent3 2 2 2 3 3 2 2 2" xfId="2249" xr:uid="{00000000-0005-0000-0000-0000C5080000}"/>
    <cellStyle name="20% - Accent3 2 2 2 3 3 2 2 2 2" xfId="2250" xr:uid="{00000000-0005-0000-0000-0000C6080000}"/>
    <cellStyle name="20% - Accent3 2 2 2 3 3 2 2 3" xfId="2251" xr:uid="{00000000-0005-0000-0000-0000C7080000}"/>
    <cellStyle name="20% - Accent3 2 2 2 3 3 2 3" xfId="2252" xr:uid="{00000000-0005-0000-0000-0000C8080000}"/>
    <cellStyle name="20% - Accent3 2 2 2 3 3 2 3 2" xfId="2253" xr:uid="{00000000-0005-0000-0000-0000C9080000}"/>
    <cellStyle name="20% - Accent3 2 2 2 3 3 2 4" xfId="2254" xr:uid="{00000000-0005-0000-0000-0000CA080000}"/>
    <cellStyle name="20% - Accent3 2 2 2 3 3 3" xfId="2255" xr:uid="{00000000-0005-0000-0000-0000CB080000}"/>
    <cellStyle name="20% - Accent3 2 2 2 3 3 3 2" xfId="2256" xr:uid="{00000000-0005-0000-0000-0000CC080000}"/>
    <cellStyle name="20% - Accent3 2 2 2 3 3 3 2 2" xfId="2257" xr:uid="{00000000-0005-0000-0000-0000CD080000}"/>
    <cellStyle name="20% - Accent3 2 2 2 3 3 3 3" xfId="2258" xr:uid="{00000000-0005-0000-0000-0000CE080000}"/>
    <cellStyle name="20% - Accent3 2 2 2 3 3 4" xfId="2259" xr:uid="{00000000-0005-0000-0000-0000CF080000}"/>
    <cellStyle name="20% - Accent3 2 2 2 3 3 4 2" xfId="2260" xr:uid="{00000000-0005-0000-0000-0000D0080000}"/>
    <cellStyle name="20% - Accent3 2 2 2 3 3 5" xfId="2261" xr:uid="{00000000-0005-0000-0000-0000D1080000}"/>
    <cellStyle name="20% - Accent3 2 2 2 3 4" xfId="2262" xr:uid="{00000000-0005-0000-0000-0000D2080000}"/>
    <cellStyle name="20% - Accent3 2 2 2 3 4 2" xfId="2263" xr:uid="{00000000-0005-0000-0000-0000D3080000}"/>
    <cellStyle name="20% - Accent3 2 2 2 3 4 2 2" xfId="2264" xr:uid="{00000000-0005-0000-0000-0000D4080000}"/>
    <cellStyle name="20% - Accent3 2 2 2 3 4 2 2 2" xfId="2265" xr:uid="{00000000-0005-0000-0000-0000D5080000}"/>
    <cellStyle name="20% - Accent3 2 2 2 3 4 2 3" xfId="2266" xr:uid="{00000000-0005-0000-0000-0000D6080000}"/>
    <cellStyle name="20% - Accent3 2 2 2 3 4 3" xfId="2267" xr:uid="{00000000-0005-0000-0000-0000D7080000}"/>
    <cellStyle name="20% - Accent3 2 2 2 3 4 3 2" xfId="2268" xr:uid="{00000000-0005-0000-0000-0000D8080000}"/>
    <cellStyle name="20% - Accent3 2 2 2 3 4 4" xfId="2269" xr:uid="{00000000-0005-0000-0000-0000D9080000}"/>
    <cellStyle name="20% - Accent3 2 2 2 3 5" xfId="2270" xr:uid="{00000000-0005-0000-0000-0000DA080000}"/>
    <cellStyle name="20% - Accent3 2 2 2 3 5 2" xfId="2271" xr:uid="{00000000-0005-0000-0000-0000DB080000}"/>
    <cellStyle name="20% - Accent3 2 2 2 3 5 2 2" xfId="2272" xr:uid="{00000000-0005-0000-0000-0000DC080000}"/>
    <cellStyle name="20% - Accent3 2 2 2 3 5 3" xfId="2273" xr:uid="{00000000-0005-0000-0000-0000DD080000}"/>
    <cellStyle name="20% - Accent3 2 2 2 3 6" xfId="2274" xr:uid="{00000000-0005-0000-0000-0000DE080000}"/>
    <cellStyle name="20% - Accent3 2 2 2 3 6 2" xfId="2275" xr:uid="{00000000-0005-0000-0000-0000DF080000}"/>
    <cellStyle name="20% - Accent3 2 2 2 3 7" xfId="2276" xr:uid="{00000000-0005-0000-0000-0000E0080000}"/>
    <cellStyle name="20% - Accent3 2 2 2 4" xfId="2277" xr:uid="{00000000-0005-0000-0000-0000E1080000}"/>
    <cellStyle name="20% - Accent3 2 2 2 4 2" xfId="2278" xr:uid="{00000000-0005-0000-0000-0000E2080000}"/>
    <cellStyle name="20% - Accent3 2 2 2 4 2 2" xfId="2279" xr:uid="{00000000-0005-0000-0000-0000E3080000}"/>
    <cellStyle name="20% - Accent3 2 2 2 4 2 2 2" xfId="2280" xr:uid="{00000000-0005-0000-0000-0000E4080000}"/>
    <cellStyle name="20% - Accent3 2 2 2 4 2 2 2 2" xfId="2281" xr:uid="{00000000-0005-0000-0000-0000E5080000}"/>
    <cellStyle name="20% - Accent3 2 2 2 4 2 2 2 2 2" xfId="2282" xr:uid="{00000000-0005-0000-0000-0000E6080000}"/>
    <cellStyle name="20% - Accent3 2 2 2 4 2 2 2 3" xfId="2283" xr:uid="{00000000-0005-0000-0000-0000E7080000}"/>
    <cellStyle name="20% - Accent3 2 2 2 4 2 2 3" xfId="2284" xr:uid="{00000000-0005-0000-0000-0000E8080000}"/>
    <cellStyle name="20% - Accent3 2 2 2 4 2 2 3 2" xfId="2285" xr:uid="{00000000-0005-0000-0000-0000E9080000}"/>
    <cellStyle name="20% - Accent3 2 2 2 4 2 2 4" xfId="2286" xr:uid="{00000000-0005-0000-0000-0000EA080000}"/>
    <cellStyle name="20% - Accent3 2 2 2 4 2 3" xfId="2287" xr:uid="{00000000-0005-0000-0000-0000EB080000}"/>
    <cellStyle name="20% - Accent3 2 2 2 4 2 3 2" xfId="2288" xr:uid="{00000000-0005-0000-0000-0000EC080000}"/>
    <cellStyle name="20% - Accent3 2 2 2 4 2 3 2 2" xfId="2289" xr:uid="{00000000-0005-0000-0000-0000ED080000}"/>
    <cellStyle name="20% - Accent3 2 2 2 4 2 3 3" xfId="2290" xr:uid="{00000000-0005-0000-0000-0000EE080000}"/>
    <cellStyle name="20% - Accent3 2 2 2 4 2 4" xfId="2291" xr:uid="{00000000-0005-0000-0000-0000EF080000}"/>
    <cellStyle name="20% - Accent3 2 2 2 4 2 4 2" xfId="2292" xr:uid="{00000000-0005-0000-0000-0000F0080000}"/>
    <cellStyle name="20% - Accent3 2 2 2 4 2 5" xfId="2293" xr:uid="{00000000-0005-0000-0000-0000F1080000}"/>
    <cellStyle name="20% - Accent3 2 2 2 4 3" xfId="2294" xr:uid="{00000000-0005-0000-0000-0000F2080000}"/>
    <cellStyle name="20% - Accent3 2 2 2 4 3 2" xfId="2295" xr:uid="{00000000-0005-0000-0000-0000F3080000}"/>
    <cellStyle name="20% - Accent3 2 2 2 4 3 2 2" xfId="2296" xr:uid="{00000000-0005-0000-0000-0000F4080000}"/>
    <cellStyle name="20% - Accent3 2 2 2 4 3 2 2 2" xfId="2297" xr:uid="{00000000-0005-0000-0000-0000F5080000}"/>
    <cellStyle name="20% - Accent3 2 2 2 4 3 2 3" xfId="2298" xr:uid="{00000000-0005-0000-0000-0000F6080000}"/>
    <cellStyle name="20% - Accent3 2 2 2 4 3 3" xfId="2299" xr:uid="{00000000-0005-0000-0000-0000F7080000}"/>
    <cellStyle name="20% - Accent3 2 2 2 4 3 3 2" xfId="2300" xr:uid="{00000000-0005-0000-0000-0000F8080000}"/>
    <cellStyle name="20% - Accent3 2 2 2 4 3 4" xfId="2301" xr:uid="{00000000-0005-0000-0000-0000F9080000}"/>
    <cellStyle name="20% - Accent3 2 2 2 4 4" xfId="2302" xr:uid="{00000000-0005-0000-0000-0000FA080000}"/>
    <cellStyle name="20% - Accent3 2 2 2 4 4 2" xfId="2303" xr:uid="{00000000-0005-0000-0000-0000FB080000}"/>
    <cellStyle name="20% - Accent3 2 2 2 4 4 2 2" xfId="2304" xr:uid="{00000000-0005-0000-0000-0000FC080000}"/>
    <cellStyle name="20% - Accent3 2 2 2 4 4 3" xfId="2305" xr:uid="{00000000-0005-0000-0000-0000FD080000}"/>
    <cellStyle name="20% - Accent3 2 2 2 4 5" xfId="2306" xr:uid="{00000000-0005-0000-0000-0000FE080000}"/>
    <cellStyle name="20% - Accent3 2 2 2 4 5 2" xfId="2307" xr:uid="{00000000-0005-0000-0000-0000FF080000}"/>
    <cellStyle name="20% - Accent3 2 2 2 4 6" xfId="2308" xr:uid="{00000000-0005-0000-0000-000000090000}"/>
    <cellStyle name="20% - Accent3 2 2 2 5" xfId="2309" xr:uid="{00000000-0005-0000-0000-000001090000}"/>
    <cellStyle name="20% - Accent3 2 2 2 5 2" xfId="2310" xr:uid="{00000000-0005-0000-0000-000002090000}"/>
    <cellStyle name="20% - Accent3 2 2 2 5 2 2" xfId="2311" xr:uid="{00000000-0005-0000-0000-000003090000}"/>
    <cellStyle name="20% - Accent3 2 2 2 5 2 2 2" xfId="2312" xr:uid="{00000000-0005-0000-0000-000004090000}"/>
    <cellStyle name="20% - Accent3 2 2 2 5 2 2 2 2" xfId="2313" xr:uid="{00000000-0005-0000-0000-000005090000}"/>
    <cellStyle name="20% - Accent3 2 2 2 5 2 2 3" xfId="2314" xr:uid="{00000000-0005-0000-0000-000006090000}"/>
    <cellStyle name="20% - Accent3 2 2 2 5 2 3" xfId="2315" xr:uid="{00000000-0005-0000-0000-000007090000}"/>
    <cellStyle name="20% - Accent3 2 2 2 5 2 3 2" xfId="2316" xr:uid="{00000000-0005-0000-0000-000008090000}"/>
    <cellStyle name="20% - Accent3 2 2 2 5 2 4" xfId="2317" xr:uid="{00000000-0005-0000-0000-000009090000}"/>
    <cellStyle name="20% - Accent3 2 2 2 5 3" xfId="2318" xr:uid="{00000000-0005-0000-0000-00000A090000}"/>
    <cellStyle name="20% - Accent3 2 2 2 5 3 2" xfId="2319" xr:uid="{00000000-0005-0000-0000-00000B090000}"/>
    <cellStyle name="20% - Accent3 2 2 2 5 3 2 2" xfId="2320" xr:uid="{00000000-0005-0000-0000-00000C090000}"/>
    <cellStyle name="20% - Accent3 2 2 2 5 3 3" xfId="2321" xr:uid="{00000000-0005-0000-0000-00000D090000}"/>
    <cellStyle name="20% - Accent3 2 2 2 5 4" xfId="2322" xr:uid="{00000000-0005-0000-0000-00000E090000}"/>
    <cellStyle name="20% - Accent3 2 2 2 5 4 2" xfId="2323" xr:uid="{00000000-0005-0000-0000-00000F090000}"/>
    <cellStyle name="20% - Accent3 2 2 2 5 5" xfId="2324" xr:uid="{00000000-0005-0000-0000-000010090000}"/>
    <cellStyle name="20% - Accent3 2 2 2 6" xfId="2325" xr:uid="{00000000-0005-0000-0000-000011090000}"/>
    <cellStyle name="20% - Accent3 2 2 2 6 2" xfId="2326" xr:uid="{00000000-0005-0000-0000-000012090000}"/>
    <cellStyle name="20% - Accent3 2 2 2 6 2 2" xfId="2327" xr:uid="{00000000-0005-0000-0000-000013090000}"/>
    <cellStyle name="20% - Accent3 2 2 2 6 2 2 2" xfId="2328" xr:uid="{00000000-0005-0000-0000-000014090000}"/>
    <cellStyle name="20% - Accent3 2 2 2 6 2 3" xfId="2329" xr:uid="{00000000-0005-0000-0000-000015090000}"/>
    <cellStyle name="20% - Accent3 2 2 2 6 3" xfId="2330" xr:uid="{00000000-0005-0000-0000-000016090000}"/>
    <cellStyle name="20% - Accent3 2 2 2 6 3 2" xfId="2331" xr:uid="{00000000-0005-0000-0000-000017090000}"/>
    <cellStyle name="20% - Accent3 2 2 2 6 4" xfId="2332" xr:uid="{00000000-0005-0000-0000-000018090000}"/>
    <cellStyle name="20% - Accent3 2 2 2 7" xfId="2333" xr:uid="{00000000-0005-0000-0000-000019090000}"/>
    <cellStyle name="20% - Accent3 2 2 2 7 2" xfId="2334" xr:uid="{00000000-0005-0000-0000-00001A090000}"/>
    <cellStyle name="20% - Accent3 2 2 2 7 2 2" xfId="2335" xr:uid="{00000000-0005-0000-0000-00001B090000}"/>
    <cellStyle name="20% - Accent3 2 2 2 7 3" xfId="2336" xr:uid="{00000000-0005-0000-0000-00001C090000}"/>
    <cellStyle name="20% - Accent3 2 2 2 8" xfId="2337" xr:uid="{00000000-0005-0000-0000-00001D090000}"/>
    <cellStyle name="20% - Accent3 2 2 2 8 2" xfId="2338" xr:uid="{00000000-0005-0000-0000-00001E090000}"/>
    <cellStyle name="20% - Accent3 2 2 2 9" xfId="2339" xr:uid="{00000000-0005-0000-0000-00001F090000}"/>
    <cellStyle name="20% - Accent3 2 2 3" xfId="2340" xr:uid="{00000000-0005-0000-0000-000020090000}"/>
    <cellStyle name="20% - Accent3 2 2 3 2" xfId="2341" xr:uid="{00000000-0005-0000-0000-000021090000}"/>
    <cellStyle name="20% - Accent3 2 2 3 2 2" xfId="2342" xr:uid="{00000000-0005-0000-0000-000022090000}"/>
    <cellStyle name="20% - Accent3 2 2 3 2 2 2" xfId="2343" xr:uid="{00000000-0005-0000-0000-000023090000}"/>
    <cellStyle name="20% - Accent3 2 2 3 2 2 2 2" xfId="2344" xr:uid="{00000000-0005-0000-0000-000024090000}"/>
    <cellStyle name="20% - Accent3 2 2 3 2 2 2 2 2" xfId="2345" xr:uid="{00000000-0005-0000-0000-000025090000}"/>
    <cellStyle name="20% - Accent3 2 2 3 2 2 2 2 2 2" xfId="2346" xr:uid="{00000000-0005-0000-0000-000026090000}"/>
    <cellStyle name="20% - Accent3 2 2 3 2 2 2 2 2 2 2" xfId="2347" xr:uid="{00000000-0005-0000-0000-000027090000}"/>
    <cellStyle name="20% - Accent3 2 2 3 2 2 2 2 2 3" xfId="2348" xr:uid="{00000000-0005-0000-0000-000028090000}"/>
    <cellStyle name="20% - Accent3 2 2 3 2 2 2 2 3" xfId="2349" xr:uid="{00000000-0005-0000-0000-000029090000}"/>
    <cellStyle name="20% - Accent3 2 2 3 2 2 2 2 3 2" xfId="2350" xr:uid="{00000000-0005-0000-0000-00002A090000}"/>
    <cellStyle name="20% - Accent3 2 2 3 2 2 2 2 4" xfId="2351" xr:uid="{00000000-0005-0000-0000-00002B090000}"/>
    <cellStyle name="20% - Accent3 2 2 3 2 2 2 3" xfId="2352" xr:uid="{00000000-0005-0000-0000-00002C090000}"/>
    <cellStyle name="20% - Accent3 2 2 3 2 2 2 3 2" xfId="2353" xr:uid="{00000000-0005-0000-0000-00002D090000}"/>
    <cellStyle name="20% - Accent3 2 2 3 2 2 2 3 2 2" xfId="2354" xr:uid="{00000000-0005-0000-0000-00002E090000}"/>
    <cellStyle name="20% - Accent3 2 2 3 2 2 2 3 3" xfId="2355" xr:uid="{00000000-0005-0000-0000-00002F090000}"/>
    <cellStyle name="20% - Accent3 2 2 3 2 2 2 4" xfId="2356" xr:uid="{00000000-0005-0000-0000-000030090000}"/>
    <cellStyle name="20% - Accent3 2 2 3 2 2 2 4 2" xfId="2357" xr:uid="{00000000-0005-0000-0000-000031090000}"/>
    <cellStyle name="20% - Accent3 2 2 3 2 2 2 5" xfId="2358" xr:uid="{00000000-0005-0000-0000-000032090000}"/>
    <cellStyle name="20% - Accent3 2 2 3 2 2 3" xfId="2359" xr:uid="{00000000-0005-0000-0000-000033090000}"/>
    <cellStyle name="20% - Accent3 2 2 3 2 2 3 2" xfId="2360" xr:uid="{00000000-0005-0000-0000-000034090000}"/>
    <cellStyle name="20% - Accent3 2 2 3 2 2 3 2 2" xfId="2361" xr:uid="{00000000-0005-0000-0000-000035090000}"/>
    <cellStyle name="20% - Accent3 2 2 3 2 2 3 2 2 2" xfId="2362" xr:uid="{00000000-0005-0000-0000-000036090000}"/>
    <cellStyle name="20% - Accent3 2 2 3 2 2 3 2 3" xfId="2363" xr:uid="{00000000-0005-0000-0000-000037090000}"/>
    <cellStyle name="20% - Accent3 2 2 3 2 2 3 3" xfId="2364" xr:uid="{00000000-0005-0000-0000-000038090000}"/>
    <cellStyle name="20% - Accent3 2 2 3 2 2 3 3 2" xfId="2365" xr:uid="{00000000-0005-0000-0000-000039090000}"/>
    <cellStyle name="20% - Accent3 2 2 3 2 2 3 4" xfId="2366" xr:uid="{00000000-0005-0000-0000-00003A090000}"/>
    <cellStyle name="20% - Accent3 2 2 3 2 2 4" xfId="2367" xr:uid="{00000000-0005-0000-0000-00003B090000}"/>
    <cellStyle name="20% - Accent3 2 2 3 2 2 4 2" xfId="2368" xr:uid="{00000000-0005-0000-0000-00003C090000}"/>
    <cellStyle name="20% - Accent3 2 2 3 2 2 4 2 2" xfId="2369" xr:uid="{00000000-0005-0000-0000-00003D090000}"/>
    <cellStyle name="20% - Accent3 2 2 3 2 2 4 3" xfId="2370" xr:uid="{00000000-0005-0000-0000-00003E090000}"/>
    <cellStyle name="20% - Accent3 2 2 3 2 2 5" xfId="2371" xr:uid="{00000000-0005-0000-0000-00003F090000}"/>
    <cellStyle name="20% - Accent3 2 2 3 2 2 5 2" xfId="2372" xr:uid="{00000000-0005-0000-0000-000040090000}"/>
    <cellStyle name="20% - Accent3 2 2 3 2 2 6" xfId="2373" xr:uid="{00000000-0005-0000-0000-000041090000}"/>
    <cellStyle name="20% - Accent3 2 2 3 2 3" xfId="2374" xr:uid="{00000000-0005-0000-0000-000042090000}"/>
    <cellStyle name="20% - Accent3 2 2 3 2 3 2" xfId="2375" xr:uid="{00000000-0005-0000-0000-000043090000}"/>
    <cellStyle name="20% - Accent3 2 2 3 2 3 2 2" xfId="2376" xr:uid="{00000000-0005-0000-0000-000044090000}"/>
    <cellStyle name="20% - Accent3 2 2 3 2 3 2 2 2" xfId="2377" xr:uid="{00000000-0005-0000-0000-000045090000}"/>
    <cellStyle name="20% - Accent3 2 2 3 2 3 2 2 2 2" xfId="2378" xr:uid="{00000000-0005-0000-0000-000046090000}"/>
    <cellStyle name="20% - Accent3 2 2 3 2 3 2 2 3" xfId="2379" xr:uid="{00000000-0005-0000-0000-000047090000}"/>
    <cellStyle name="20% - Accent3 2 2 3 2 3 2 3" xfId="2380" xr:uid="{00000000-0005-0000-0000-000048090000}"/>
    <cellStyle name="20% - Accent3 2 2 3 2 3 2 3 2" xfId="2381" xr:uid="{00000000-0005-0000-0000-000049090000}"/>
    <cellStyle name="20% - Accent3 2 2 3 2 3 2 4" xfId="2382" xr:uid="{00000000-0005-0000-0000-00004A090000}"/>
    <cellStyle name="20% - Accent3 2 2 3 2 3 3" xfId="2383" xr:uid="{00000000-0005-0000-0000-00004B090000}"/>
    <cellStyle name="20% - Accent3 2 2 3 2 3 3 2" xfId="2384" xr:uid="{00000000-0005-0000-0000-00004C090000}"/>
    <cellStyle name="20% - Accent3 2 2 3 2 3 3 2 2" xfId="2385" xr:uid="{00000000-0005-0000-0000-00004D090000}"/>
    <cellStyle name="20% - Accent3 2 2 3 2 3 3 3" xfId="2386" xr:uid="{00000000-0005-0000-0000-00004E090000}"/>
    <cellStyle name="20% - Accent3 2 2 3 2 3 4" xfId="2387" xr:uid="{00000000-0005-0000-0000-00004F090000}"/>
    <cellStyle name="20% - Accent3 2 2 3 2 3 4 2" xfId="2388" xr:uid="{00000000-0005-0000-0000-000050090000}"/>
    <cellStyle name="20% - Accent3 2 2 3 2 3 5" xfId="2389" xr:uid="{00000000-0005-0000-0000-000051090000}"/>
    <cellStyle name="20% - Accent3 2 2 3 2 4" xfId="2390" xr:uid="{00000000-0005-0000-0000-000052090000}"/>
    <cellStyle name="20% - Accent3 2 2 3 2 4 2" xfId="2391" xr:uid="{00000000-0005-0000-0000-000053090000}"/>
    <cellStyle name="20% - Accent3 2 2 3 2 4 2 2" xfId="2392" xr:uid="{00000000-0005-0000-0000-000054090000}"/>
    <cellStyle name="20% - Accent3 2 2 3 2 4 2 2 2" xfId="2393" xr:uid="{00000000-0005-0000-0000-000055090000}"/>
    <cellStyle name="20% - Accent3 2 2 3 2 4 2 3" xfId="2394" xr:uid="{00000000-0005-0000-0000-000056090000}"/>
    <cellStyle name="20% - Accent3 2 2 3 2 4 3" xfId="2395" xr:uid="{00000000-0005-0000-0000-000057090000}"/>
    <cellStyle name="20% - Accent3 2 2 3 2 4 3 2" xfId="2396" xr:uid="{00000000-0005-0000-0000-000058090000}"/>
    <cellStyle name="20% - Accent3 2 2 3 2 4 4" xfId="2397" xr:uid="{00000000-0005-0000-0000-000059090000}"/>
    <cellStyle name="20% - Accent3 2 2 3 2 5" xfId="2398" xr:uid="{00000000-0005-0000-0000-00005A090000}"/>
    <cellStyle name="20% - Accent3 2 2 3 2 5 2" xfId="2399" xr:uid="{00000000-0005-0000-0000-00005B090000}"/>
    <cellStyle name="20% - Accent3 2 2 3 2 5 2 2" xfId="2400" xr:uid="{00000000-0005-0000-0000-00005C090000}"/>
    <cellStyle name="20% - Accent3 2 2 3 2 5 3" xfId="2401" xr:uid="{00000000-0005-0000-0000-00005D090000}"/>
    <cellStyle name="20% - Accent3 2 2 3 2 6" xfId="2402" xr:uid="{00000000-0005-0000-0000-00005E090000}"/>
    <cellStyle name="20% - Accent3 2 2 3 2 6 2" xfId="2403" xr:uid="{00000000-0005-0000-0000-00005F090000}"/>
    <cellStyle name="20% - Accent3 2 2 3 2 7" xfId="2404" xr:uid="{00000000-0005-0000-0000-000060090000}"/>
    <cellStyle name="20% - Accent3 2 2 3 3" xfId="2405" xr:uid="{00000000-0005-0000-0000-000061090000}"/>
    <cellStyle name="20% - Accent3 2 2 3 3 2" xfId="2406" xr:uid="{00000000-0005-0000-0000-000062090000}"/>
    <cellStyle name="20% - Accent3 2 2 3 3 2 2" xfId="2407" xr:uid="{00000000-0005-0000-0000-000063090000}"/>
    <cellStyle name="20% - Accent3 2 2 3 3 2 2 2" xfId="2408" xr:uid="{00000000-0005-0000-0000-000064090000}"/>
    <cellStyle name="20% - Accent3 2 2 3 3 2 2 2 2" xfId="2409" xr:uid="{00000000-0005-0000-0000-000065090000}"/>
    <cellStyle name="20% - Accent3 2 2 3 3 2 2 2 2 2" xfId="2410" xr:uid="{00000000-0005-0000-0000-000066090000}"/>
    <cellStyle name="20% - Accent3 2 2 3 3 2 2 2 3" xfId="2411" xr:uid="{00000000-0005-0000-0000-000067090000}"/>
    <cellStyle name="20% - Accent3 2 2 3 3 2 2 3" xfId="2412" xr:uid="{00000000-0005-0000-0000-000068090000}"/>
    <cellStyle name="20% - Accent3 2 2 3 3 2 2 3 2" xfId="2413" xr:uid="{00000000-0005-0000-0000-000069090000}"/>
    <cellStyle name="20% - Accent3 2 2 3 3 2 2 4" xfId="2414" xr:uid="{00000000-0005-0000-0000-00006A090000}"/>
    <cellStyle name="20% - Accent3 2 2 3 3 2 3" xfId="2415" xr:uid="{00000000-0005-0000-0000-00006B090000}"/>
    <cellStyle name="20% - Accent3 2 2 3 3 2 3 2" xfId="2416" xr:uid="{00000000-0005-0000-0000-00006C090000}"/>
    <cellStyle name="20% - Accent3 2 2 3 3 2 3 2 2" xfId="2417" xr:uid="{00000000-0005-0000-0000-00006D090000}"/>
    <cellStyle name="20% - Accent3 2 2 3 3 2 3 3" xfId="2418" xr:uid="{00000000-0005-0000-0000-00006E090000}"/>
    <cellStyle name="20% - Accent3 2 2 3 3 2 4" xfId="2419" xr:uid="{00000000-0005-0000-0000-00006F090000}"/>
    <cellStyle name="20% - Accent3 2 2 3 3 2 4 2" xfId="2420" xr:uid="{00000000-0005-0000-0000-000070090000}"/>
    <cellStyle name="20% - Accent3 2 2 3 3 2 5" xfId="2421" xr:uid="{00000000-0005-0000-0000-000071090000}"/>
    <cellStyle name="20% - Accent3 2 2 3 3 3" xfId="2422" xr:uid="{00000000-0005-0000-0000-000072090000}"/>
    <cellStyle name="20% - Accent3 2 2 3 3 3 2" xfId="2423" xr:uid="{00000000-0005-0000-0000-000073090000}"/>
    <cellStyle name="20% - Accent3 2 2 3 3 3 2 2" xfId="2424" xr:uid="{00000000-0005-0000-0000-000074090000}"/>
    <cellStyle name="20% - Accent3 2 2 3 3 3 2 2 2" xfId="2425" xr:uid="{00000000-0005-0000-0000-000075090000}"/>
    <cellStyle name="20% - Accent3 2 2 3 3 3 2 3" xfId="2426" xr:uid="{00000000-0005-0000-0000-000076090000}"/>
    <cellStyle name="20% - Accent3 2 2 3 3 3 3" xfId="2427" xr:uid="{00000000-0005-0000-0000-000077090000}"/>
    <cellStyle name="20% - Accent3 2 2 3 3 3 3 2" xfId="2428" xr:uid="{00000000-0005-0000-0000-000078090000}"/>
    <cellStyle name="20% - Accent3 2 2 3 3 3 4" xfId="2429" xr:uid="{00000000-0005-0000-0000-000079090000}"/>
    <cellStyle name="20% - Accent3 2 2 3 3 4" xfId="2430" xr:uid="{00000000-0005-0000-0000-00007A090000}"/>
    <cellStyle name="20% - Accent3 2 2 3 3 4 2" xfId="2431" xr:uid="{00000000-0005-0000-0000-00007B090000}"/>
    <cellStyle name="20% - Accent3 2 2 3 3 4 2 2" xfId="2432" xr:uid="{00000000-0005-0000-0000-00007C090000}"/>
    <cellStyle name="20% - Accent3 2 2 3 3 4 3" xfId="2433" xr:uid="{00000000-0005-0000-0000-00007D090000}"/>
    <cellStyle name="20% - Accent3 2 2 3 3 5" xfId="2434" xr:uid="{00000000-0005-0000-0000-00007E090000}"/>
    <cellStyle name="20% - Accent3 2 2 3 3 5 2" xfId="2435" xr:uid="{00000000-0005-0000-0000-00007F090000}"/>
    <cellStyle name="20% - Accent3 2 2 3 3 6" xfId="2436" xr:uid="{00000000-0005-0000-0000-000080090000}"/>
    <cellStyle name="20% - Accent3 2 2 3 4" xfId="2437" xr:uid="{00000000-0005-0000-0000-000081090000}"/>
    <cellStyle name="20% - Accent3 2 2 3 4 2" xfId="2438" xr:uid="{00000000-0005-0000-0000-000082090000}"/>
    <cellStyle name="20% - Accent3 2 2 3 4 2 2" xfId="2439" xr:uid="{00000000-0005-0000-0000-000083090000}"/>
    <cellStyle name="20% - Accent3 2 2 3 4 2 2 2" xfId="2440" xr:uid="{00000000-0005-0000-0000-000084090000}"/>
    <cellStyle name="20% - Accent3 2 2 3 4 2 2 2 2" xfId="2441" xr:uid="{00000000-0005-0000-0000-000085090000}"/>
    <cellStyle name="20% - Accent3 2 2 3 4 2 2 3" xfId="2442" xr:uid="{00000000-0005-0000-0000-000086090000}"/>
    <cellStyle name="20% - Accent3 2 2 3 4 2 3" xfId="2443" xr:uid="{00000000-0005-0000-0000-000087090000}"/>
    <cellStyle name="20% - Accent3 2 2 3 4 2 3 2" xfId="2444" xr:uid="{00000000-0005-0000-0000-000088090000}"/>
    <cellStyle name="20% - Accent3 2 2 3 4 2 4" xfId="2445" xr:uid="{00000000-0005-0000-0000-000089090000}"/>
    <cellStyle name="20% - Accent3 2 2 3 4 3" xfId="2446" xr:uid="{00000000-0005-0000-0000-00008A090000}"/>
    <cellStyle name="20% - Accent3 2 2 3 4 3 2" xfId="2447" xr:uid="{00000000-0005-0000-0000-00008B090000}"/>
    <cellStyle name="20% - Accent3 2 2 3 4 3 2 2" xfId="2448" xr:uid="{00000000-0005-0000-0000-00008C090000}"/>
    <cellStyle name="20% - Accent3 2 2 3 4 3 3" xfId="2449" xr:uid="{00000000-0005-0000-0000-00008D090000}"/>
    <cellStyle name="20% - Accent3 2 2 3 4 4" xfId="2450" xr:uid="{00000000-0005-0000-0000-00008E090000}"/>
    <cellStyle name="20% - Accent3 2 2 3 4 4 2" xfId="2451" xr:uid="{00000000-0005-0000-0000-00008F090000}"/>
    <cellStyle name="20% - Accent3 2 2 3 4 5" xfId="2452" xr:uid="{00000000-0005-0000-0000-000090090000}"/>
    <cellStyle name="20% - Accent3 2 2 3 5" xfId="2453" xr:uid="{00000000-0005-0000-0000-000091090000}"/>
    <cellStyle name="20% - Accent3 2 2 3 5 2" xfId="2454" xr:uid="{00000000-0005-0000-0000-000092090000}"/>
    <cellStyle name="20% - Accent3 2 2 3 5 2 2" xfId="2455" xr:uid="{00000000-0005-0000-0000-000093090000}"/>
    <cellStyle name="20% - Accent3 2 2 3 5 2 2 2" xfId="2456" xr:uid="{00000000-0005-0000-0000-000094090000}"/>
    <cellStyle name="20% - Accent3 2 2 3 5 2 3" xfId="2457" xr:uid="{00000000-0005-0000-0000-000095090000}"/>
    <cellStyle name="20% - Accent3 2 2 3 5 3" xfId="2458" xr:uid="{00000000-0005-0000-0000-000096090000}"/>
    <cellStyle name="20% - Accent3 2 2 3 5 3 2" xfId="2459" xr:uid="{00000000-0005-0000-0000-000097090000}"/>
    <cellStyle name="20% - Accent3 2 2 3 5 4" xfId="2460" xr:uid="{00000000-0005-0000-0000-000098090000}"/>
    <cellStyle name="20% - Accent3 2 2 3 6" xfId="2461" xr:uid="{00000000-0005-0000-0000-000099090000}"/>
    <cellStyle name="20% - Accent3 2 2 3 6 2" xfId="2462" xr:uid="{00000000-0005-0000-0000-00009A090000}"/>
    <cellStyle name="20% - Accent3 2 2 3 6 2 2" xfId="2463" xr:uid="{00000000-0005-0000-0000-00009B090000}"/>
    <cellStyle name="20% - Accent3 2 2 3 6 3" xfId="2464" xr:uid="{00000000-0005-0000-0000-00009C090000}"/>
    <cellStyle name="20% - Accent3 2 2 3 7" xfId="2465" xr:uid="{00000000-0005-0000-0000-00009D090000}"/>
    <cellStyle name="20% - Accent3 2 2 3 7 2" xfId="2466" xr:uid="{00000000-0005-0000-0000-00009E090000}"/>
    <cellStyle name="20% - Accent3 2 2 3 8" xfId="2467" xr:uid="{00000000-0005-0000-0000-00009F090000}"/>
    <cellStyle name="20% - Accent3 2 2 4" xfId="2468" xr:uid="{00000000-0005-0000-0000-0000A0090000}"/>
    <cellStyle name="20% - Accent3 2 2 4 2" xfId="2469" xr:uid="{00000000-0005-0000-0000-0000A1090000}"/>
    <cellStyle name="20% - Accent3 2 2 4 2 2" xfId="2470" xr:uid="{00000000-0005-0000-0000-0000A2090000}"/>
    <cellStyle name="20% - Accent3 2 2 4 2 2 2" xfId="2471" xr:uid="{00000000-0005-0000-0000-0000A3090000}"/>
    <cellStyle name="20% - Accent3 2 2 4 2 2 2 2" xfId="2472" xr:uid="{00000000-0005-0000-0000-0000A4090000}"/>
    <cellStyle name="20% - Accent3 2 2 4 2 2 2 2 2" xfId="2473" xr:uid="{00000000-0005-0000-0000-0000A5090000}"/>
    <cellStyle name="20% - Accent3 2 2 4 2 2 2 2 2 2" xfId="2474" xr:uid="{00000000-0005-0000-0000-0000A6090000}"/>
    <cellStyle name="20% - Accent3 2 2 4 2 2 2 2 3" xfId="2475" xr:uid="{00000000-0005-0000-0000-0000A7090000}"/>
    <cellStyle name="20% - Accent3 2 2 4 2 2 2 3" xfId="2476" xr:uid="{00000000-0005-0000-0000-0000A8090000}"/>
    <cellStyle name="20% - Accent3 2 2 4 2 2 2 3 2" xfId="2477" xr:uid="{00000000-0005-0000-0000-0000A9090000}"/>
    <cellStyle name="20% - Accent3 2 2 4 2 2 2 4" xfId="2478" xr:uid="{00000000-0005-0000-0000-0000AA090000}"/>
    <cellStyle name="20% - Accent3 2 2 4 2 2 3" xfId="2479" xr:uid="{00000000-0005-0000-0000-0000AB090000}"/>
    <cellStyle name="20% - Accent3 2 2 4 2 2 3 2" xfId="2480" xr:uid="{00000000-0005-0000-0000-0000AC090000}"/>
    <cellStyle name="20% - Accent3 2 2 4 2 2 3 2 2" xfId="2481" xr:uid="{00000000-0005-0000-0000-0000AD090000}"/>
    <cellStyle name="20% - Accent3 2 2 4 2 2 3 3" xfId="2482" xr:uid="{00000000-0005-0000-0000-0000AE090000}"/>
    <cellStyle name="20% - Accent3 2 2 4 2 2 4" xfId="2483" xr:uid="{00000000-0005-0000-0000-0000AF090000}"/>
    <cellStyle name="20% - Accent3 2 2 4 2 2 4 2" xfId="2484" xr:uid="{00000000-0005-0000-0000-0000B0090000}"/>
    <cellStyle name="20% - Accent3 2 2 4 2 2 5" xfId="2485" xr:uid="{00000000-0005-0000-0000-0000B1090000}"/>
    <cellStyle name="20% - Accent3 2 2 4 2 3" xfId="2486" xr:uid="{00000000-0005-0000-0000-0000B2090000}"/>
    <cellStyle name="20% - Accent3 2 2 4 2 3 2" xfId="2487" xr:uid="{00000000-0005-0000-0000-0000B3090000}"/>
    <cellStyle name="20% - Accent3 2 2 4 2 3 2 2" xfId="2488" xr:uid="{00000000-0005-0000-0000-0000B4090000}"/>
    <cellStyle name="20% - Accent3 2 2 4 2 3 2 2 2" xfId="2489" xr:uid="{00000000-0005-0000-0000-0000B5090000}"/>
    <cellStyle name="20% - Accent3 2 2 4 2 3 2 3" xfId="2490" xr:uid="{00000000-0005-0000-0000-0000B6090000}"/>
    <cellStyle name="20% - Accent3 2 2 4 2 3 3" xfId="2491" xr:uid="{00000000-0005-0000-0000-0000B7090000}"/>
    <cellStyle name="20% - Accent3 2 2 4 2 3 3 2" xfId="2492" xr:uid="{00000000-0005-0000-0000-0000B8090000}"/>
    <cellStyle name="20% - Accent3 2 2 4 2 3 4" xfId="2493" xr:uid="{00000000-0005-0000-0000-0000B9090000}"/>
    <cellStyle name="20% - Accent3 2 2 4 2 4" xfId="2494" xr:uid="{00000000-0005-0000-0000-0000BA090000}"/>
    <cellStyle name="20% - Accent3 2 2 4 2 4 2" xfId="2495" xr:uid="{00000000-0005-0000-0000-0000BB090000}"/>
    <cellStyle name="20% - Accent3 2 2 4 2 4 2 2" xfId="2496" xr:uid="{00000000-0005-0000-0000-0000BC090000}"/>
    <cellStyle name="20% - Accent3 2 2 4 2 4 3" xfId="2497" xr:uid="{00000000-0005-0000-0000-0000BD090000}"/>
    <cellStyle name="20% - Accent3 2 2 4 2 5" xfId="2498" xr:uid="{00000000-0005-0000-0000-0000BE090000}"/>
    <cellStyle name="20% - Accent3 2 2 4 2 5 2" xfId="2499" xr:uid="{00000000-0005-0000-0000-0000BF090000}"/>
    <cellStyle name="20% - Accent3 2 2 4 2 6" xfId="2500" xr:uid="{00000000-0005-0000-0000-0000C0090000}"/>
    <cellStyle name="20% - Accent3 2 2 4 3" xfId="2501" xr:uid="{00000000-0005-0000-0000-0000C1090000}"/>
    <cellStyle name="20% - Accent3 2 2 4 3 2" xfId="2502" xr:uid="{00000000-0005-0000-0000-0000C2090000}"/>
    <cellStyle name="20% - Accent3 2 2 4 3 2 2" xfId="2503" xr:uid="{00000000-0005-0000-0000-0000C3090000}"/>
    <cellStyle name="20% - Accent3 2 2 4 3 2 2 2" xfId="2504" xr:uid="{00000000-0005-0000-0000-0000C4090000}"/>
    <cellStyle name="20% - Accent3 2 2 4 3 2 2 2 2" xfId="2505" xr:uid="{00000000-0005-0000-0000-0000C5090000}"/>
    <cellStyle name="20% - Accent3 2 2 4 3 2 2 3" xfId="2506" xr:uid="{00000000-0005-0000-0000-0000C6090000}"/>
    <cellStyle name="20% - Accent3 2 2 4 3 2 3" xfId="2507" xr:uid="{00000000-0005-0000-0000-0000C7090000}"/>
    <cellStyle name="20% - Accent3 2 2 4 3 2 3 2" xfId="2508" xr:uid="{00000000-0005-0000-0000-0000C8090000}"/>
    <cellStyle name="20% - Accent3 2 2 4 3 2 4" xfId="2509" xr:uid="{00000000-0005-0000-0000-0000C9090000}"/>
    <cellStyle name="20% - Accent3 2 2 4 3 3" xfId="2510" xr:uid="{00000000-0005-0000-0000-0000CA090000}"/>
    <cellStyle name="20% - Accent3 2 2 4 3 3 2" xfId="2511" xr:uid="{00000000-0005-0000-0000-0000CB090000}"/>
    <cellStyle name="20% - Accent3 2 2 4 3 3 2 2" xfId="2512" xr:uid="{00000000-0005-0000-0000-0000CC090000}"/>
    <cellStyle name="20% - Accent3 2 2 4 3 3 3" xfId="2513" xr:uid="{00000000-0005-0000-0000-0000CD090000}"/>
    <cellStyle name="20% - Accent3 2 2 4 3 4" xfId="2514" xr:uid="{00000000-0005-0000-0000-0000CE090000}"/>
    <cellStyle name="20% - Accent3 2 2 4 3 4 2" xfId="2515" xr:uid="{00000000-0005-0000-0000-0000CF090000}"/>
    <cellStyle name="20% - Accent3 2 2 4 3 5" xfId="2516" xr:uid="{00000000-0005-0000-0000-0000D0090000}"/>
    <cellStyle name="20% - Accent3 2 2 4 4" xfId="2517" xr:uid="{00000000-0005-0000-0000-0000D1090000}"/>
    <cellStyle name="20% - Accent3 2 2 4 4 2" xfId="2518" xr:uid="{00000000-0005-0000-0000-0000D2090000}"/>
    <cellStyle name="20% - Accent3 2 2 4 4 2 2" xfId="2519" xr:uid="{00000000-0005-0000-0000-0000D3090000}"/>
    <cellStyle name="20% - Accent3 2 2 4 4 2 2 2" xfId="2520" xr:uid="{00000000-0005-0000-0000-0000D4090000}"/>
    <cellStyle name="20% - Accent3 2 2 4 4 2 3" xfId="2521" xr:uid="{00000000-0005-0000-0000-0000D5090000}"/>
    <cellStyle name="20% - Accent3 2 2 4 4 3" xfId="2522" xr:uid="{00000000-0005-0000-0000-0000D6090000}"/>
    <cellStyle name="20% - Accent3 2 2 4 4 3 2" xfId="2523" xr:uid="{00000000-0005-0000-0000-0000D7090000}"/>
    <cellStyle name="20% - Accent3 2 2 4 4 4" xfId="2524" xr:uid="{00000000-0005-0000-0000-0000D8090000}"/>
    <cellStyle name="20% - Accent3 2 2 4 5" xfId="2525" xr:uid="{00000000-0005-0000-0000-0000D9090000}"/>
    <cellStyle name="20% - Accent3 2 2 4 5 2" xfId="2526" xr:uid="{00000000-0005-0000-0000-0000DA090000}"/>
    <cellStyle name="20% - Accent3 2 2 4 5 2 2" xfId="2527" xr:uid="{00000000-0005-0000-0000-0000DB090000}"/>
    <cellStyle name="20% - Accent3 2 2 4 5 3" xfId="2528" xr:uid="{00000000-0005-0000-0000-0000DC090000}"/>
    <cellStyle name="20% - Accent3 2 2 4 6" xfId="2529" xr:uid="{00000000-0005-0000-0000-0000DD090000}"/>
    <cellStyle name="20% - Accent3 2 2 4 6 2" xfId="2530" xr:uid="{00000000-0005-0000-0000-0000DE090000}"/>
    <cellStyle name="20% - Accent3 2 2 4 7" xfId="2531" xr:uid="{00000000-0005-0000-0000-0000DF090000}"/>
    <cellStyle name="20% - Accent3 2 2 5" xfId="2532" xr:uid="{00000000-0005-0000-0000-0000E0090000}"/>
    <cellStyle name="20% - Accent3 2 2 5 2" xfId="2533" xr:uid="{00000000-0005-0000-0000-0000E1090000}"/>
    <cellStyle name="20% - Accent3 2 2 5 2 2" xfId="2534" xr:uid="{00000000-0005-0000-0000-0000E2090000}"/>
    <cellStyle name="20% - Accent3 2 2 5 2 2 2" xfId="2535" xr:uid="{00000000-0005-0000-0000-0000E3090000}"/>
    <cellStyle name="20% - Accent3 2 2 5 2 2 2 2" xfId="2536" xr:uid="{00000000-0005-0000-0000-0000E4090000}"/>
    <cellStyle name="20% - Accent3 2 2 5 2 2 2 2 2" xfId="2537" xr:uid="{00000000-0005-0000-0000-0000E5090000}"/>
    <cellStyle name="20% - Accent3 2 2 5 2 2 2 3" xfId="2538" xr:uid="{00000000-0005-0000-0000-0000E6090000}"/>
    <cellStyle name="20% - Accent3 2 2 5 2 2 3" xfId="2539" xr:uid="{00000000-0005-0000-0000-0000E7090000}"/>
    <cellStyle name="20% - Accent3 2 2 5 2 2 3 2" xfId="2540" xr:uid="{00000000-0005-0000-0000-0000E8090000}"/>
    <cellStyle name="20% - Accent3 2 2 5 2 2 4" xfId="2541" xr:uid="{00000000-0005-0000-0000-0000E9090000}"/>
    <cellStyle name="20% - Accent3 2 2 5 2 3" xfId="2542" xr:uid="{00000000-0005-0000-0000-0000EA090000}"/>
    <cellStyle name="20% - Accent3 2 2 5 2 3 2" xfId="2543" xr:uid="{00000000-0005-0000-0000-0000EB090000}"/>
    <cellStyle name="20% - Accent3 2 2 5 2 3 2 2" xfId="2544" xr:uid="{00000000-0005-0000-0000-0000EC090000}"/>
    <cellStyle name="20% - Accent3 2 2 5 2 3 3" xfId="2545" xr:uid="{00000000-0005-0000-0000-0000ED090000}"/>
    <cellStyle name="20% - Accent3 2 2 5 2 4" xfId="2546" xr:uid="{00000000-0005-0000-0000-0000EE090000}"/>
    <cellStyle name="20% - Accent3 2 2 5 2 4 2" xfId="2547" xr:uid="{00000000-0005-0000-0000-0000EF090000}"/>
    <cellStyle name="20% - Accent3 2 2 5 2 5" xfId="2548" xr:uid="{00000000-0005-0000-0000-0000F0090000}"/>
    <cellStyle name="20% - Accent3 2 2 5 3" xfId="2549" xr:uid="{00000000-0005-0000-0000-0000F1090000}"/>
    <cellStyle name="20% - Accent3 2 2 5 3 2" xfId="2550" xr:uid="{00000000-0005-0000-0000-0000F2090000}"/>
    <cellStyle name="20% - Accent3 2 2 5 3 2 2" xfId="2551" xr:uid="{00000000-0005-0000-0000-0000F3090000}"/>
    <cellStyle name="20% - Accent3 2 2 5 3 2 2 2" xfId="2552" xr:uid="{00000000-0005-0000-0000-0000F4090000}"/>
    <cellStyle name="20% - Accent3 2 2 5 3 2 3" xfId="2553" xr:uid="{00000000-0005-0000-0000-0000F5090000}"/>
    <cellStyle name="20% - Accent3 2 2 5 3 3" xfId="2554" xr:uid="{00000000-0005-0000-0000-0000F6090000}"/>
    <cellStyle name="20% - Accent3 2 2 5 3 3 2" xfId="2555" xr:uid="{00000000-0005-0000-0000-0000F7090000}"/>
    <cellStyle name="20% - Accent3 2 2 5 3 4" xfId="2556" xr:uid="{00000000-0005-0000-0000-0000F8090000}"/>
    <cellStyle name="20% - Accent3 2 2 5 4" xfId="2557" xr:uid="{00000000-0005-0000-0000-0000F9090000}"/>
    <cellStyle name="20% - Accent3 2 2 5 4 2" xfId="2558" xr:uid="{00000000-0005-0000-0000-0000FA090000}"/>
    <cellStyle name="20% - Accent3 2 2 5 4 2 2" xfId="2559" xr:uid="{00000000-0005-0000-0000-0000FB090000}"/>
    <cellStyle name="20% - Accent3 2 2 5 4 3" xfId="2560" xr:uid="{00000000-0005-0000-0000-0000FC090000}"/>
    <cellStyle name="20% - Accent3 2 2 5 5" xfId="2561" xr:uid="{00000000-0005-0000-0000-0000FD090000}"/>
    <cellStyle name="20% - Accent3 2 2 5 5 2" xfId="2562" xr:uid="{00000000-0005-0000-0000-0000FE090000}"/>
    <cellStyle name="20% - Accent3 2 2 5 6" xfId="2563" xr:uid="{00000000-0005-0000-0000-0000FF090000}"/>
    <cellStyle name="20% - Accent3 2 2 6" xfId="2564" xr:uid="{00000000-0005-0000-0000-0000000A0000}"/>
    <cellStyle name="20% - Accent3 2 2 6 2" xfId="2565" xr:uid="{00000000-0005-0000-0000-0000010A0000}"/>
    <cellStyle name="20% - Accent3 2 2 6 2 2" xfId="2566" xr:uid="{00000000-0005-0000-0000-0000020A0000}"/>
    <cellStyle name="20% - Accent3 2 2 6 2 2 2" xfId="2567" xr:uid="{00000000-0005-0000-0000-0000030A0000}"/>
    <cellStyle name="20% - Accent3 2 2 6 2 2 2 2" xfId="2568" xr:uid="{00000000-0005-0000-0000-0000040A0000}"/>
    <cellStyle name="20% - Accent3 2 2 6 2 2 3" xfId="2569" xr:uid="{00000000-0005-0000-0000-0000050A0000}"/>
    <cellStyle name="20% - Accent3 2 2 6 2 3" xfId="2570" xr:uid="{00000000-0005-0000-0000-0000060A0000}"/>
    <cellStyle name="20% - Accent3 2 2 6 2 3 2" xfId="2571" xr:uid="{00000000-0005-0000-0000-0000070A0000}"/>
    <cellStyle name="20% - Accent3 2 2 6 2 4" xfId="2572" xr:uid="{00000000-0005-0000-0000-0000080A0000}"/>
    <cellStyle name="20% - Accent3 2 2 6 3" xfId="2573" xr:uid="{00000000-0005-0000-0000-0000090A0000}"/>
    <cellStyle name="20% - Accent3 2 2 6 3 2" xfId="2574" xr:uid="{00000000-0005-0000-0000-00000A0A0000}"/>
    <cellStyle name="20% - Accent3 2 2 6 3 2 2" xfId="2575" xr:uid="{00000000-0005-0000-0000-00000B0A0000}"/>
    <cellStyle name="20% - Accent3 2 2 6 3 3" xfId="2576" xr:uid="{00000000-0005-0000-0000-00000C0A0000}"/>
    <cellStyle name="20% - Accent3 2 2 6 4" xfId="2577" xr:uid="{00000000-0005-0000-0000-00000D0A0000}"/>
    <cellStyle name="20% - Accent3 2 2 6 4 2" xfId="2578" xr:uid="{00000000-0005-0000-0000-00000E0A0000}"/>
    <cellStyle name="20% - Accent3 2 2 6 5" xfId="2579" xr:uid="{00000000-0005-0000-0000-00000F0A0000}"/>
    <cellStyle name="20% - Accent3 2 2 7" xfId="2580" xr:uid="{00000000-0005-0000-0000-0000100A0000}"/>
    <cellStyle name="20% - Accent3 2 2 7 2" xfId="2581" xr:uid="{00000000-0005-0000-0000-0000110A0000}"/>
    <cellStyle name="20% - Accent3 2 2 7 2 2" xfId="2582" xr:uid="{00000000-0005-0000-0000-0000120A0000}"/>
    <cellStyle name="20% - Accent3 2 2 7 2 2 2" xfId="2583" xr:uid="{00000000-0005-0000-0000-0000130A0000}"/>
    <cellStyle name="20% - Accent3 2 2 7 2 3" xfId="2584" xr:uid="{00000000-0005-0000-0000-0000140A0000}"/>
    <cellStyle name="20% - Accent3 2 2 7 3" xfId="2585" xr:uid="{00000000-0005-0000-0000-0000150A0000}"/>
    <cellStyle name="20% - Accent3 2 2 7 3 2" xfId="2586" xr:uid="{00000000-0005-0000-0000-0000160A0000}"/>
    <cellStyle name="20% - Accent3 2 2 7 4" xfId="2587" xr:uid="{00000000-0005-0000-0000-0000170A0000}"/>
    <cellStyle name="20% - Accent3 2 2 8" xfId="2588" xr:uid="{00000000-0005-0000-0000-0000180A0000}"/>
    <cellStyle name="20% - Accent3 2 2 8 2" xfId="2589" xr:uid="{00000000-0005-0000-0000-0000190A0000}"/>
    <cellStyle name="20% - Accent3 2 2 8 2 2" xfId="2590" xr:uid="{00000000-0005-0000-0000-00001A0A0000}"/>
    <cellStyle name="20% - Accent3 2 2 8 3" xfId="2591" xr:uid="{00000000-0005-0000-0000-00001B0A0000}"/>
    <cellStyle name="20% - Accent3 2 2 9" xfId="2592" xr:uid="{00000000-0005-0000-0000-00001C0A0000}"/>
    <cellStyle name="20% - Accent3 2 2 9 2" xfId="2593" xr:uid="{00000000-0005-0000-0000-00001D0A0000}"/>
    <cellStyle name="20% - Accent3 2 3" xfId="2594" xr:uid="{00000000-0005-0000-0000-00001E0A0000}"/>
    <cellStyle name="20% - Accent3 2 3 2" xfId="2595" xr:uid="{00000000-0005-0000-0000-00001F0A0000}"/>
    <cellStyle name="20% - Accent3 2 3 2 2" xfId="2596" xr:uid="{00000000-0005-0000-0000-0000200A0000}"/>
    <cellStyle name="20% - Accent3 2 3 2 2 2" xfId="2597" xr:uid="{00000000-0005-0000-0000-0000210A0000}"/>
    <cellStyle name="20% - Accent3 2 3 2 2 2 2" xfId="2598" xr:uid="{00000000-0005-0000-0000-0000220A0000}"/>
    <cellStyle name="20% - Accent3 2 3 2 2 2 2 2" xfId="2599" xr:uid="{00000000-0005-0000-0000-0000230A0000}"/>
    <cellStyle name="20% - Accent3 2 3 2 2 2 2 2 2" xfId="2600" xr:uid="{00000000-0005-0000-0000-0000240A0000}"/>
    <cellStyle name="20% - Accent3 2 3 2 2 2 2 2 2 2" xfId="2601" xr:uid="{00000000-0005-0000-0000-0000250A0000}"/>
    <cellStyle name="20% - Accent3 2 3 2 2 2 2 2 2 2 2" xfId="2602" xr:uid="{00000000-0005-0000-0000-0000260A0000}"/>
    <cellStyle name="20% - Accent3 2 3 2 2 2 2 2 2 3" xfId="2603" xr:uid="{00000000-0005-0000-0000-0000270A0000}"/>
    <cellStyle name="20% - Accent3 2 3 2 2 2 2 2 3" xfId="2604" xr:uid="{00000000-0005-0000-0000-0000280A0000}"/>
    <cellStyle name="20% - Accent3 2 3 2 2 2 2 2 3 2" xfId="2605" xr:uid="{00000000-0005-0000-0000-0000290A0000}"/>
    <cellStyle name="20% - Accent3 2 3 2 2 2 2 2 4" xfId="2606" xr:uid="{00000000-0005-0000-0000-00002A0A0000}"/>
    <cellStyle name="20% - Accent3 2 3 2 2 2 2 3" xfId="2607" xr:uid="{00000000-0005-0000-0000-00002B0A0000}"/>
    <cellStyle name="20% - Accent3 2 3 2 2 2 2 3 2" xfId="2608" xr:uid="{00000000-0005-0000-0000-00002C0A0000}"/>
    <cellStyle name="20% - Accent3 2 3 2 2 2 2 3 2 2" xfId="2609" xr:uid="{00000000-0005-0000-0000-00002D0A0000}"/>
    <cellStyle name="20% - Accent3 2 3 2 2 2 2 3 3" xfId="2610" xr:uid="{00000000-0005-0000-0000-00002E0A0000}"/>
    <cellStyle name="20% - Accent3 2 3 2 2 2 2 4" xfId="2611" xr:uid="{00000000-0005-0000-0000-00002F0A0000}"/>
    <cellStyle name="20% - Accent3 2 3 2 2 2 2 4 2" xfId="2612" xr:uid="{00000000-0005-0000-0000-0000300A0000}"/>
    <cellStyle name="20% - Accent3 2 3 2 2 2 2 5" xfId="2613" xr:uid="{00000000-0005-0000-0000-0000310A0000}"/>
    <cellStyle name="20% - Accent3 2 3 2 2 2 3" xfId="2614" xr:uid="{00000000-0005-0000-0000-0000320A0000}"/>
    <cellStyle name="20% - Accent3 2 3 2 2 2 3 2" xfId="2615" xr:uid="{00000000-0005-0000-0000-0000330A0000}"/>
    <cellStyle name="20% - Accent3 2 3 2 2 2 3 2 2" xfId="2616" xr:uid="{00000000-0005-0000-0000-0000340A0000}"/>
    <cellStyle name="20% - Accent3 2 3 2 2 2 3 2 2 2" xfId="2617" xr:uid="{00000000-0005-0000-0000-0000350A0000}"/>
    <cellStyle name="20% - Accent3 2 3 2 2 2 3 2 3" xfId="2618" xr:uid="{00000000-0005-0000-0000-0000360A0000}"/>
    <cellStyle name="20% - Accent3 2 3 2 2 2 3 3" xfId="2619" xr:uid="{00000000-0005-0000-0000-0000370A0000}"/>
    <cellStyle name="20% - Accent3 2 3 2 2 2 3 3 2" xfId="2620" xr:uid="{00000000-0005-0000-0000-0000380A0000}"/>
    <cellStyle name="20% - Accent3 2 3 2 2 2 3 4" xfId="2621" xr:uid="{00000000-0005-0000-0000-0000390A0000}"/>
    <cellStyle name="20% - Accent3 2 3 2 2 2 4" xfId="2622" xr:uid="{00000000-0005-0000-0000-00003A0A0000}"/>
    <cellStyle name="20% - Accent3 2 3 2 2 2 4 2" xfId="2623" xr:uid="{00000000-0005-0000-0000-00003B0A0000}"/>
    <cellStyle name="20% - Accent3 2 3 2 2 2 4 2 2" xfId="2624" xr:uid="{00000000-0005-0000-0000-00003C0A0000}"/>
    <cellStyle name="20% - Accent3 2 3 2 2 2 4 3" xfId="2625" xr:uid="{00000000-0005-0000-0000-00003D0A0000}"/>
    <cellStyle name="20% - Accent3 2 3 2 2 2 5" xfId="2626" xr:uid="{00000000-0005-0000-0000-00003E0A0000}"/>
    <cellStyle name="20% - Accent3 2 3 2 2 2 5 2" xfId="2627" xr:uid="{00000000-0005-0000-0000-00003F0A0000}"/>
    <cellStyle name="20% - Accent3 2 3 2 2 2 6" xfId="2628" xr:uid="{00000000-0005-0000-0000-0000400A0000}"/>
    <cellStyle name="20% - Accent3 2 3 2 2 3" xfId="2629" xr:uid="{00000000-0005-0000-0000-0000410A0000}"/>
    <cellStyle name="20% - Accent3 2 3 2 2 3 2" xfId="2630" xr:uid="{00000000-0005-0000-0000-0000420A0000}"/>
    <cellStyle name="20% - Accent3 2 3 2 2 3 2 2" xfId="2631" xr:uid="{00000000-0005-0000-0000-0000430A0000}"/>
    <cellStyle name="20% - Accent3 2 3 2 2 3 2 2 2" xfId="2632" xr:uid="{00000000-0005-0000-0000-0000440A0000}"/>
    <cellStyle name="20% - Accent3 2 3 2 2 3 2 2 2 2" xfId="2633" xr:uid="{00000000-0005-0000-0000-0000450A0000}"/>
    <cellStyle name="20% - Accent3 2 3 2 2 3 2 2 3" xfId="2634" xr:uid="{00000000-0005-0000-0000-0000460A0000}"/>
    <cellStyle name="20% - Accent3 2 3 2 2 3 2 3" xfId="2635" xr:uid="{00000000-0005-0000-0000-0000470A0000}"/>
    <cellStyle name="20% - Accent3 2 3 2 2 3 2 3 2" xfId="2636" xr:uid="{00000000-0005-0000-0000-0000480A0000}"/>
    <cellStyle name="20% - Accent3 2 3 2 2 3 2 4" xfId="2637" xr:uid="{00000000-0005-0000-0000-0000490A0000}"/>
    <cellStyle name="20% - Accent3 2 3 2 2 3 3" xfId="2638" xr:uid="{00000000-0005-0000-0000-00004A0A0000}"/>
    <cellStyle name="20% - Accent3 2 3 2 2 3 3 2" xfId="2639" xr:uid="{00000000-0005-0000-0000-00004B0A0000}"/>
    <cellStyle name="20% - Accent3 2 3 2 2 3 3 2 2" xfId="2640" xr:uid="{00000000-0005-0000-0000-00004C0A0000}"/>
    <cellStyle name="20% - Accent3 2 3 2 2 3 3 3" xfId="2641" xr:uid="{00000000-0005-0000-0000-00004D0A0000}"/>
    <cellStyle name="20% - Accent3 2 3 2 2 3 4" xfId="2642" xr:uid="{00000000-0005-0000-0000-00004E0A0000}"/>
    <cellStyle name="20% - Accent3 2 3 2 2 3 4 2" xfId="2643" xr:uid="{00000000-0005-0000-0000-00004F0A0000}"/>
    <cellStyle name="20% - Accent3 2 3 2 2 3 5" xfId="2644" xr:uid="{00000000-0005-0000-0000-0000500A0000}"/>
    <cellStyle name="20% - Accent3 2 3 2 2 4" xfId="2645" xr:uid="{00000000-0005-0000-0000-0000510A0000}"/>
    <cellStyle name="20% - Accent3 2 3 2 2 4 2" xfId="2646" xr:uid="{00000000-0005-0000-0000-0000520A0000}"/>
    <cellStyle name="20% - Accent3 2 3 2 2 4 2 2" xfId="2647" xr:uid="{00000000-0005-0000-0000-0000530A0000}"/>
    <cellStyle name="20% - Accent3 2 3 2 2 4 2 2 2" xfId="2648" xr:uid="{00000000-0005-0000-0000-0000540A0000}"/>
    <cellStyle name="20% - Accent3 2 3 2 2 4 2 3" xfId="2649" xr:uid="{00000000-0005-0000-0000-0000550A0000}"/>
    <cellStyle name="20% - Accent3 2 3 2 2 4 3" xfId="2650" xr:uid="{00000000-0005-0000-0000-0000560A0000}"/>
    <cellStyle name="20% - Accent3 2 3 2 2 4 3 2" xfId="2651" xr:uid="{00000000-0005-0000-0000-0000570A0000}"/>
    <cellStyle name="20% - Accent3 2 3 2 2 4 4" xfId="2652" xr:uid="{00000000-0005-0000-0000-0000580A0000}"/>
    <cellStyle name="20% - Accent3 2 3 2 2 5" xfId="2653" xr:uid="{00000000-0005-0000-0000-0000590A0000}"/>
    <cellStyle name="20% - Accent3 2 3 2 2 5 2" xfId="2654" xr:uid="{00000000-0005-0000-0000-00005A0A0000}"/>
    <cellStyle name="20% - Accent3 2 3 2 2 5 2 2" xfId="2655" xr:uid="{00000000-0005-0000-0000-00005B0A0000}"/>
    <cellStyle name="20% - Accent3 2 3 2 2 5 3" xfId="2656" xr:uid="{00000000-0005-0000-0000-00005C0A0000}"/>
    <cellStyle name="20% - Accent3 2 3 2 2 6" xfId="2657" xr:uid="{00000000-0005-0000-0000-00005D0A0000}"/>
    <cellStyle name="20% - Accent3 2 3 2 2 6 2" xfId="2658" xr:uid="{00000000-0005-0000-0000-00005E0A0000}"/>
    <cellStyle name="20% - Accent3 2 3 2 2 7" xfId="2659" xr:uid="{00000000-0005-0000-0000-00005F0A0000}"/>
    <cellStyle name="20% - Accent3 2 3 2 3" xfId="2660" xr:uid="{00000000-0005-0000-0000-0000600A0000}"/>
    <cellStyle name="20% - Accent3 2 3 2 3 2" xfId="2661" xr:uid="{00000000-0005-0000-0000-0000610A0000}"/>
    <cellStyle name="20% - Accent3 2 3 2 3 2 2" xfId="2662" xr:uid="{00000000-0005-0000-0000-0000620A0000}"/>
    <cellStyle name="20% - Accent3 2 3 2 3 2 2 2" xfId="2663" xr:uid="{00000000-0005-0000-0000-0000630A0000}"/>
    <cellStyle name="20% - Accent3 2 3 2 3 2 2 2 2" xfId="2664" xr:uid="{00000000-0005-0000-0000-0000640A0000}"/>
    <cellStyle name="20% - Accent3 2 3 2 3 2 2 2 2 2" xfId="2665" xr:uid="{00000000-0005-0000-0000-0000650A0000}"/>
    <cellStyle name="20% - Accent3 2 3 2 3 2 2 2 3" xfId="2666" xr:uid="{00000000-0005-0000-0000-0000660A0000}"/>
    <cellStyle name="20% - Accent3 2 3 2 3 2 2 3" xfId="2667" xr:uid="{00000000-0005-0000-0000-0000670A0000}"/>
    <cellStyle name="20% - Accent3 2 3 2 3 2 2 3 2" xfId="2668" xr:uid="{00000000-0005-0000-0000-0000680A0000}"/>
    <cellStyle name="20% - Accent3 2 3 2 3 2 2 4" xfId="2669" xr:uid="{00000000-0005-0000-0000-0000690A0000}"/>
    <cellStyle name="20% - Accent3 2 3 2 3 2 3" xfId="2670" xr:uid="{00000000-0005-0000-0000-00006A0A0000}"/>
    <cellStyle name="20% - Accent3 2 3 2 3 2 3 2" xfId="2671" xr:uid="{00000000-0005-0000-0000-00006B0A0000}"/>
    <cellStyle name="20% - Accent3 2 3 2 3 2 3 2 2" xfId="2672" xr:uid="{00000000-0005-0000-0000-00006C0A0000}"/>
    <cellStyle name="20% - Accent3 2 3 2 3 2 3 3" xfId="2673" xr:uid="{00000000-0005-0000-0000-00006D0A0000}"/>
    <cellStyle name="20% - Accent3 2 3 2 3 2 4" xfId="2674" xr:uid="{00000000-0005-0000-0000-00006E0A0000}"/>
    <cellStyle name="20% - Accent3 2 3 2 3 2 4 2" xfId="2675" xr:uid="{00000000-0005-0000-0000-00006F0A0000}"/>
    <cellStyle name="20% - Accent3 2 3 2 3 2 5" xfId="2676" xr:uid="{00000000-0005-0000-0000-0000700A0000}"/>
    <cellStyle name="20% - Accent3 2 3 2 3 3" xfId="2677" xr:uid="{00000000-0005-0000-0000-0000710A0000}"/>
    <cellStyle name="20% - Accent3 2 3 2 3 3 2" xfId="2678" xr:uid="{00000000-0005-0000-0000-0000720A0000}"/>
    <cellStyle name="20% - Accent3 2 3 2 3 3 2 2" xfId="2679" xr:uid="{00000000-0005-0000-0000-0000730A0000}"/>
    <cellStyle name="20% - Accent3 2 3 2 3 3 2 2 2" xfId="2680" xr:uid="{00000000-0005-0000-0000-0000740A0000}"/>
    <cellStyle name="20% - Accent3 2 3 2 3 3 2 3" xfId="2681" xr:uid="{00000000-0005-0000-0000-0000750A0000}"/>
    <cellStyle name="20% - Accent3 2 3 2 3 3 3" xfId="2682" xr:uid="{00000000-0005-0000-0000-0000760A0000}"/>
    <cellStyle name="20% - Accent3 2 3 2 3 3 3 2" xfId="2683" xr:uid="{00000000-0005-0000-0000-0000770A0000}"/>
    <cellStyle name="20% - Accent3 2 3 2 3 3 4" xfId="2684" xr:uid="{00000000-0005-0000-0000-0000780A0000}"/>
    <cellStyle name="20% - Accent3 2 3 2 3 4" xfId="2685" xr:uid="{00000000-0005-0000-0000-0000790A0000}"/>
    <cellStyle name="20% - Accent3 2 3 2 3 4 2" xfId="2686" xr:uid="{00000000-0005-0000-0000-00007A0A0000}"/>
    <cellStyle name="20% - Accent3 2 3 2 3 4 2 2" xfId="2687" xr:uid="{00000000-0005-0000-0000-00007B0A0000}"/>
    <cellStyle name="20% - Accent3 2 3 2 3 4 3" xfId="2688" xr:uid="{00000000-0005-0000-0000-00007C0A0000}"/>
    <cellStyle name="20% - Accent3 2 3 2 3 5" xfId="2689" xr:uid="{00000000-0005-0000-0000-00007D0A0000}"/>
    <cellStyle name="20% - Accent3 2 3 2 3 5 2" xfId="2690" xr:uid="{00000000-0005-0000-0000-00007E0A0000}"/>
    <cellStyle name="20% - Accent3 2 3 2 3 6" xfId="2691" xr:uid="{00000000-0005-0000-0000-00007F0A0000}"/>
    <cellStyle name="20% - Accent3 2 3 2 4" xfId="2692" xr:uid="{00000000-0005-0000-0000-0000800A0000}"/>
    <cellStyle name="20% - Accent3 2 3 2 4 2" xfId="2693" xr:uid="{00000000-0005-0000-0000-0000810A0000}"/>
    <cellStyle name="20% - Accent3 2 3 2 4 2 2" xfId="2694" xr:uid="{00000000-0005-0000-0000-0000820A0000}"/>
    <cellStyle name="20% - Accent3 2 3 2 4 2 2 2" xfId="2695" xr:uid="{00000000-0005-0000-0000-0000830A0000}"/>
    <cellStyle name="20% - Accent3 2 3 2 4 2 2 2 2" xfId="2696" xr:uid="{00000000-0005-0000-0000-0000840A0000}"/>
    <cellStyle name="20% - Accent3 2 3 2 4 2 2 3" xfId="2697" xr:uid="{00000000-0005-0000-0000-0000850A0000}"/>
    <cellStyle name="20% - Accent3 2 3 2 4 2 3" xfId="2698" xr:uid="{00000000-0005-0000-0000-0000860A0000}"/>
    <cellStyle name="20% - Accent3 2 3 2 4 2 3 2" xfId="2699" xr:uid="{00000000-0005-0000-0000-0000870A0000}"/>
    <cellStyle name="20% - Accent3 2 3 2 4 2 4" xfId="2700" xr:uid="{00000000-0005-0000-0000-0000880A0000}"/>
    <cellStyle name="20% - Accent3 2 3 2 4 3" xfId="2701" xr:uid="{00000000-0005-0000-0000-0000890A0000}"/>
    <cellStyle name="20% - Accent3 2 3 2 4 3 2" xfId="2702" xr:uid="{00000000-0005-0000-0000-00008A0A0000}"/>
    <cellStyle name="20% - Accent3 2 3 2 4 3 2 2" xfId="2703" xr:uid="{00000000-0005-0000-0000-00008B0A0000}"/>
    <cellStyle name="20% - Accent3 2 3 2 4 3 3" xfId="2704" xr:uid="{00000000-0005-0000-0000-00008C0A0000}"/>
    <cellStyle name="20% - Accent3 2 3 2 4 4" xfId="2705" xr:uid="{00000000-0005-0000-0000-00008D0A0000}"/>
    <cellStyle name="20% - Accent3 2 3 2 4 4 2" xfId="2706" xr:uid="{00000000-0005-0000-0000-00008E0A0000}"/>
    <cellStyle name="20% - Accent3 2 3 2 4 5" xfId="2707" xr:uid="{00000000-0005-0000-0000-00008F0A0000}"/>
    <cellStyle name="20% - Accent3 2 3 2 5" xfId="2708" xr:uid="{00000000-0005-0000-0000-0000900A0000}"/>
    <cellStyle name="20% - Accent3 2 3 2 5 2" xfId="2709" xr:uid="{00000000-0005-0000-0000-0000910A0000}"/>
    <cellStyle name="20% - Accent3 2 3 2 5 2 2" xfId="2710" xr:uid="{00000000-0005-0000-0000-0000920A0000}"/>
    <cellStyle name="20% - Accent3 2 3 2 5 2 2 2" xfId="2711" xr:uid="{00000000-0005-0000-0000-0000930A0000}"/>
    <cellStyle name="20% - Accent3 2 3 2 5 2 3" xfId="2712" xr:uid="{00000000-0005-0000-0000-0000940A0000}"/>
    <cellStyle name="20% - Accent3 2 3 2 5 3" xfId="2713" xr:uid="{00000000-0005-0000-0000-0000950A0000}"/>
    <cellStyle name="20% - Accent3 2 3 2 5 3 2" xfId="2714" xr:uid="{00000000-0005-0000-0000-0000960A0000}"/>
    <cellStyle name="20% - Accent3 2 3 2 5 4" xfId="2715" xr:uid="{00000000-0005-0000-0000-0000970A0000}"/>
    <cellStyle name="20% - Accent3 2 3 2 6" xfId="2716" xr:uid="{00000000-0005-0000-0000-0000980A0000}"/>
    <cellStyle name="20% - Accent3 2 3 2 6 2" xfId="2717" xr:uid="{00000000-0005-0000-0000-0000990A0000}"/>
    <cellStyle name="20% - Accent3 2 3 2 6 2 2" xfId="2718" xr:uid="{00000000-0005-0000-0000-00009A0A0000}"/>
    <cellStyle name="20% - Accent3 2 3 2 6 3" xfId="2719" xr:uid="{00000000-0005-0000-0000-00009B0A0000}"/>
    <cellStyle name="20% - Accent3 2 3 2 7" xfId="2720" xr:uid="{00000000-0005-0000-0000-00009C0A0000}"/>
    <cellStyle name="20% - Accent3 2 3 2 7 2" xfId="2721" xr:uid="{00000000-0005-0000-0000-00009D0A0000}"/>
    <cellStyle name="20% - Accent3 2 3 2 8" xfId="2722" xr:uid="{00000000-0005-0000-0000-00009E0A0000}"/>
    <cellStyle name="20% - Accent3 2 3 3" xfId="2723" xr:uid="{00000000-0005-0000-0000-00009F0A0000}"/>
    <cellStyle name="20% - Accent3 2 3 3 2" xfId="2724" xr:uid="{00000000-0005-0000-0000-0000A00A0000}"/>
    <cellStyle name="20% - Accent3 2 3 3 2 2" xfId="2725" xr:uid="{00000000-0005-0000-0000-0000A10A0000}"/>
    <cellStyle name="20% - Accent3 2 3 3 2 2 2" xfId="2726" xr:uid="{00000000-0005-0000-0000-0000A20A0000}"/>
    <cellStyle name="20% - Accent3 2 3 3 2 2 2 2" xfId="2727" xr:uid="{00000000-0005-0000-0000-0000A30A0000}"/>
    <cellStyle name="20% - Accent3 2 3 3 2 2 2 2 2" xfId="2728" xr:uid="{00000000-0005-0000-0000-0000A40A0000}"/>
    <cellStyle name="20% - Accent3 2 3 3 2 2 2 2 2 2" xfId="2729" xr:uid="{00000000-0005-0000-0000-0000A50A0000}"/>
    <cellStyle name="20% - Accent3 2 3 3 2 2 2 2 3" xfId="2730" xr:uid="{00000000-0005-0000-0000-0000A60A0000}"/>
    <cellStyle name="20% - Accent3 2 3 3 2 2 2 3" xfId="2731" xr:uid="{00000000-0005-0000-0000-0000A70A0000}"/>
    <cellStyle name="20% - Accent3 2 3 3 2 2 2 3 2" xfId="2732" xr:uid="{00000000-0005-0000-0000-0000A80A0000}"/>
    <cellStyle name="20% - Accent3 2 3 3 2 2 2 4" xfId="2733" xr:uid="{00000000-0005-0000-0000-0000A90A0000}"/>
    <cellStyle name="20% - Accent3 2 3 3 2 2 3" xfId="2734" xr:uid="{00000000-0005-0000-0000-0000AA0A0000}"/>
    <cellStyle name="20% - Accent3 2 3 3 2 2 3 2" xfId="2735" xr:uid="{00000000-0005-0000-0000-0000AB0A0000}"/>
    <cellStyle name="20% - Accent3 2 3 3 2 2 3 2 2" xfId="2736" xr:uid="{00000000-0005-0000-0000-0000AC0A0000}"/>
    <cellStyle name="20% - Accent3 2 3 3 2 2 3 3" xfId="2737" xr:uid="{00000000-0005-0000-0000-0000AD0A0000}"/>
    <cellStyle name="20% - Accent3 2 3 3 2 2 4" xfId="2738" xr:uid="{00000000-0005-0000-0000-0000AE0A0000}"/>
    <cellStyle name="20% - Accent3 2 3 3 2 2 4 2" xfId="2739" xr:uid="{00000000-0005-0000-0000-0000AF0A0000}"/>
    <cellStyle name="20% - Accent3 2 3 3 2 2 5" xfId="2740" xr:uid="{00000000-0005-0000-0000-0000B00A0000}"/>
    <cellStyle name="20% - Accent3 2 3 3 2 3" xfId="2741" xr:uid="{00000000-0005-0000-0000-0000B10A0000}"/>
    <cellStyle name="20% - Accent3 2 3 3 2 3 2" xfId="2742" xr:uid="{00000000-0005-0000-0000-0000B20A0000}"/>
    <cellStyle name="20% - Accent3 2 3 3 2 3 2 2" xfId="2743" xr:uid="{00000000-0005-0000-0000-0000B30A0000}"/>
    <cellStyle name="20% - Accent3 2 3 3 2 3 2 2 2" xfId="2744" xr:uid="{00000000-0005-0000-0000-0000B40A0000}"/>
    <cellStyle name="20% - Accent3 2 3 3 2 3 2 3" xfId="2745" xr:uid="{00000000-0005-0000-0000-0000B50A0000}"/>
    <cellStyle name="20% - Accent3 2 3 3 2 3 3" xfId="2746" xr:uid="{00000000-0005-0000-0000-0000B60A0000}"/>
    <cellStyle name="20% - Accent3 2 3 3 2 3 3 2" xfId="2747" xr:uid="{00000000-0005-0000-0000-0000B70A0000}"/>
    <cellStyle name="20% - Accent3 2 3 3 2 3 4" xfId="2748" xr:uid="{00000000-0005-0000-0000-0000B80A0000}"/>
    <cellStyle name="20% - Accent3 2 3 3 2 4" xfId="2749" xr:uid="{00000000-0005-0000-0000-0000B90A0000}"/>
    <cellStyle name="20% - Accent3 2 3 3 2 4 2" xfId="2750" xr:uid="{00000000-0005-0000-0000-0000BA0A0000}"/>
    <cellStyle name="20% - Accent3 2 3 3 2 4 2 2" xfId="2751" xr:uid="{00000000-0005-0000-0000-0000BB0A0000}"/>
    <cellStyle name="20% - Accent3 2 3 3 2 4 3" xfId="2752" xr:uid="{00000000-0005-0000-0000-0000BC0A0000}"/>
    <cellStyle name="20% - Accent3 2 3 3 2 5" xfId="2753" xr:uid="{00000000-0005-0000-0000-0000BD0A0000}"/>
    <cellStyle name="20% - Accent3 2 3 3 2 5 2" xfId="2754" xr:uid="{00000000-0005-0000-0000-0000BE0A0000}"/>
    <cellStyle name="20% - Accent3 2 3 3 2 6" xfId="2755" xr:uid="{00000000-0005-0000-0000-0000BF0A0000}"/>
    <cellStyle name="20% - Accent3 2 3 3 3" xfId="2756" xr:uid="{00000000-0005-0000-0000-0000C00A0000}"/>
    <cellStyle name="20% - Accent3 2 3 3 3 2" xfId="2757" xr:uid="{00000000-0005-0000-0000-0000C10A0000}"/>
    <cellStyle name="20% - Accent3 2 3 3 3 2 2" xfId="2758" xr:uid="{00000000-0005-0000-0000-0000C20A0000}"/>
    <cellStyle name="20% - Accent3 2 3 3 3 2 2 2" xfId="2759" xr:uid="{00000000-0005-0000-0000-0000C30A0000}"/>
    <cellStyle name="20% - Accent3 2 3 3 3 2 2 2 2" xfId="2760" xr:uid="{00000000-0005-0000-0000-0000C40A0000}"/>
    <cellStyle name="20% - Accent3 2 3 3 3 2 2 3" xfId="2761" xr:uid="{00000000-0005-0000-0000-0000C50A0000}"/>
    <cellStyle name="20% - Accent3 2 3 3 3 2 3" xfId="2762" xr:uid="{00000000-0005-0000-0000-0000C60A0000}"/>
    <cellStyle name="20% - Accent3 2 3 3 3 2 3 2" xfId="2763" xr:uid="{00000000-0005-0000-0000-0000C70A0000}"/>
    <cellStyle name="20% - Accent3 2 3 3 3 2 4" xfId="2764" xr:uid="{00000000-0005-0000-0000-0000C80A0000}"/>
    <cellStyle name="20% - Accent3 2 3 3 3 3" xfId="2765" xr:uid="{00000000-0005-0000-0000-0000C90A0000}"/>
    <cellStyle name="20% - Accent3 2 3 3 3 3 2" xfId="2766" xr:uid="{00000000-0005-0000-0000-0000CA0A0000}"/>
    <cellStyle name="20% - Accent3 2 3 3 3 3 2 2" xfId="2767" xr:uid="{00000000-0005-0000-0000-0000CB0A0000}"/>
    <cellStyle name="20% - Accent3 2 3 3 3 3 3" xfId="2768" xr:uid="{00000000-0005-0000-0000-0000CC0A0000}"/>
    <cellStyle name="20% - Accent3 2 3 3 3 4" xfId="2769" xr:uid="{00000000-0005-0000-0000-0000CD0A0000}"/>
    <cellStyle name="20% - Accent3 2 3 3 3 4 2" xfId="2770" xr:uid="{00000000-0005-0000-0000-0000CE0A0000}"/>
    <cellStyle name="20% - Accent3 2 3 3 3 5" xfId="2771" xr:uid="{00000000-0005-0000-0000-0000CF0A0000}"/>
    <cellStyle name="20% - Accent3 2 3 3 4" xfId="2772" xr:uid="{00000000-0005-0000-0000-0000D00A0000}"/>
    <cellStyle name="20% - Accent3 2 3 3 4 2" xfId="2773" xr:uid="{00000000-0005-0000-0000-0000D10A0000}"/>
    <cellStyle name="20% - Accent3 2 3 3 4 2 2" xfId="2774" xr:uid="{00000000-0005-0000-0000-0000D20A0000}"/>
    <cellStyle name="20% - Accent3 2 3 3 4 2 2 2" xfId="2775" xr:uid="{00000000-0005-0000-0000-0000D30A0000}"/>
    <cellStyle name="20% - Accent3 2 3 3 4 2 3" xfId="2776" xr:uid="{00000000-0005-0000-0000-0000D40A0000}"/>
    <cellStyle name="20% - Accent3 2 3 3 4 3" xfId="2777" xr:uid="{00000000-0005-0000-0000-0000D50A0000}"/>
    <cellStyle name="20% - Accent3 2 3 3 4 3 2" xfId="2778" xr:uid="{00000000-0005-0000-0000-0000D60A0000}"/>
    <cellStyle name="20% - Accent3 2 3 3 4 4" xfId="2779" xr:uid="{00000000-0005-0000-0000-0000D70A0000}"/>
    <cellStyle name="20% - Accent3 2 3 3 5" xfId="2780" xr:uid="{00000000-0005-0000-0000-0000D80A0000}"/>
    <cellStyle name="20% - Accent3 2 3 3 5 2" xfId="2781" xr:uid="{00000000-0005-0000-0000-0000D90A0000}"/>
    <cellStyle name="20% - Accent3 2 3 3 5 2 2" xfId="2782" xr:uid="{00000000-0005-0000-0000-0000DA0A0000}"/>
    <cellStyle name="20% - Accent3 2 3 3 5 3" xfId="2783" xr:uid="{00000000-0005-0000-0000-0000DB0A0000}"/>
    <cellStyle name="20% - Accent3 2 3 3 6" xfId="2784" xr:uid="{00000000-0005-0000-0000-0000DC0A0000}"/>
    <cellStyle name="20% - Accent3 2 3 3 6 2" xfId="2785" xr:uid="{00000000-0005-0000-0000-0000DD0A0000}"/>
    <cellStyle name="20% - Accent3 2 3 3 7" xfId="2786" xr:uid="{00000000-0005-0000-0000-0000DE0A0000}"/>
    <cellStyle name="20% - Accent3 2 3 4" xfId="2787" xr:uid="{00000000-0005-0000-0000-0000DF0A0000}"/>
    <cellStyle name="20% - Accent3 2 3 4 2" xfId="2788" xr:uid="{00000000-0005-0000-0000-0000E00A0000}"/>
    <cellStyle name="20% - Accent3 2 3 4 2 2" xfId="2789" xr:uid="{00000000-0005-0000-0000-0000E10A0000}"/>
    <cellStyle name="20% - Accent3 2 3 4 2 2 2" xfId="2790" xr:uid="{00000000-0005-0000-0000-0000E20A0000}"/>
    <cellStyle name="20% - Accent3 2 3 4 2 2 2 2" xfId="2791" xr:uid="{00000000-0005-0000-0000-0000E30A0000}"/>
    <cellStyle name="20% - Accent3 2 3 4 2 2 2 2 2" xfId="2792" xr:uid="{00000000-0005-0000-0000-0000E40A0000}"/>
    <cellStyle name="20% - Accent3 2 3 4 2 2 2 3" xfId="2793" xr:uid="{00000000-0005-0000-0000-0000E50A0000}"/>
    <cellStyle name="20% - Accent3 2 3 4 2 2 3" xfId="2794" xr:uid="{00000000-0005-0000-0000-0000E60A0000}"/>
    <cellStyle name="20% - Accent3 2 3 4 2 2 3 2" xfId="2795" xr:uid="{00000000-0005-0000-0000-0000E70A0000}"/>
    <cellStyle name="20% - Accent3 2 3 4 2 2 4" xfId="2796" xr:uid="{00000000-0005-0000-0000-0000E80A0000}"/>
    <cellStyle name="20% - Accent3 2 3 4 2 3" xfId="2797" xr:uid="{00000000-0005-0000-0000-0000E90A0000}"/>
    <cellStyle name="20% - Accent3 2 3 4 2 3 2" xfId="2798" xr:uid="{00000000-0005-0000-0000-0000EA0A0000}"/>
    <cellStyle name="20% - Accent3 2 3 4 2 3 2 2" xfId="2799" xr:uid="{00000000-0005-0000-0000-0000EB0A0000}"/>
    <cellStyle name="20% - Accent3 2 3 4 2 3 3" xfId="2800" xr:uid="{00000000-0005-0000-0000-0000EC0A0000}"/>
    <cellStyle name="20% - Accent3 2 3 4 2 4" xfId="2801" xr:uid="{00000000-0005-0000-0000-0000ED0A0000}"/>
    <cellStyle name="20% - Accent3 2 3 4 2 4 2" xfId="2802" xr:uid="{00000000-0005-0000-0000-0000EE0A0000}"/>
    <cellStyle name="20% - Accent3 2 3 4 2 5" xfId="2803" xr:uid="{00000000-0005-0000-0000-0000EF0A0000}"/>
    <cellStyle name="20% - Accent3 2 3 4 3" xfId="2804" xr:uid="{00000000-0005-0000-0000-0000F00A0000}"/>
    <cellStyle name="20% - Accent3 2 3 4 3 2" xfId="2805" xr:uid="{00000000-0005-0000-0000-0000F10A0000}"/>
    <cellStyle name="20% - Accent3 2 3 4 3 2 2" xfId="2806" xr:uid="{00000000-0005-0000-0000-0000F20A0000}"/>
    <cellStyle name="20% - Accent3 2 3 4 3 2 2 2" xfId="2807" xr:uid="{00000000-0005-0000-0000-0000F30A0000}"/>
    <cellStyle name="20% - Accent3 2 3 4 3 2 3" xfId="2808" xr:uid="{00000000-0005-0000-0000-0000F40A0000}"/>
    <cellStyle name="20% - Accent3 2 3 4 3 3" xfId="2809" xr:uid="{00000000-0005-0000-0000-0000F50A0000}"/>
    <cellStyle name="20% - Accent3 2 3 4 3 3 2" xfId="2810" xr:uid="{00000000-0005-0000-0000-0000F60A0000}"/>
    <cellStyle name="20% - Accent3 2 3 4 3 4" xfId="2811" xr:uid="{00000000-0005-0000-0000-0000F70A0000}"/>
    <cellStyle name="20% - Accent3 2 3 4 4" xfId="2812" xr:uid="{00000000-0005-0000-0000-0000F80A0000}"/>
    <cellStyle name="20% - Accent3 2 3 4 4 2" xfId="2813" xr:uid="{00000000-0005-0000-0000-0000F90A0000}"/>
    <cellStyle name="20% - Accent3 2 3 4 4 2 2" xfId="2814" xr:uid="{00000000-0005-0000-0000-0000FA0A0000}"/>
    <cellStyle name="20% - Accent3 2 3 4 4 3" xfId="2815" xr:uid="{00000000-0005-0000-0000-0000FB0A0000}"/>
    <cellStyle name="20% - Accent3 2 3 4 5" xfId="2816" xr:uid="{00000000-0005-0000-0000-0000FC0A0000}"/>
    <cellStyle name="20% - Accent3 2 3 4 5 2" xfId="2817" xr:uid="{00000000-0005-0000-0000-0000FD0A0000}"/>
    <cellStyle name="20% - Accent3 2 3 4 6" xfId="2818" xr:uid="{00000000-0005-0000-0000-0000FE0A0000}"/>
    <cellStyle name="20% - Accent3 2 3 5" xfId="2819" xr:uid="{00000000-0005-0000-0000-0000FF0A0000}"/>
    <cellStyle name="20% - Accent3 2 3 5 2" xfId="2820" xr:uid="{00000000-0005-0000-0000-0000000B0000}"/>
    <cellStyle name="20% - Accent3 2 3 5 2 2" xfId="2821" xr:uid="{00000000-0005-0000-0000-0000010B0000}"/>
    <cellStyle name="20% - Accent3 2 3 5 2 2 2" xfId="2822" xr:uid="{00000000-0005-0000-0000-0000020B0000}"/>
    <cellStyle name="20% - Accent3 2 3 5 2 2 2 2" xfId="2823" xr:uid="{00000000-0005-0000-0000-0000030B0000}"/>
    <cellStyle name="20% - Accent3 2 3 5 2 2 3" xfId="2824" xr:uid="{00000000-0005-0000-0000-0000040B0000}"/>
    <cellStyle name="20% - Accent3 2 3 5 2 3" xfId="2825" xr:uid="{00000000-0005-0000-0000-0000050B0000}"/>
    <cellStyle name="20% - Accent3 2 3 5 2 3 2" xfId="2826" xr:uid="{00000000-0005-0000-0000-0000060B0000}"/>
    <cellStyle name="20% - Accent3 2 3 5 2 4" xfId="2827" xr:uid="{00000000-0005-0000-0000-0000070B0000}"/>
    <cellStyle name="20% - Accent3 2 3 5 3" xfId="2828" xr:uid="{00000000-0005-0000-0000-0000080B0000}"/>
    <cellStyle name="20% - Accent3 2 3 5 3 2" xfId="2829" xr:uid="{00000000-0005-0000-0000-0000090B0000}"/>
    <cellStyle name="20% - Accent3 2 3 5 3 2 2" xfId="2830" xr:uid="{00000000-0005-0000-0000-00000A0B0000}"/>
    <cellStyle name="20% - Accent3 2 3 5 3 3" xfId="2831" xr:uid="{00000000-0005-0000-0000-00000B0B0000}"/>
    <cellStyle name="20% - Accent3 2 3 5 4" xfId="2832" xr:uid="{00000000-0005-0000-0000-00000C0B0000}"/>
    <cellStyle name="20% - Accent3 2 3 5 4 2" xfId="2833" xr:uid="{00000000-0005-0000-0000-00000D0B0000}"/>
    <cellStyle name="20% - Accent3 2 3 5 5" xfId="2834" xr:uid="{00000000-0005-0000-0000-00000E0B0000}"/>
    <cellStyle name="20% - Accent3 2 3 6" xfId="2835" xr:uid="{00000000-0005-0000-0000-00000F0B0000}"/>
    <cellStyle name="20% - Accent3 2 3 6 2" xfId="2836" xr:uid="{00000000-0005-0000-0000-0000100B0000}"/>
    <cellStyle name="20% - Accent3 2 3 6 2 2" xfId="2837" xr:uid="{00000000-0005-0000-0000-0000110B0000}"/>
    <cellStyle name="20% - Accent3 2 3 6 2 2 2" xfId="2838" xr:uid="{00000000-0005-0000-0000-0000120B0000}"/>
    <cellStyle name="20% - Accent3 2 3 6 2 3" xfId="2839" xr:uid="{00000000-0005-0000-0000-0000130B0000}"/>
    <cellStyle name="20% - Accent3 2 3 6 3" xfId="2840" xr:uid="{00000000-0005-0000-0000-0000140B0000}"/>
    <cellStyle name="20% - Accent3 2 3 6 3 2" xfId="2841" xr:uid="{00000000-0005-0000-0000-0000150B0000}"/>
    <cellStyle name="20% - Accent3 2 3 6 4" xfId="2842" xr:uid="{00000000-0005-0000-0000-0000160B0000}"/>
    <cellStyle name="20% - Accent3 2 3 7" xfId="2843" xr:uid="{00000000-0005-0000-0000-0000170B0000}"/>
    <cellStyle name="20% - Accent3 2 3 7 2" xfId="2844" xr:uid="{00000000-0005-0000-0000-0000180B0000}"/>
    <cellStyle name="20% - Accent3 2 3 7 2 2" xfId="2845" xr:uid="{00000000-0005-0000-0000-0000190B0000}"/>
    <cellStyle name="20% - Accent3 2 3 7 3" xfId="2846" xr:uid="{00000000-0005-0000-0000-00001A0B0000}"/>
    <cellStyle name="20% - Accent3 2 3 8" xfId="2847" xr:uid="{00000000-0005-0000-0000-00001B0B0000}"/>
    <cellStyle name="20% - Accent3 2 3 8 2" xfId="2848" xr:uid="{00000000-0005-0000-0000-00001C0B0000}"/>
    <cellStyle name="20% - Accent3 2 3 9" xfId="2849" xr:uid="{00000000-0005-0000-0000-00001D0B0000}"/>
    <cellStyle name="20% - Accent3 2 4" xfId="2850" xr:uid="{00000000-0005-0000-0000-00001E0B0000}"/>
    <cellStyle name="20% - Accent3 2 4 2" xfId="2851" xr:uid="{00000000-0005-0000-0000-00001F0B0000}"/>
    <cellStyle name="20% - Accent3 2 4 2 2" xfId="2852" xr:uid="{00000000-0005-0000-0000-0000200B0000}"/>
    <cellStyle name="20% - Accent3 2 4 2 2 2" xfId="2853" xr:uid="{00000000-0005-0000-0000-0000210B0000}"/>
    <cellStyle name="20% - Accent3 2 4 2 2 2 2" xfId="2854" xr:uid="{00000000-0005-0000-0000-0000220B0000}"/>
    <cellStyle name="20% - Accent3 2 4 2 2 2 2 2" xfId="2855" xr:uid="{00000000-0005-0000-0000-0000230B0000}"/>
    <cellStyle name="20% - Accent3 2 4 2 2 2 2 2 2" xfId="2856" xr:uid="{00000000-0005-0000-0000-0000240B0000}"/>
    <cellStyle name="20% - Accent3 2 4 2 2 2 2 2 2 2" xfId="2857" xr:uid="{00000000-0005-0000-0000-0000250B0000}"/>
    <cellStyle name="20% - Accent3 2 4 2 2 2 2 2 3" xfId="2858" xr:uid="{00000000-0005-0000-0000-0000260B0000}"/>
    <cellStyle name="20% - Accent3 2 4 2 2 2 2 3" xfId="2859" xr:uid="{00000000-0005-0000-0000-0000270B0000}"/>
    <cellStyle name="20% - Accent3 2 4 2 2 2 2 3 2" xfId="2860" xr:uid="{00000000-0005-0000-0000-0000280B0000}"/>
    <cellStyle name="20% - Accent3 2 4 2 2 2 2 4" xfId="2861" xr:uid="{00000000-0005-0000-0000-0000290B0000}"/>
    <cellStyle name="20% - Accent3 2 4 2 2 2 3" xfId="2862" xr:uid="{00000000-0005-0000-0000-00002A0B0000}"/>
    <cellStyle name="20% - Accent3 2 4 2 2 2 3 2" xfId="2863" xr:uid="{00000000-0005-0000-0000-00002B0B0000}"/>
    <cellStyle name="20% - Accent3 2 4 2 2 2 3 2 2" xfId="2864" xr:uid="{00000000-0005-0000-0000-00002C0B0000}"/>
    <cellStyle name="20% - Accent3 2 4 2 2 2 3 3" xfId="2865" xr:uid="{00000000-0005-0000-0000-00002D0B0000}"/>
    <cellStyle name="20% - Accent3 2 4 2 2 2 4" xfId="2866" xr:uid="{00000000-0005-0000-0000-00002E0B0000}"/>
    <cellStyle name="20% - Accent3 2 4 2 2 2 4 2" xfId="2867" xr:uid="{00000000-0005-0000-0000-00002F0B0000}"/>
    <cellStyle name="20% - Accent3 2 4 2 2 2 5" xfId="2868" xr:uid="{00000000-0005-0000-0000-0000300B0000}"/>
    <cellStyle name="20% - Accent3 2 4 2 2 3" xfId="2869" xr:uid="{00000000-0005-0000-0000-0000310B0000}"/>
    <cellStyle name="20% - Accent3 2 4 2 2 3 2" xfId="2870" xr:uid="{00000000-0005-0000-0000-0000320B0000}"/>
    <cellStyle name="20% - Accent3 2 4 2 2 3 2 2" xfId="2871" xr:uid="{00000000-0005-0000-0000-0000330B0000}"/>
    <cellStyle name="20% - Accent3 2 4 2 2 3 2 2 2" xfId="2872" xr:uid="{00000000-0005-0000-0000-0000340B0000}"/>
    <cellStyle name="20% - Accent3 2 4 2 2 3 2 3" xfId="2873" xr:uid="{00000000-0005-0000-0000-0000350B0000}"/>
    <cellStyle name="20% - Accent3 2 4 2 2 3 3" xfId="2874" xr:uid="{00000000-0005-0000-0000-0000360B0000}"/>
    <cellStyle name="20% - Accent3 2 4 2 2 3 3 2" xfId="2875" xr:uid="{00000000-0005-0000-0000-0000370B0000}"/>
    <cellStyle name="20% - Accent3 2 4 2 2 3 4" xfId="2876" xr:uid="{00000000-0005-0000-0000-0000380B0000}"/>
    <cellStyle name="20% - Accent3 2 4 2 2 4" xfId="2877" xr:uid="{00000000-0005-0000-0000-0000390B0000}"/>
    <cellStyle name="20% - Accent3 2 4 2 2 4 2" xfId="2878" xr:uid="{00000000-0005-0000-0000-00003A0B0000}"/>
    <cellStyle name="20% - Accent3 2 4 2 2 4 2 2" xfId="2879" xr:uid="{00000000-0005-0000-0000-00003B0B0000}"/>
    <cellStyle name="20% - Accent3 2 4 2 2 4 3" xfId="2880" xr:uid="{00000000-0005-0000-0000-00003C0B0000}"/>
    <cellStyle name="20% - Accent3 2 4 2 2 5" xfId="2881" xr:uid="{00000000-0005-0000-0000-00003D0B0000}"/>
    <cellStyle name="20% - Accent3 2 4 2 2 5 2" xfId="2882" xr:uid="{00000000-0005-0000-0000-00003E0B0000}"/>
    <cellStyle name="20% - Accent3 2 4 2 2 6" xfId="2883" xr:uid="{00000000-0005-0000-0000-00003F0B0000}"/>
    <cellStyle name="20% - Accent3 2 4 2 3" xfId="2884" xr:uid="{00000000-0005-0000-0000-0000400B0000}"/>
    <cellStyle name="20% - Accent3 2 4 2 3 2" xfId="2885" xr:uid="{00000000-0005-0000-0000-0000410B0000}"/>
    <cellStyle name="20% - Accent3 2 4 2 3 2 2" xfId="2886" xr:uid="{00000000-0005-0000-0000-0000420B0000}"/>
    <cellStyle name="20% - Accent3 2 4 2 3 2 2 2" xfId="2887" xr:uid="{00000000-0005-0000-0000-0000430B0000}"/>
    <cellStyle name="20% - Accent3 2 4 2 3 2 2 2 2" xfId="2888" xr:uid="{00000000-0005-0000-0000-0000440B0000}"/>
    <cellStyle name="20% - Accent3 2 4 2 3 2 2 3" xfId="2889" xr:uid="{00000000-0005-0000-0000-0000450B0000}"/>
    <cellStyle name="20% - Accent3 2 4 2 3 2 3" xfId="2890" xr:uid="{00000000-0005-0000-0000-0000460B0000}"/>
    <cellStyle name="20% - Accent3 2 4 2 3 2 3 2" xfId="2891" xr:uid="{00000000-0005-0000-0000-0000470B0000}"/>
    <cellStyle name="20% - Accent3 2 4 2 3 2 4" xfId="2892" xr:uid="{00000000-0005-0000-0000-0000480B0000}"/>
    <cellStyle name="20% - Accent3 2 4 2 3 3" xfId="2893" xr:uid="{00000000-0005-0000-0000-0000490B0000}"/>
    <cellStyle name="20% - Accent3 2 4 2 3 3 2" xfId="2894" xr:uid="{00000000-0005-0000-0000-00004A0B0000}"/>
    <cellStyle name="20% - Accent3 2 4 2 3 3 2 2" xfId="2895" xr:uid="{00000000-0005-0000-0000-00004B0B0000}"/>
    <cellStyle name="20% - Accent3 2 4 2 3 3 3" xfId="2896" xr:uid="{00000000-0005-0000-0000-00004C0B0000}"/>
    <cellStyle name="20% - Accent3 2 4 2 3 4" xfId="2897" xr:uid="{00000000-0005-0000-0000-00004D0B0000}"/>
    <cellStyle name="20% - Accent3 2 4 2 3 4 2" xfId="2898" xr:uid="{00000000-0005-0000-0000-00004E0B0000}"/>
    <cellStyle name="20% - Accent3 2 4 2 3 5" xfId="2899" xr:uid="{00000000-0005-0000-0000-00004F0B0000}"/>
    <cellStyle name="20% - Accent3 2 4 2 4" xfId="2900" xr:uid="{00000000-0005-0000-0000-0000500B0000}"/>
    <cellStyle name="20% - Accent3 2 4 2 4 2" xfId="2901" xr:uid="{00000000-0005-0000-0000-0000510B0000}"/>
    <cellStyle name="20% - Accent3 2 4 2 4 2 2" xfId="2902" xr:uid="{00000000-0005-0000-0000-0000520B0000}"/>
    <cellStyle name="20% - Accent3 2 4 2 4 2 2 2" xfId="2903" xr:uid="{00000000-0005-0000-0000-0000530B0000}"/>
    <cellStyle name="20% - Accent3 2 4 2 4 2 3" xfId="2904" xr:uid="{00000000-0005-0000-0000-0000540B0000}"/>
    <cellStyle name="20% - Accent3 2 4 2 4 3" xfId="2905" xr:uid="{00000000-0005-0000-0000-0000550B0000}"/>
    <cellStyle name="20% - Accent3 2 4 2 4 3 2" xfId="2906" xr:uid="{00000000-0005-0000-0000-0000560B0000}"/>
    <cellStyle name="20% - Accent3 2 4 2 4 4" xfId="2907" xr:uid="{00000000-0005-0000-0000-0000570B0000}"/>
    <cellStyle name="20% - Accent3 2 4 2 5" xfId="2908" xr:uid="{00000000-0005-0000-0000-0000580B0000}"/>
    <cellStyle name="20% - Accent3 2 4 2 5 2" xfId="2909" xr:uid="{00000000-0005-0000-0000-0000590B0000}"/>
    <cellStyle name="20% - Accent3 2 4 2 5 2 2" xfId="2910" xr:uid="{00000000-0005-0000-0000-00005A0B0000}"/>
    <cellStyle name="20% - Accent3 2 4 2 5 3" xfId="2911" xr:uid="{00000000-0005-0000-0000-00005B0B0000}"/>
    <cellStyle name="20% - Accent3 2 4 2 6" xfId="2912" xr:uid="{00000000-0005-0000-0000-00005C0B0000}"/>
    <cellStyle name="20% - Accent3 2 4 2 6 2" xfId="2913" xr:uid="{00000000-0005-0000-0000-00005D0B0000}"/>
    <cellStyle name="20% - Accent3 2 4 2 7" xfId="2914" xr:uid="{00000000-0005-0000-0000-00005E0B0000}"/>
    <cellStyle name="20% - Accent3 2 4 3" xfId="2915" xr:uid="{00000000-0005-0000-0000-00005F0B0000}"/>
    <cellStyle name="20% - Accent3 2 4 3 2" xfId="2916" xr:uid="{00000000-0005-0000-0000-0000600B0000}"/>
    <cellStyle name="20% - Accent3 2 4 3 2 2" xfId="2917" xr:uid="{00000000-0005-0000-0000-0000610B0000}"/>
    <cellStyle name="20% - Accent3 2 4 3 2 2 2" xfId="2918" xr:uid="{00000000-0005-0000-0000-0000620B0000}"/>
    <cellStyle name="20% - Accent3 2 4 3 2 2 2 2" xfId="2919" xr:uid="{00000000-0005-0000-0000-0000630B0000}"/>
    <cellStyle name="20% - Accent3 2 4 3 2 2 2 2 2" xfId="2920" xr:uid="{00000000-0005-0000-0000-0000640B0000}"/>
    <cellStyle name="20% - Accent3 2 4 3 2 2 2 3" xfId="2921" xr:uid="{00000000-0005-0000-0000-0000650B0000}"/>
    <cellStyle name="20% - Accent3 2 4 3 2 2 3" xfId="2922" xr:uid="{00000000-0005-0000-0000-0000660B0000}"/>
    <cellStyle name="20% - Accent3 2 4 3 2 2 3 2" xfId="2923" xr:uid="{00000000-0005-0000-0000-0000670B0000}"/>
    <cellStyle name="20% - Accent3 2 4 3 2 2 4" xfId="2924" xr:uid="{00000000-0005-0000-0000-0000680B0000}"/>
    <cellStyle name="20% - Accent3 2 4 3 2 3" xfId="2925" xr:uid="{00000000-0005-0000-0000-0000690B0000}"/>
    <cellStyle name="20% - Accent3 2 4 3 2 3 2" xfId="2926" xr:uid="{00000000-0005-0000-0000-00006A0B0000}"/>
    <cellStyle name="20% - Accent3 2 4 3 2 3 2 2" xfId="2927" xr:uid="{00000000-0005-0000-0000-00006B0B0000}"/>
    <cellStyle name="20% - Accent3 2 4 3 2 3 3" xfId="2928" xr:uid="{00000000-0005-0000-0000-00006C0B0000}"/>
    <cellStyle name="20% - Accent3 2 4 3 2 4" xfId="2929" xr:uid="{00000000-0005-0000-0000-00006D0B0000}"/>
    <cellStyle name="20% - Accent3 2 4 3 2 4 2" xfId="2930" xr:uid="{00000000-0005-0000-0000-00006E0B0000}"/>
    <cellStyle name="20% - Accent3 2 4 3 2 5" xfId="2931" xr:uid="{00000000-0005-0000-0000-00006F0B0000}"/>
    <cellStyle name="20% - Accent3 2 4 3 3" xfId="2932" xr:uid="{00000000-0005-0000-0000-0000700B0000}"/>
    <cellStyle name="20% - Accent3 2 4 3 3 2" xfId="2933" xr:uid="{00000000-0005-0000-0000-0000710B0000}"/>
    <cellStyle name="20% - Accent3 2 4 3 3 2 2" xfId="2934" xr:uid="{00000000-0005-0000-0000-0000720B0000}"/>
    <cellStyle name="20% - Accent3 2 4 3 3 2 2 2" xfId="2935" xr:uid="{00000000-0005-0000-0000-0000730B0000}"/>
    <cellStyle name="20% - Accent3 2 4 3 3 2 3" xfId="2936" xr:uid="{00000000-0005-0000-0000-0000740B0000}"/>
    <cellStyle name="20% - Accent3 2 4 3 3 3" xfId="2937" xr:uid="{00000000-0005-0000-0000-0000750B0000}"/>
    <cellStyle name="20% - Accent3 2 4 3 3 3 2" xfId="2938" xr:uid="{00000000-0005-0000-0000-0000760B0000}"/>
    <cellStyle name="20% - Accent3 2 4 3 3 4" xfId="2939" xr:uid="{00000000-0005-0000-0000-0000770B0000}"/>
    <cellStyle name="20% - Accent3 2 4 3 4" xfId="2940" xr:uid="{00000000-0005-0000-0000-0000780B0000}"/>
    <cellStyle name="20% - Accent3 2 4 3 4 2" xfId="2941" xr:uid="{00000000-0005-0000-0000-0000790B0000}"/>
    <cellStyle name="20% - Accent3 2 4 3 4 2 2" xfId="2942" xr:uid="{00000000-0005-0000-0000-00007A0B0000}"/>
    <cellStyle name="20% - Accent3 2 4 3 4 3" xfId="2943" xr:uid="{00000000-0005-0000-0000-00007B0B0000}"/>
    <cellStyle name="20% - Accent3 2 4 3 5" xfId="2944" xr:uid="{00000000-0005-0000-0000-00007C0B0000}"/>
    <cellStyle name="20% - Accent3 2 4 3 5 2" xfId="2945" xr:uid="{00000000-0005-0000-0000-00007D0B0000}"/>
    <cellStyle name="20% - Accent3 2 4 3 6" xfId="2946" xr:uid="{00000000-0005-0000-0000-00007E0B0000}"/>
    <cellStyle name="20% - Accent3 2 4 4" xfId="2947" xr:uid="{00000000-0005-0000-0000-00007F0B0000}"/>
    <cellStyle name="20% - Accent3 2 4 4 2" xfId="2948" xr:uid="{00000000-0005-0000-0000-0000800B0000}"/>
    <cellStyle name="20% - Accent3 2 4 4 2 2" xfId="2949" xr:uid="{00000000-0005-0000-0000-0000810B0000}"/>
    <cellStyle name="20% - Accent3 2 4 4 2 2 2" xfId="2950" xr:uid="{00000000-0005-0000-0000-0000820B0000}"/>
    <cellStyle name="20% - Accent3 2 4 4 2 2 2 2" xfId="2951" xr:uid="{00000000-0005-0000-0000-0000830B0000}"/>
    <cellStyle name="20% - Accent3 2 4 4 2 2 3" xfId="2952" xr:uid="{00000000-0005-0000-0000-0000840B0000}"/>
    <cellStyle name="20% - Accent3 2 4 4 2 3" xfId="2953" xr:uid="{00000000-0005-0000-0000-0000850B0000}"/>
    <cellStyle name="20% - Accent3 2 4 4 2 3 2" xfId="2954" xr:uid="{00000000-0005-0000-0000-0000860B0000}"/>
    <cellStyle name="20% - Accent3 2 4 4 2 4" xfId="2955" xr:uid="{00000000-0005-0000-0000-0000870B0000}"/>
    <cellStyle name="20% - Accent3 2 4 4 3" xfId="2956" xr:uid="{00000000-0005-0000-0000-0000880B0000}"/>
    <cellStyle name="20% - Accent3 2 4 4 3 2" xfId="2957" xr:uid="{00000000-0005-0000-0000-0000890B0000}"/>
    <cellStyle name="20% - Accent3 2 4 4 3 2 2" xfId="2958" xr:uid="{00000000-0005-0000-0000-00008A0B0000}"/>
    <cellStyle name="20% - Accent3 2 4 4 3 3" xfId="2959" xr:uid="{00000000-0005-0000-0000-00008B0B0000}"/>
    <cellStyle name="20% - Accent3 2 4 4 4" xfId="2960" xr:uid="{00000000-0005-0000-0000-00008C0B0000}"/>
    <cellStyle name="20% - Accent3 2 4 4 4 2" xfId="2961" xr:uid="{00000000-0005-0000-0000-00008D0B0000}"/>
    <cellStyle name="20% - Accent3 2 4 4 5" xfId="2962" xr:uid="{00000000-0005-0000-0000-00008E0B0000}"/>
    <cellStyle name="20% - Accent3 2 4 5" xfId="2963" xr:uid="{00000000-0005-0000-0000-00008F0B0000}"/>
    <cellStyle name="20% - Accent3 2 4 5 2" xfId="2964" xr:uid="{00000000-0005-0000-0000-0000900B0000}"/>
    <cellStyle name="20% - Accent3 2 4 5 2 2" xfId="2965" xr:uid="{00000000-0005-0000-0000-0000910B0000}"/>
    <cellStyle name="20% - Accent3 2 4 5 2 2 2" xfId="2966" xr:uid="{00000000-0005-0000-0000-0000920B0000}"/>
    <cellStyle name="20% - Accent3 2 4 5 2 3" xfId="2967" xr:uid="{00000000-0005-0000-0000-0000930B0000}"/>
    <cellStyle name="20% - Accent3 2 4 5 3" xfId="2968" xr:uid="{00000000-0005-0000-0000-0000940B0000}"/>
    <cellStyle name="20% - Accent3 2 4 5 3 2" xfId="2969" xr:uid="{00000000-0005-0000-0000-0000950B0000}"/>
    <cellStyle name="20% - Accent3 2 4 5 4" xfId="2970" xr:uid="{00000000-0005-0000-0000-0000960B0000}"/>
    <cellStyle name="20% - Accent3 2 4 6" xfId="2971" xr:uid="{00000000-0005-0000-0000-0000970B0000}"/>
    <cellStyle name="20% - Accent3 2 4 6 2" xfId="2972" xr:uid="{00000000-0005-0000-0000-0000980B0000}"/>
    <cellStyle name="20% - Accent3 2 4 6 2 2" xfId="2973" xr:uid="{00000000-0005-0000-0000-0000990B0000}"/>
    <cellStyle name="20% - Accent3 2 4 6 3" xfId="2974" xr:uid="{00000000-0005-0000-0000-00009A0B0000}"/>
    <cellStyle name="20% - Accent3 2 4 7" xfId="2975" xr:uid="{00000000-0005-0000-0000-00009B0B0000}"/>
    <cellStyle name="20% - Accent3 2 4 7 2" xfId="2976" xr:uid="{00000000-0005-0000-0000-00009C0B0000}"/>
    <cellStyle name="20% - Accent3 2 4 8" xfId="2977" xr:uid="{00000000-0005-0000-0000-00009D0B0000}"/>
    <cellStyle name="20% - Accent3 2 5" xfId="2978" xr:uid="{00000000-0005-0000-0000-00009E0B0000}"/>
    <cellStyle name="20% - Accent3 2 5 2" xfId="2979" xr:uid="{00000000-0005-0000-0000-00009F0B0000}"/>
    <cellStyle name="20% - Accent3 2 5 2 2" xfId="2980" xr:uid="{00000000-0005-0000-0000-0000A00B0000}"/>
    <cellStyle name="20% - Accent3 2 5 2 2 2" xfId="2981" xr:uid="{00000000-0005-0000-0000-0000A10B0000}"/>
    <cellStyle name="20% - Accent3 2 5 2 2 2 2" xfId="2982" xr:uid="{00000000-0005-0000-0000-0000A20B0000}"/>
    <cellStyle name="20% - Accent3 2 5 2 2 2 2 2" xfId="2983" xr:uid="{00000000-0005-0000-0000-0000A30B0000}"/>
    <cellStyle name="20% - Accent3 2 5 2 2 2 2 2 2" xfId="2984" xr:uid="{00000000-0005-0000-0000-0000A40B0000}"/>
    <cellStyle name="20% - Accent3 2 5 2 2 2 2 3" xfId="2985" xr:uid="{00000000-0005-0000-0000-0000A50B0000}"/>
    <cellStyle name="20% - Accent3 2 5 2 2 2 3" xfId="2986" xr:uid="{00000000-0005-0000-0000-0000A60B0000}"/>
    <cellStyle name="20% - Accent3 2 5 2 2 2 3 2" xfId="2987" xr:uid="{00000000-0005-0000-0000-0000A70B0000}"/>
    <cellStyle name="20% - Accent3 2 5 2 2 2 4" xfId="2988" xr:uid="{00000000-0005-0000-0000-0000A80B0000}"/>
    <cellStyle name="20% - Accent3 2 5 2 2 3" xfId="2989" xr:uid="{00000000-0005-0000-0000-0000A90B0000}"/>
    <cellStyle name="20% - Accent3 2 5 2 2 3 2" xfId="2990" xr:uid="{00000000-0005-0000-0000-0000AA0B0000}"/>
    <cellStyle name="20% - Accent3 2 5 2 2 3 2 2" xfId="2991" xr:uid="{00000000-0005-0000-0000-0000AB0B0000}"/>
    <cellStyle name="20% - Accent3 2 5 2 2 3 3" xfId="2992" xr:uid="{00000000-0005-0000-0000-0000AC0B0000}"/>
    <cellStyle name="20% - Accent3 2 5 2 2 4" xfId="2993" xr:uid="{00000000-0005-0000-0000-0000AD0B0000}"/>
    <cellStyle name="20% - Accent3 2 5 2 2 4 2" xfId="2994" xr:uid="{00000000-0005-0000-0000-0000AE0B0000}"/>
    <cellStyle name="20% - Accent3 2 5 2 2 5" xfId="2995" xr:uid="{00000000-0005-0000-0000-0000AF0B0000}"/>
    <cellStyle name="20% - Accent3 2 5 2 3" xfId="2996" xr:uid="{00000000-0005-0000-0000-0000B00B0000}"/>
    <cellStyle name="20% - Accent3 2 5 2 3 2" xfId="2997" xr:uid="{00000000-0005-0000-0000-0000B10B0000}"/>
    <cellStyle name="20% - Accent3 2 5 2 3 2 2" xfId="2998" xr:uid="{00000000-0005-0000-0000-0000B20B0000}"/>
    <cellStyle name="20% - Accent3 2 5 2 3 2 2 2" xfId="2999" xr:uid="{00000000-0005-0000-0000-0000B30B0000}"/>
    <cellStyle name="20% - Accent3 2 5 2 3 2 3" xfId="3000" xr:uid="{00000000-0005-0000-0000-0000B40B0000}"/>
    <cellStyle name="20% - Accent3 2 5 2 3 3" xfId="3001" xr:uid="{00000000-0005-0000-0000-0000B50B0000}"/>
    <cellStyle name="20% - Accent3 2 5 2 3 3 2" xfId="3002" xr:uid="{00000000-0005-0000-0000-0000B60B0000}"/>
    <cellStyle name="20% - Accent3 2 5 2 3 4" xfId="3003" xr:uid="{00000000-0005-0000-0000-0000B70B0000}"/>
    <cellStyle name="20% - Accent3 2 5 2 4" xfId="3004" xr:uid="{00000000-0005-0000-0000-0000B80B0000}"/>
    <cellStyle name="20% - Accent3 2 5 2 4 2" xfId="3005" xr:uid="{00000000-0005-0000-0000-0000B90B0000}"/>
    <cellStyle name="20% - Accent3 2 5 2 4 2 2" xfId="3006" xr:uid="{00000000-0005-0000-0000-0000BA0B0000}"/>
    <cellStyle name="20% - Accent3 2 5 2 4 3" xfId="3007" xr:uid="{00000000-0005-0000-0000-0000BB0B0000}"/>
    <cellStyle name="20% - Accent3 2 5 2 5" xfId="3008" xr:uid="{00000000-0005-0000-0000-0000BC0B0000}"/>
    <cellStyle name="20% - Accent3 2 5 2 5 2" xfId="3009" xr:uid="{00000000-0005-0000-0000-0000BD0B0000}"/>
    <cellStyle name="20% - Accent3 2 5 2 6" xfId="3010" xr:uid="{00000000-0005-0000-0000-0000BE0B0000}"/>
    <cellStyle name="20% - Accent3 2 5 3" xfId="3011" xr:uid="{00000000-0005-0000-0000-0000BF0B0000}"/>
    <cellStyle name="20% - Accent3 2 5 3 2" xfId="3012" xr:uid="{00000000-0005-0000-0000-0000C00B0000}"/>
    <cellStyle name="20% - Accent3 2 5 3 2 2" xfId="3013" xr:uid="{00000000-0005-0000-0000-0000C10B0000}"/>
    <cellStyle name="20% - Accent3 2 5 3 2 2 2" xfId="3014" xr:uid="{00000000-0005-0000-0000-0000C20B0000}"/>
    <cellStyle name="20% - Accent3 2 5 3 2 2 2 2" xfId="3015" xr:uid="{00000000-0005-0000-0000-0000C30B0000}"/>
    <cellStyle name="20% - Accent3 2 5 3 2 2 3" xfId="3016" xr:uid="{00000000-0005-0000-0000-0000C40B0000}"/>
    <cellStyle name="20% - Accent3 2 5 3 2 3" xfId="3017" xr:uid="{00000000-0005-0000-0000-0000C50B0000}"/>
    <cellStyle name="20% - Accent3 2 5 3 2 3 2" xfId="3018" xr:uid="{00000000-0005-0000-0000-0000C60B0000}"/>
    <cellStyle name="20% - Accent3 2 5 3 2 4" xfId="3019" xr:uid="{00000000-0005-0000-0000-0000C70B0000}"/>
    <cellStyle name="20% - Accent3 2 5 3 3" xfId="3020" xr:uid="{00000000-0005-0000-0000-0000C80B0000}"/>
    <cellStyle name="20% - Accent3 2 5 3 3 2" xfId="3021" xr:uid="{00000000-0005-0000-0000-0000C90B0000}"/>
    <cellStyle name="20% - Accent3 2 5 3 3 2 2" xfId="3022" xr:uid="{00000000-0005-0000-0000-0000CA0B0000}"/>
    <cellStyle name="20% - Accent3 2 5 3 3 3" xfId="3023" xr:uid="{00000000-0005-0000-0000-0000CB0B0000}"/>
    <cellStyle name="20% - Accent3 2 5 3 4" xfId="3024" xr:uid="{00000000-0005-0000-0000-0000CC0B0000}"/>
    <cellStyle name="20% - Accent3 2 5 3 4 2" xfId="3025" xr:uid="{00000000-0005-0000-0000-0000CD0B0000}"/>
    <cellStyle name="20% - Accent3 2 5 3 5" xfId="3026" xr:uid="{00000000-0005-0000-0000-0000CE0B0000}"/>
    <cellStyle name="20% - Accent3 2 5 4" xfId="3027" xr:uid="{00000000-0005-0000-0000-0000CF0B0000}"/>
    <cellStyle name="20% - Accent3 2 5 4 2" xfId="3028" xr:uid="{00000000-0005-0000-0000-0000D00B0000}"/>
    <cellStyle name="20% - Accent3 2 5 4 2 2" xfId="3029" xr:uid="{00000000-0005-0000-0000-0000D10B0000}"/>
    <cellStyle name="20% - Accent3 2 5 4 2 2 2" xfId="3030" xr:uid="{00000000-0005-0000-0000-0000D20B0000}"/>
    <cellStyle name="20% - Accent3 2 5 4 2 3" xfId="3031" xr:uid="{00000000-0005-0000-0000-0000D30B0000}"/>
    <cellStyle name="20% - Accent3 2 5 4 3" xfId="3032" xr:uid="{00000000-0005-0000-0000-0000D40B0000}"/>
    <cellStyle name="20% - Accent3 2 5 4 3 2" xfId="3033" xr:uid="{00000000-0005-0000-0000-0000D50B0000}"/>
    <cellStyle name="20% - Accent3 2 5 4 4" xfId="3034" xr:uid="{00000000-0005-0000-0000-0000D60B0000}"/>
    <cellStyle name="20% - Accent3 2 5 5" xfId="3035" xr:uid="{00000000-0005-0000-0000-0000D70B0000}"/>
    <cellStyle name="20% - Accent3 2 5 5 2" xfId="3036" xr:uid="{00000000-0005-0000-0000-0000D80B0000}"/>
    <cellStyle name="20% - Accent3 2 5 5 2 2" xfId="3037" xr:uid="{00000000-0005-0000-0000-0000D90B0000}"/>
    <cellStyle name="20% - Accent3 2 5 5 3" xfId="3038" xr:uid="{00000000-0005-0000-0000-0000DA0B0000}"/>
    <cellStyle name="20% - Accent3 2 5 6" xfId="3039" xr:uid="{00000000-0005-0000-0000-0000DB0B0000}"/>
    <cellStyle name="20% - Accent3 2 5 6 2" xfId="3040" xr:uid="{00000000-0005-0000-0000-0000DC0B0000}"/>
    <cellStyle name="20% - Accent3 2 5 7" xfId="3041" xr:uid="{00000000-0005-0000-0000-0000DD0B0000}"/>
    <cellStyle name="20% - Accent3 2 6" xfId="3042" xr:uid="{00000000-0005-0000-0000-0000DE0B0000}"/>
    <cellStyle name="20% - Accent3 2 6 2" xfId="3043" xr:uid="{00000000-0005-0000-0000-0000DF0B0000}"/>
    <cellStyle name="20% - Accent3 2 6 2 2" xfId="3044" xr:uid="{00000000-0005-0000-0000-0000E00B0000}"/>
    <cellStyle name="20% - Accent3 2 6 2 2 2" xfId="3045" xr:uid="{00000000-0005-0000-0000-0000E10B0000}"/>
    <cellStyle name="20% - Accent3 2 6 2 2 2 2" xfId="3046" xr:uid="{00000000-0005-0000-0000-0000E20B0000}"/>
    <cellStyle name="20% - Accent3 2 6 2 2 2 2 2" xfId="3047" xr:uid="{00000000-0005-0000-0000-0000E30B0000}"/>
    <cellStyle name="20% - Accent3 2 6 2 2 2 3" xfId="3048" xr:uid="{00000000-0005-0000-0000-0000E40B0000}"/>
    <cellStyle name="20% - Accent3 2 6 2 2 3" xfId="3049" xr:uid="{00000000-0005-0000-0000-0000E50B0000}"/>
    <cellStyle name="20% - Accent3 2 6 2 2 3 2" xfId="3050" xr:uid="{00000000-0005-0000-0000-0000E60B0000}"/>
    <cellStyle name="20% - Accent3 2 6 2 2 4" xfId="3051" xr:uid="{00000000-0005-0000-0000-0000E70B0000}"/>
    <cellStyle name="20% - Accent3 2 6 2 3" xfId="3052" xr:uid="{00000000-0005-0000-0000-0000E80B0000}"/>
    <cellStyle name="20% - Accent3 2 6 2 3 2" xfId="3053" xr:uid="{00000000-0005-0000-0000-0000E90B0000}"/>
    <cellStyle name="20% - Accent3 2 6 2 3 2 2" xfId="3054" xr:uid="{00000000-0005-0000-0000-0000EA0B0000}"/>
    <cellStyle name="20% - Accent3 2 6 2 3 3" xfId="3055" xr:uid="{00000000-0005-0000-0000-0000EB0B0000}"/>
    <cellStyle name="20% - Accent3 2 6 2 4" xfId="3056" xr:uid="{00000000-0005-0000-0000-0000EC0B0000}"/>
    <cellStyle name="20% - Accent3 2 6 2 4 2" xfId="3057" xr:uid="{00000000-0005-0000-0000-0000ED0B0000}"/>
    <cellStyle name="20% - Accent3 2 6 2 5" xfId="3058" xr:uid="{00000000-0005-0000-0000-0000EE0B0000}"/>
    <cellStyle name="20% - Accent3 2 6 3" xfId="3059" xr:uid="{00000000-0005-0000-0000-0000EF0B0000}"/>
    <cellStyle name="20% - Accent3 2 6 3 2" xfId="3060" xr:uid="{00000000-0005-0000-0000-0000F00B0000}"/>
    <cellStyle name="20% - Accent3 2 6 3 2 2" xfId="3061" xr:uid="{00000000-0005-0000-0000-0000F10B0000}"/>
    <cellStyle name="20% - Accent3 2 6 3 2 2 2" xfId="3062" xr:uid="{00000000-0005-0000-0000-0000F20B0000}"/>
    <cellStyle name="20% - Accent3 2 6 3 2 3" xfId="3063" xr:uid="{00000000-0005-0000-0000-0000F30B0000}"/>
    <cellStyle name="20% - Accent3 2 6 3 3" xfId="3064" xr:uid="{00000000-0005-0000-0000-0000F40B0000}"/>
    <cellStyle name="20% - Accent3 2 6 3 3 2" xfId="3065" xr:uid="{00000000-0005-0000-0000-0000F50B0000}"/>
    <cellStyle name="20% - Accent3 2 6 3 4" xfId="3066" xr:uid="{00000000-0005-0000-0000-0000F60B0000}"/>
    <cellStyle name="20% - Accent3 2 6 4" xfId="3067" xr:uid="{00000000-0005-0000-0000-0000F70B0000}"/>
    <cellStyle name="20% - Accent3 2 6 4 2" xfId="3068" xr:uid="{00000000-0005-0000-0000-0000F80B0000}"/>
    <cellStyle name="20% - Accent3 2 6 4 2 2" xfId="3069" xr:uid="{00000000-0005-0000-0000-0000F90B0000}"/>
    <cellStyle name="20% - Accent3 2 6 4 3" xfId="3070" xr:uid="{00000000-0005-0000-0000-0000FA0B0000}"/>
    <cellStyle name="20% - Accent3 2 6 5" xfId="3071" xr:uid="{00000000-0005-0000-0000-0000FB0B0000}"/>
    <cellStyle name="20% - Accent3 2 6 5 2" xfId="3072" xr:uid="{00000000-0005-0000-0000-0000FC0B0000}"/>
    <cellStyle name="20% - Accent3 2 6 6" xfId="3073" xr:uid="{00000000-0005-0000-0000-0000FD0B0000}"/>
    <cellStyle name="20% - Accent3 2 7" xfId="3074" xr:uid="{00000000-0005-0000-0000-0000FE0B0000}"/>
    <cellStyle name="20% - Accent3 2 7 2" xfId="3075" xr:uid="{00000000-0005-0000-0000-0000FF0B0000}"/>
    <cellStyle name="20% - Accent3 2 7 2 2" xfId="3076" xr:uid="{00000000-0005-0000-0000-0000000C0000}"/>
    <cellStyle name="20% - Accent3 2 7 2 2 2" xfId="3077" xr:uid="{00000000-0005-0000-0000-0000010C0000}"/>
    <cellStyle name="20% - Accent3 2 7 2 2 2 2" xfId="3078" xr:uid="{00000000-0005-0000-0000-0000020C0000}"/>
    <cellStyle name="20% - Accent3 2 7 2 2 3" xfId="3079" xr:uid="{00000000-0005-0000-0000-0000030C0000}"/>
    <cellStyle name="20% - Accent3 2 7 2 3" xfId="3080" xr:uid="{00000000-0005-0000-0000-0000040C0000}"/>
    <cellStyle name="20% - Accent3 2 7 2 3 2" xfId="3081" xr:uid="{00000000-0005-0000-0000-0000050C0000}"/>
    <cellStyle name="20% - Accent3 2 7 2 4" xfId="3082" xr:uid="{00000000-0005-0000-0000-0000060C0000}"/>
    <cellStyle name="20% - Accent3 2 7 3" xfId="3083" xr:uid="{00000000-0005-0000-0000-0000070C0000}"/>
    <cellStyle name="20% - Accent3 2 7 3 2" xfId="3084" xr:uid="{00000000-0005-0000-0000-0000080C0000}"/>
    <cellStyle name="20% - Accent3 2 7 3 2 2" xfId="3085" xr:uid="{00000000-0005-0000-0000-0000090C0000}"/>
    <cellStyle name="20% - Accent3 2 7 3 3" xfId="3086" xr:uid="{00000000-0005-0000-0000-00000A0C0000}"/>
    <cellStyle name="20% - Accent3 2 7 4" xfId="3087" xr:uid="{00000000-0005-0000-0000-00000B0C0000}"/>
    <cellStyle name="20% - Accent3 2 7 4 2" xfId="3088" xr:uid="{00000000-0005-0000-0000-00000C0C0000}"/>
    <cellStyle name="20% - Accent3 2 7 5" xfId="3089" xr:uid="{00000000-0005-0000-0000-00000D0C0000}"/>
    <cellStyle name="20% - Accent3 2 8" xfId="3090" xr:uid="{00000000-0005-0000-0000-00000E0C0000}"/>
    <cellStyle name="20% - Accent3 2 8 2" xfId="3091" xr:uid="{00000000-0005-0000-0000-00000F0C0000}"/>
    <cellStyle name="20% - Accent3 2 8 2 2" xfId="3092" xr:uid="{00000000-0005-0000-0000-0000100C0000}"/>
    <cellStyle name="20% - Accent3 2 8 2 2 2" xfId="3093" xr:uid="{00000000-0005-0000-0000-0000110C0000}"/>
    <cellStyle name="20% - Accent3 2 8 2 3" xfId="3094" xr:uid="{00000000-0005-0000-0000-0000120C0000}"/>
    <cellStyle name="20% - Accent3 2 8 3" xfId="3095" xr:uid="{00000000-0005-0000-0000-0000130C0000}"/>
    <cellStyle name="20% - Accent3 2 8 3 2" xfId="3096" xr:uid="{00000000-0005-0000-0000-0000140C0000}"/>
    <cellStyle name="20% - Accent3 2 8 4" xfId="3097" xr:uid="{00000000-0005-0000-0000-0000150C0000}"/>
    <cellStyle name="20% - Accent3 2 9" xfId="3098" xr:uid="{00000000-0005-0000-0000-0000160C0000}"/>
    <cellStyle name="20% - Accent3 2 9 2" xfId="3099" xr:uid="{00000000-0005-0000-0000-0000170C0000}"/>
    <cellStyle name="20% - Accent3 2 9 2 2" xfId="3100" xr:uid="{00000000-0005-0000-0000-0000180C0000}"/>
    <cellStyle name="20% - Accent3 2 9 3" xfId="3101" xr:uid="{00000000-0005-0000-0000-0000190C0000}"/>
    <cellStyle name="20% - Accent3 3" xfId="3102" xr:uid="{00000000-0005-0000-0000-00001A0C0000}"/>
    <cellStyle name="20% - Accent3 4" xfId="3103" xr:uid="{00000000-0005-0000-0000-00001B0C0000}"/>
    <cellStyle name="20% - Accent3 5" xfId="3104" xr:uid="{00000000-0005-0000-0000-00001C0C0000}"/>
    <cellStyle name="20% - Accent3 6" xfId="3105" xr:uid="{00000000-0005-0000-0000-00001D0C0000}"/>
    <cellStyle name="20% - Accent3 7" xfId="3106" xr:uid="{00000000-0005-0000-0000-00001E0C0000}"/>
    <cellStyle name="20% - Accent3 8" xfId="3107" xr:uid="{00000000-0005-0000-0000-00001F0C0000}"/>
    <cellStyle name="20% - Accent3 9" xfId="3108" xr:uid="{00000000-0005-0000-0000-0000200C0000}"/>
    <cellStyle name="20% - Accent4 10" xfId="3109" xr:uid="{00000000-0005-0000-0000-0000210C0000}"/>
    <cellStyle name="20% - Accent4 11" xfId="3110" xr:uid="{00000000-0005-0000-0000-0000220C0000}"/>
    <cellStyle name="20% - Accent4 12" xfId="3111" xr:uid="{00000000-0005-0000-0000-0000230C0000}"/>
    <cellStyle name="20% - Accent4 13" xfId="3112" xr:uid="{00000000-0005-0000-0000-0000240C0000}"/>
    <cellStyle name="20% - Accent4 2" xfId="3113" xr:uid="{00000000-0005-0000-0000-0000250C0000}"/>
    <cellStyle name="20% - Accent4 2 10" xfId="3114" xr:uid="{00000000-0005-0000-0000-0000260C0000}"/>
    <cellStyle name="20% - Accent4 2 10 2" xfId="3115" xr:uid="{00000000-0005-0000-0000-0000270C0000}"/>
    <cellStyle name="20% - Accent4 2 11" xfId="3116" xr:uid="{00000000-0005-0000-0000-0000280C0000}"/>
    <cellStyle name="20% - Accent4 2 2" xfId="3117" xr:uid="{00000000-0005-0000-0000-0000290C0000}"/>
    <cellStyle name="20% - Accent4 2 2 10" xfId="3118" xr:uid="{00000000-0005-0000-0000-00002A0C0000}"/>
    <cellStyle name="20% - Accent4 2 2 2" xfId="3119" xr:uid="{00000000-0005-0000-0000-00002B0C0000}"/>
    <cellStyle name="20% - Accent4 2 2 2 2" xfId="3120" xr:uid="{00000000-0005-0000-0000-00002C0C0000}"/>
    <cellStyle name="20% - Accent4 2 2 2 2 2" xfId="3121" xr:uid="{00000000-0005-0000-0000-00002D0C0000}"/>
    <cellStyle name="20% - Accent4 2 2 2 2 2 2" xfId="3122" xr:uid="{00000000-0005-0000-0000-00002E0C0000}"/>
    <cellStyle name="20% - Accent4 2 2 2 2 2 2 2" xfId="3123" xr:uid="{00000000-0005-0000-0000-00002F0C0000}"/>
    <cellStyle name="20% - Accent4 2 2 2 2 2 2 2 2" xfId="3124" xr:uid="{00000000-0005-0000-0000-0000300C0000}"/>
    <cellStyle name="20% - Accent4 2 2 2 2 2 2 2 2 2" xfId="3125" xr:uid="{00000000-0005-0000-0000-0000310C0000}"/>
    <cellStyle name="20% - Accent4 2 2 2 2 2 2 2 2 2 2" xfId="3126" xr:uid="{00000000-0005-0000-0000-0000320C0000}"/>
    <cellStyle name="20% - Accent4 2 2 2 2 2 2 2 2 2 2 2" xfId="3127" xr:uid="{00000000-0005-0000-0000-0000330C0000}"/>
    <cellStyle name="20% - Accent4 2 2 2 2 2 2 2 2 2 3" xfId="3128" xr:uid="{00000000-0005-0000-0000-0000340C0000}"/>
    <cellStyle name="20% - Accent4 2 2 2 2 2 2 2 2 3" xfId="3129" xr:uid="{00000000-0005-0000-0000-0000350C0000}"/>
    <cellStyle name="20% - Accent4 2 2 2 2 2 2 2 2 3 2" xfId="3130" xr:uid="{00000000-0005-0000-0000-0000360C0000}"/>
    <cellStyle name="20% - Accent4 2 2 2 2 2 2 2 2 4" xfId="3131" xr:uid="{00000000-0005-0000-0000-0000370C0000}"/>
    <cellStyle name="20% - Accent4 2 2 2 2 2 2 2 3" xfId="3132" xr:uid="{00000000-0005-0000-0000-0000380C0000}"/>
    <cellStyle name="20% - Accent4 2 2 2 2 2 2 2 3 2" xfId="3133" xr:uid="{00000000-0005-0000-0000-0000390C0000}"/>
    <cellStyle name="20% - Accent4 2 2 2 2 2 2 2 3 2 2" xfId="3134" xr:uid="{00000000-0005-0000-0000-00003A0C0000}"/>
    <cellStyle name="20% - Accent4 2 2 2 2 2 2 2 3 3" xfId="3135" xr:uid="{00000000-0005-0000-0000-00003B0C0000}"/>
    <cellStyle name="20% - Accent4 2 2 2 2 2 2 2 4" xfId="3136" xr:uid="{00000000-0005-0000-0000-00003C0C0000}"/>
    <cellStyle name="20% - Accent4 2 2 2 2 2 2 2 4 2" xfId="3137" xr:uid="{00000000-0005-0000-0000-00003D0C0000}"/>
    <cellStyle name="20% - Accent4 2 2 2 2 2 2 2 5" xfId="3138" xr:uid="{00000000-0005-0000-0000-00003E0C0000}"/>
    <cellStyle name="20% - Accent4 2 2 2 2 2 2 3" xfId="3139" xr:uid="{00000000-0005-0000-0000-00003F0C0000}"/>
    <cellStyle name="20% - Accent4 2 2 2 2 2 2 3 2" xfId="3140" xr:uid="{00000000-0005-0000-0000-0000400C0000}"/>
    <cellStyle name="20% - Accent4 2 2 2 2 2 2 3 2 2" xfId="3141" xr:uid="{00000000-0005-0000-0000-0000410C0000}"/>
    <cellStyle name="20% - Accent4 2 2 2 2 2 2 3 2 2 2" xfId="3142" xr:uid="{00000000-0005-0000-0000-0000420C0000}"/>
    <cellStyle name="20% - Accent4 2 2 2 2 2 2 3 2 3" xfId="3143" xr:uid="{00000000-0005-0000-0000-0000430C0000}"/>
    <cellStyle name="20% - Accent4 2 2 2 2 2 2 3 3" xfId="3144" xr:uid="{00000000-0005-0000-0000-0000440C0000}"/>
    <cellStyle name="20% - Accent4 2 2 2 2 2 2 3 3 2" xfId="3145" xr:uid="{00000000-0005-0000-0000-0000450C0000}"/>
    <cellStyle name="20% - Accent4 2 2 2 2 2 2 3 4" xfId="3146" xr:uid="{00000000-0005-0000-0000-0000460C0000}"/>
    <cellStyle name="20% - Accent4 2 2 2 2 2 2 4" xfId="3147" xr:uid="{00000000-0005-0000-0000-0000470C0000}"/>
    <cellStyle name="20% - Accent4 2 2 2 2 2 2 4 2" xfId="3148" xr:uid="{00000000-0005-0000-0000-0000480C0000}"/>
    <cellStyle name="20% - Accent4 2 2 2 2 2 2 4 2 2" xfId="3149" xr:uid="{00000000-0005-0000-0000-0000490C0000}"/>
    <cellStyle name="20% - Accent4 2 2 2 2 2 2 4 3" xfId="3150" xr:uid="{00000000-0005-0000-0000-00004A0C0000}"/>
    <cellStyle name="20% - Accent4 2 2 2 2 2 2 5" xfId="3151" xr:uid="{00000000-0005-0000-0000-00004B0C0000}"/>
    <cellStyle name="20% - Accent4 2 2 2 2 2 2 5 2" xfId="3152" xr:uid="{00000000-0005-0000-0000-00004C0C0000}"/>
    <cellStyle name="20% - Accent4 2 2 2 2 2 2 6" xfId="3153" xr:uid="{00000000-0005-0000-0000-00004D0C0000}"/>
    <cellStyle name="20% - Accent4 2 2 2 2 2 3" xfId="3154" xr:uid="{00000000-0005-0000-0000-00004E0C0000}"/>
    <cellStyle name="20% - Accent4 2 2 2 2 2 3 2" xfId="3155" xr:uid="{00000000-0005-0000-0000-00004F0C0000}"/>
    <cellStyle name="20% - Accent4 2 2 2 2 2 3 2 2" xfId="3156" xr:uid="{00000000-0005-0000-0000-0000500C0000}"/>
    <cellStyle name="20% - Accent4 2 2 2 2 2 3 2 2 2" xfId="3157" xr:uid="{00000000-0005-0000-0000-0000510C0000}"/>
    <cellStyle name="20% - Accent4 2 2 2 2 2 3 2 2 2 2" xfId="3158" xr:uid="{00000000-0005-0000-0000-0000520C0000}"/>
    <cellStyle name="20% - Accent4 2 2 2 2 2 3 2 2 3" xfId="3159" xr:uid="{00000000-0005-0000-0000-0000530C0000}"/>
    <cellStyle name="20% - Accent4 2 2 2 2 2 3 2 3" xfId="3160" xr:uid="{00000000-0005-0000-0000-0000540C0000}"/>
    <cellStyle name="20% - Accent4 2 2 2 2 2 3 2 3 2" xfId="3161" xr:uid="{00000000-0005-0000-0000-0000550C0000}"/>
    <cellStyle name="20% - Accent4 2 2 2 2 2 3 2 4" xfId="3162" xr:uid="{00000000-0005-0000-0000-0000560C0000}"/>
    <cellStyle name="20% - Accent4 2 2 2 2 2 3 3" xfId="3163" xr:uid="{00000000-0005-0000-0000-0000570C0000}"/>
    <cellStyle name="20% - Accent4 2 2 2 2 2 3 3 2" xfId="3164" xr:uid="{00000000-0005-0000-0000-0000580C0000}"/>
    <cellStyle name="20% - Accent4 2 2 2 2 2 3 3 2 2" xfId="3165" xr:uid="{00000000-0005-0000-0000-0000590C0000}"/>
    <cellStyle name="20% - Accent4 2 2 2 2 2 3 3 3" xfId="3166" xr:uid="{00000000-0005-0000-0000-00005A0C0000}"/>
    <cellStyle name="20% - Accent4 2 2 2 2 2 3 4" xfId="3167" xr:uid="{00000000-0005-0000-0000-00005B0C0000}"/>
    <cellStyle name="20% - Accent4 2 2 2 2 2 3 4 2" xfId="3168" xr:uid="{00000000-0005-0000-0000-00005C0C0000}"/>
    <cellStyle name="20% - Accent4 2 2 2 2 2 3 5" xfId="3169" xr:uid="{00000000-0005-0000-0000-00005D0C0000}"/>
    <cellStyle name="20% - Accent4 2 2 2 2 2 4" xfId="3170" xr:uid="{00000000-0005-0000-0000-00005E0C0000}"/>
    <cellStyle name="20% - Accent4 2 2 2 2 2 4 2" xfId="3171" xr:uid="{00000000-0005-0000-0000-00005F0C0000}"/>
    <cellStyle name="20% - Accent4 2 2 2 2 2 4 2 2" xfId="3172" xr:uid="{00000000-0005-0000-0000-0000600C0000}"/>
    <cellStyle name="20% - Accent4 2 2 2 2 2 4 2 2 2" xfId="3173" xr:uid="{00000000-0005-0000-0000-0000610C0000}"/>
    <cellStyle name="20% - Accent4 2 2 2 2 2 4 2 3" xfId="3174" xr:uid="{00000000-0005-0000-0000-0000620C0000}"/>
    <cellStyle name="20% - Accent4 2 2 2 2 2 4 3" xfId="3175" xr:uid="{00000000-0005-0000-0000-0000630C0000}"/>
    <cellStyle name="20% - Accent4 2 2 2 2 2 4 3 2" xfId="3176" xr:uid="{00000000-0005-0000-0000-0000640C0000}"/>
    <cellStyle name="20% - Accent4 2 2 2 2 2 4 4" xfId="3177" xr:uid="{00000000-0005-0000-0000-0000650C0000}"/>
    <cellStyle name="20% - Accent4 2 2 2 2 2 5" xfId="3178" xr:uid="{00000000-0005-0000-0000-0000660C0000}"/>
    <cellStyle name="20% - Accent4 2 2 2 2 2 5 2" xfId="3179" xr:uid="{00000000-0005-0000-0000-0000670C0000}"/>
    <cellStyle name="20% - Accent4 2 2 2 2 2 5 2 2" xfId="3180" xr:uid="{00000000-0005-0000-0000-0000680C0000}"/>
    <cellStyle name="20% - Accent4 2 2 2 2 2 5 3" xfId="3181" xr:uid="{00000000-0005-0000-0000-0000690C0000}"/>
    <cellStyle name="20% - Accent4 2 2 2 2 2 6" xfId="3182" xr:uid="{00000000-0005-0000-0000-00006A0C0000}"/>
    <cellStyle name="20% - Accent4 2 2 2 2 2 6 2" xfId="3183" xr:uid="{00000000-0005-0000-0000-00006B0C0000}"/>
    <cellStyle name="20% - Accent4 2 2 2 2 2 7" xfId="3184" xr:uid="{00000000-0005-0000-0000-00006C0C0000}"/>
    <cellStyle name="20% - Accent4 2 2 2 2 3" xfId="3185" xr:uid="{00000000-0005-0000-0000-00006D0C0000}"/>
    <cellStyle name="20% - Accent4 2 2 2 2 3 2" xfId="3186" xr:uid="{00000000-0005-0000-0000-00006E0C0000}"/>
    <cellStyle name="20% - Accent4 2 2 2 2 3 2 2" xfId="3187" xr:uid="{00000000-0005-0000-0000-00006F0C0000}"/>
    <cellStyle name="20% - Accent4 2 2 2 2 3 2 2 2" xfId="3188" xr:uid="{00000000-0005-0000-0000-0000700C0000}"/>
    <cellStyle name="20% - Accent4 2 2 2 2 3 2 2 2 2" xfId="3189" xr:uid="{00000000-0005-0000-0000-0000710C0000}"/>
    <cellStyle name="20% - Accent4 2 2 2 2 3 2 2 2 2 2" xfId="3190" xr:uid="{00000000-0005-0000-0000-0000720C0000}"/>
    <cellStyle name="20% - Accent4 2 2 2 2 3 2 2 2 3" xfId="3191" xr:uid="{00000000-0005-0000-0000-0000730C0000}"/>
    <cellStyle name="20% - Accent4 2 2 2 2 3 2 2 3" xfId="3192" xr:uid="{00000000-0005-0000-0000-0000740C0000}"/>
    <cellStyle name="20% - Accent4 2 2 2 2 3 2 2 3 2" xfId="3193" xr:uid="{00000000-0005-0000-0000-0000750C0000}"/>
    <cellStyle name="20% - Accent4 2 2 2 2 3 2 2 4" xfId="3194" xr:uid="{00000000-0005-0000-0000-0000760C0000}"/>
    <cellStyle name="20% - Accent4 2 2 2 2 3 2 3" xfId="3195" xr:uid="{00000000-0005-0000-0000-0000770C0000}"/>
    <cellStyle name="20% - Accent4 2 2 2 2 3 2 3 2" xfId="3196" xr:uid="{00000000-0005-0000-0000-0000780C0000}"/>
    <cellStyle name="20% - Accent4 2 2 2 2 3 2 3 2 2" xfId="3197" xr:uid="{00000000-0005-0000-0000-0000790C0000}"/>
    <cellStyle name="20% - Accent4 2 2 2 2 3 2 3 3" xfId="3198" xr:uid="{00000000-0005-0000-0000-00007A0C0000}"/>
    <cellStyle name="20% - Accent4 2 2 2 2 3 2 4" xfId="3199" xr:uid="{00000000-0005-0000-0000-00007B0C0000}"/>
    <cellStyle name="20% - Accent4 2 2 2 2 3 2 4 2" xfId="3200" xr:uid="{00000000-0005-0000-0000-00007C0C0000}"/>
    <cellStyle name="20% - Accent4 2 2 2 2 3 2 5" xfId="3201" xr:uid="{00000000-0005-0000-0000-00007D0C0000}"/>
    <cellStyle name="20% - Accent4 2 2 2 2 3 3" xfId="3202" xr:uid="{00000000-0005-0000-0000-00007E0C0000}"/>
    <cellStyle name="20% - Accent4 2 2 2 2 3 3 2" xfId="3203" xr:uid="{00000000-0005-0000-0000-00007F0C0000}"/>
    <cellStyle name="20% - Accent4 2 2 2 2 3 3 2 2" xfId="3204" xr:uid="{00000000-0005-0000-0000-0000800C0000}"/>
    <cellStyle name="20% - Accent4 2 2 2 2 3 3 2 2 2" xfId="3205" xr:uid="{00000000-0005-0000-0000-0000810C0000}"/>
    <cellStyle name="20% - Accent4 2 2 2 2 3 3 2 3" xfId="3206" xr:uid="{00000000-0005-0000-0000-0000820C0000}"/>
    <cellStyle name="20% - Accent4 2 2 2 2 3 3 3" xfId="3207" xr:uid="{00000000-0005-0000-0000-0000830C0000}"/>
    <cellStyle name="20% - Accent4 2 2 2 2 3 3 3 2" xfId="3208" xr:uid="{00000000-0005-0000-0000-0000840C0000}"/>
    <cellStyle name="20% - Accent4 2 2 2 2 3 3 4" xfId="3209" xr:uid="{00000000-0005-0000-0000-0000850C0000}"/>
    <cellStyle name="20% - Accent4 2 2 2 2 3 4" xfId="3210" xr:uid="{00000000-0005-0000-0000-0000860C0000}"/>
    <cellStyle name="20% - Accent4 2 2 2 2 3 4 2" xfId="3211" xr:uid="{00000000-0005-0000-0000-0000870C0000}"/>
    <cellStyle name="20% - Accent4 2 2 2 2 3 4 2 2" xfId="3212" xr:uid="{00000000-0005-0000-0000-0000880C0000}"/>
    <cellStyle name="20% - Accent4 2 2 2 2 3 4 3" xfId="3213" xr:uid="{00000000-0005-0000-0000-0000890C0000}"/>
    <cellStyle name="20% - Accent4 2 2 2 2 3 5" xfId="3214" xr:uid="{00000000-0005-0000-0000-00008A0C0000}"/>
    <cellStyle name="20% - Accent4 2 2 2 2 3 5 2" xfId="3215" xr:uid="{00000000-0005-0000-0000-00008B0C0000}"/>
    <cellStyle name="20% - Accent4 2 2 2 2 3 6" xfId="3216" xr:uid="{00000000-0005-0000-0000-00008C0C0000}"/>
    <cellStyle name="20% - Accent4 2 2 2 2 4" xfId="3217" xr:uid="{00000000-0005-0000-0000-00008D0C0000}"/>
    <cellStyle name="20% - Accent4 2 2 2 2 4 2" xfId="3218" xr:uid="{00000000-0005-0000-0000-00008E0C0000}"/>
    <cellStyle name="20% - Accent4 2 2 2 2 4 2 2" xfId="3219" xr:uid="{00000000-0005-0000-0000-00008F0C0000}"/>
    <cellStyle name="20% - Accent4 2 2 2 2 4 2 2 2" xfId="3220" xr:uid="{00000000-0005-0000-0000-0000900C0000}"/>
    <cellStyle name="20% - Accent4 2 2 2 2 4 2 2 2 2" xfId="3221" xr:uid="{00000000-0005-0000-0000-0000910C0000}"/>
    <cellStyle name="20% - Accent4 2 2 2 2 4 2 2 3" xfId="3222" xr:uid="{00000000-0005-0000-0000-0000920C0000}"/>
    <cellStyle name="20% - Accent4 2 2 2 2 4 2 3" xfId="3223" xr:uid="{00000000-0005-0000-0000-0000930C0000}"/>
    <cellStyle name="20% - Accent4 2 2 2 2 4 2 3 2" xfId="3224" xr:uid="{00000000-0005-0000-0000-0000940C0000}"/>
    <cellStyle name="20% - Accent4 2 2 2 2 4 2 4" xfId="3225" xr:uid="{00000000-0005-0000-0000-0000950C0000}"/>
    <cellStyle name="20% - Accent4 2 2 2 2 4 3" xfId="3226" xr:uid="{00000000-0005-0000-0000-0000960C0000}"/>
    <cellStyle name="20% - Accent4 2 2 2 2 4 3 2" xfId="3227" xr:uid="{00000000-0005-0000-0000-0000970C0000}"/>
    <cellStyle name="20% - Accent4 2 2 2 2 4 3 2 2" xfId="3228" xr:uid="{00000000-0005-0000-0000-0000980C0000}"/>
    <cellStyle name="20% - Accent4 2 2 2 2 4 3 3" xfId="3229" xr:uid="{00000000-0005-0000-0000-0000990C0000}"/>
    <cellStyle name="20% - Accent4 2 2 2 2 4 4" xfId="3230" xr:uid="{00000000-0005-0000-0000-00009A0C0000}"/>
    <cellStyle name="20% - Accent4 2 2 2 2 4 4 2" xfId="3231" xr:uid="{00000000-0005-0000-0000-00009B0C0000}"/>
    <cellStyle name="20% - Accent4 2 2 2 2 4 5" xfId="3232" xr:uid="{00000000-0005-0000-0000-00009C0C0000}"/>
    <cellStyle name="20% - Accent4 2 2 2 2 5" xfId="3233" xr:uid="{00000000-0005-0000-0000-00009D0C0000}"/>
    <cellStyle name="20% - Accent4 2 2 2 2 5 2" xfId="3234" xr:uid="{00000000-0005-0000-0000-00009E0C0000}"/>
    <cellStyle name="20% - Accent4 2 2 2 2 5 2 2" xfId="3235" xr:uid="{00000000-0005-0000-0000-00009F0C0000}"/>
    <cellStyle name="20% - Accent4 2 2 2 2 5 2 2 2" xfId="3236" xr:uid="{00000000-0005-0000-0000-0000A00C0000}"/>
    <cellStyle name="20% - Accent4 2 2 2 2 5 2 3" xfId="3237" xr:uid="{00000000-0005-0000-0000-0000A10C0000}"/>
    <cellStyle name="20% - Accent4 2 2 2 2 5 3" xfId="3238" xr:uid="{00000000-0005-0000-0000-0000A20C0000}"/>
    <cellStyle name="20% - Accent4 2 2 2 2 5 3 2" xfId="3239" xr:uid="{00000000-0005-0000-0000-0000A30C0000}"/>
    <cellStyle name="20% - Accent4 2 2 2 2 5 4" xfId="3240" xr:uid="{00000000-0005-0000-0000-0000A40C0000}"/>
    <cellStyle name="20% - Accent4 2 2 2 2 6" xfId="3241" xr:uid="{00000000-0005-0000-0000-0000A50C0000}"/>
    <cellStyle name="20% - Accent4 2 2 2 2 6 2" xfId="3242" xr:uid="{00000000-0005-0000-0000-0000A60C0000}"/>
    <cellStyle name="20% - Accent4 2 2 2 2 6 2 2" xfId="3243" xr:uid="{00000000-0005-0000-0000-0000A70C0000}"/>
    <cellStyle name="20% - Accent4 2 2 2 2 6 3" xfId="3244" xr:uid="{00000000-0005-0000-0000-0000A80C0000}"/>
    <cellStyle name="20% - Accent4 2 2 2 2 7" xfId="3245" xr:uid="{00000000-0005-0000-0000-0000A90C0000}"/>
    <cellStyle name="20% - Accent4 2 2 2 2 7 2" xfId="3246" xr:uid="{00000000-0005-0000-0000-0000AA0C0000}"/>
    <cellStyle name="20% - Accent4 2 2 2 2 8" xfId="3247" xr:uid="{00000000-0005-0000-0000-0000AB0C0000}"/>
    <cellStyle name="20% - Accent4 2 2 2 3" xfId="3248" xr:uid="{00000000-0005-0000-0000-0000AC0C0000}"/>
    <cellStyle name="20% - Accent4 2 2 2 3 2" xfId="3249" xr:uid="{00000000-0005-0000-0000-0000AD0C0000}"/>
    <cellStyle name="20% - Accent4 2 2 2 3 2 2" xfId="3250" xr:uid="{00000000-0005-0000-0000-0000AE0C0000}"/>
    <cellStyle name="20% - Accent4 2 2 2 3 2 2 2" xfId="3251" xr:uid="{00000000-0005-0000-0000-0000AF0C0000}"/>
    <cellStyle name="20% - Accent4 2 2 2 3 2 2 2 2" xfId="3252" xr:uid="{00000000-0005-0000-0000-0000B00C0000}"/>
    <cellStyle name="20% - Accent4 2 2 2 3 2 2 2 2 2" xfId="3253" xr:uid="{00000000-0005-0000-0000-0000B10C0000}"/>
    <cellStyle name="20% - Accent4 2 2 2 3 2 2 2 2 2 2" xfId="3254" xr:uid="{00000000-0005-0000-0000-0000B20C0000}"/>
    <cellStyle name="20% - Accent4 2 2 2 3 2 2 2 2 3" xfId="3255" xr:uid="{00000000-0005-0000-0000-0000B30C0000}"/>
    <cellStyle name="20% - Accent4 2 2 2 3 2 2 2 3" xfId="3256" xr:uid="{00000000-0005-0000-0000-0000B40C0000}"/>
    <cellStyle name="20% - Accent4 2 2 2 3 2 2 2 3 2" xfId="3257" xr:uid="{00000000-0005-0000-0000-0000B50C0000}"/>
    <cellStyle name="20% - Accent4 2 2 2 3 2 2 2 4" xfId="3258" xr:uid="{00000000-0005-0000-0000-0000B60C0000}"/>
    <cellStyle name="20% - Accent4 2 2 2 3 2 2 3" xfId="3259" xr:uid="{00000000-0005-0000-0000-0000B70C0000}"/>
    <cellStyle name="20% - Accent4 2 2 2 3 2 2 3 2" xfId="3260" xr:uid="{00000000-0005-0000-0000-0000B80C0000}"/>
    <cellStyle name="20% - Accent4 2 2 2 3 2 2 3 2 2" xfId="3261" xr:uid="{00000000-0005-0000-0000-0000B90C0000}"/>
    <cellStyle name="20% - Accent4 2 2 2 3 2 2 3 3" xfId="3262" xr:uid="{00000000-0005-0000-0000-0000BA0C0000}"/>
    <cellStyle name="20% - Accent4 2 2 2 3 2 2 4" xfId="3263" xr:uid="{00000000-0005-0000-0000-0000BB0C0000}"/>
    <cellStyle name="20% - Accent4 2 2 2 3 2 2 4 2" xfId="3264" xr:uid="{00000000-0005-0000-0000-0000BC0C0000}"/>
    <cellStyle name="20% - Accent4 2 2 2 3 2 2 5" xfId="3265" xr:uid="{00000000-0005-0000-0000-0000BD0C0000}"/>
    <cellStyle name="20% - Accent4 2 2 2 3 2 3" xfId="3266" xr:uid="{00000000-0005-0000-0000-0000BE0C0000}"/>
    <cellStyle name="20% - Accent4 2 2 2 3 2 3 2" xfId="3267" xr:uid="{00000000-0005-0000-0000-0000BF0C0000}"/>
    <cellStyle name="20% - Accent4 2 2 2 3 2 3 2 2" xfId="3268" xr:uid="{00000000-0005-0000-0000-0000C00C0000}"/>
    <cellStyle name="20% - Accent4 2 2 2 3 2 3 2 2 2" xfId="3269" xr:uid="{00000000-0005-0000-0000-0000C10C0000}"/>
    <cellStyle name="20% - Accent4 2 2 2 3 2 3 2 3" xfId="3270" xr:uid="{00000000-0005-0000-0000-0000C20C0000}"/>
    <cellStyle name="20% - Accent4 2 2 2 3 2 3 3" xfId="3271" xr:uid="{00000000-0005-0000-0000-0000C30C0000}"/>
    <cellStyle name="20% - Accent4 2 2 2 3 2 3 3 2" xfId="3272" xr:uid="{00000000-0005-0000-0000-0000C40C0000}"/>
    <cellStyle name="20% - Accent4 2 2 2 3 2 3 4" xfId="3273" xr:uid="{00000000-0005-0000-0000-0000C50C0000}"/>
    <cellStyle name="20% - Accent4 2 2 2 3 2 4" xfId="3274" xr:uid="{00000000-0005-0000-0000-0000C60C0000}"/>
    <cellStyle name="20% - Accent4 2 2 2 3 2 4 2" xfId="3275" xr:uid="{00000000-0005-0000-0000-0000C70C0000}"/>
    <cellStyle name="20% - Accent4 2 2 2 3 2 4 2 2" xfId="3276" xr:uid="{00000000-0005-0000-0000-0000C80C0000}"/>
    <cellStyle name="20% - Accent4 2 2 2 3 2 4 3" xfId="3277" xr:uid="{00000000-0005-0000-0000-0000C90C0000}"/>
    <cellStyle name="20% - Accent4 2 2 2 3 2 5" xfId="3278" xr:uid="{00000000-0005-0000-0000-0000CA0C0000}"/>
    <cellStyle name="20% - Accent4 2 2 2 3 2 5 2" xfId="3279" xr:uid="{00000000-0005-0000-0000-0000CB0C0000}"/>
    <cellStyle name="20% - Accent4 2 2 2 3 2 6" xfId="3280" xr:uid="{00000000-0005-0000-0000-0000CC0C0000}"/>
    <cellStyle name="20% - Accent4 2 2 2 3 3" xfId="3281" xr:uid="{00000000-0005-0000-0000-0000CD0C0000}"/>
    <cellStyle name="20% - Accent4 2 2 2 3 3 2" xfId="3282" xr:uid="{00000000-0005-0000-0000-0000CE0C0000}"/>
    <cellStyle name="20% - Accent4 2 2 2 3 3 2 2" xfId="3283" xr:uid="{00000000-0005-0000-0000-0000CF0C0000}"/>
    <cellStyle name="20% - Accent4 2 2 2 3 3 2 2 2" xfId="3284" xr:uid="{00000000-0005-0000-0000-0000D00C0000}"/>
    <cellStyle name="20% - Accent4 2 2 2 3 3 2 2 2 2" xfId="3285" xr:uid="{00000000-0005-0000-0000-0000D10C0000}"/>
    <cellStyle name="20% - Accent4 2 2 2 3 3 2 2 3" xfId="3286" xr:uid="{00000000-0005-0000-0000-0000D20C0000}"/>
    <cellStyle name="20% - Accent4 2 2 2 3 3 2 3" xfId="3287" xr:uid="{00000000-0005-0000-0000-0000D30C0000}"/>
    <cellStyle name="20% - Accent4 2 2 2 3 3 2 3 2" xfId="3288" xr:uid="{00000000-0005-0000-0000-0000D40C0000}"/>
    <cellStyle name="20% - Accent4 2 2 2 3 3 2 4" xfId="3289" xr:uid="{00000000-0005-0000-0000-0000D50C0000}"/>
    <cellStyle name="20% - Accent4 2 2 2 3 3 3" xfId="3290" xr:uid="{00000000-0005-0000-0000-0000D60C0000}"/>
    <cellStyle name="20% - Accent4 2 2 2 3 3 3 2" xfId="3291" xr:uid="{00000000-0005-0000-0000-0000D70C0000}"/>
    <cellStyle name="20% - Accent4 2 2 2 3 3 3 2 2" xfId="3292" xr:uid="{00000000-0005-0000-0000-0000D80C0000}"/>
    <cellStyle name="20% - Accent4 2 2 2 3 3 3 3" xfId="3293" xr:uid="{00000000-0005-0000-0000-0000D90C0000}"/>
    <cellStyle name="20% - Accent4 2 2 2 3 3 4" xfId="3294" xr:uid="{00000000-0005-0000-0000-0000DA0C0000}"/>
    <cellStyle name="20% - Accent4 2 2 2 3 3 4 2" xfId="3295" xr:uid="{00000000-0005-0000-0000-0000DB0C0000}"/>
    <cellStyle name="20% - Accent4 2 2 2 3 3 5" xfId="3296" xr:uid="{00000000-0005-0000-0000-0000DC0C0000}"/>
    <cellStyle name="20% - Accent4 2 2 2 3 4" xfId="3297" xr:uid="{00000000-0005-0000-0000-0000DD0C0000}"/>
    <cellStyle name="20% - Accent4 2 2 2 3 4 2" xfId="3298" xr:uid="{00000000-0005-0000-0000-0000DE0C0000}"/>
    <cellStyle name="20% - Accent4 2 2 2 3 4 2 2" xfId="3299" xr:uid="{00000000-0005-0000-0000-0000DF0C0000}"/>
    <cellStyle name="20% - Accent4 2 2 2 3 4 2 2 2" xfId="3300" xr:uid="{00000000-0005-0000-0000-0000E00C0000}"/>
    <cellStyle name="20% - Accent4 2 2 2 3 4 2 3" xfId="3301" xr:uid="{00000000-0005-0000-0000-0000E10C0000}"/>
    <cellStyle name="20% - Accent4 2 2 2 3 4 3" xfId="3302" xr:uid="{00000000-0005-0000-0000-0000E20C0000}"/>
    <cellStyle name="20% - Accent4 2 2 2 3 4 3 2" xfId="3303" xr:uid="{00000000-0005-0000-0000-0000E30C0000}"/>
    <cellStyle name="20% - Accent4 2 2 2 3 4 4" xfId="3304" xr:uid="{00000000-0005-0000-0000-0000E40C0000}"/>
    <cellStyle name="20% - Accent4 2 2 2 3 5" xfId="3305" xr:uid="{00000000-0005-0000-0000-0000E50C0000}"/>
    <cellStyle name="20% - Accent4 2 2 2 3 5 2" xfId="3306" xr:uid="{00000000-0005-0000-0000-0000E60C0000}"/>
    <cellStyle name="20% - Accent4 2 2 2 3 5 2 2" xfId="3307" xr:uid="{00000000-0005-0000-0000-0000E70C0000}"/>
    <cellStyle name="20% - Accent4 2 2 2 3 5 3" xfId="3308" xr:uid="{00000000-0005-0000-0000-0000E80C0000}"/>
    <cellStyle name="20% - Accent4 2 2 2 3 6" xfId="3309" xr:uid="{00000000-0005-0000-0000-0000E90C0000}"/>
    <cellStyle name="20% - Accent4 2 2 2 3 6 2" xfId="3310" xr:uid="{00000000-0005-0000-0000-0000EA0C0000}"/>
    <cellStyle name="20% - Accent4 2 2 2 3 7" xfId="3311" xr:uid="{00000000-0005-0000-0000-0000EB0C0000}"/>
    <cellStyle name="20% - Accent4 2 2 2 4" xfId="3312" xr:uid="{00000000-0005-0000-0000-0000EC0C0000}"/>
    <cellStyle name="20% - Accent4 2 2 2 4 2" xfId="3313" xr:uid="{00000000-0005-0000-0000-0000ED0C0000}"/>
    <cellStyle name="20% - Accent4 2 2 2 4 2 2" xfId="3314" xr:uid="{00000000-0005-0000-0000-0000EE0C0000}"/>
    <cellStyle name="20% - Accent4 2 2 2 4 2 2 2" xfId="3315" xr:uid="{00000000-0005-0000-0000-0000EF0C0000}"/>
    <cellStyle name="20% - Accent4 2 2 2 4 2 2 2 2" xfId="3316" xr:uid="{00000000-0005-0000-0000-0000F00C0000}"/>
    <cellStyle name="20% - Accent4 2 2 2 4 2 2 2 2 2" xfId="3317" xr:uid="{00000000-0005-0000-0000-0000F10C0000}"/>
    <cellStyle name="20% - Accent4 2 2 2 4 2 2 2 3" xfId="3318" xr:uid="{00000000-0005-0000-0000-0000F20C0000}"/>
    <cellStyle name="20% - Accent4 2 2 2 4 2 2 3" xfId="3319" xr:uid="{00000000-0005-0000-0000-0000F30C0000}"/>
    <cellStyle name="20% - Accent4 2 2 2 4 2 2 3 2" xfId="3320" xr:uid="{00000000-0005-0000-0000-0000F40C0000}"/>
    <cellStyle name="20% - Accent4 2 2 2 4 2 2 4" xfId="3321" xr:uid="{00000000-0005-0000-0000-0000F50C0000}"/>
    <cellStyle name="20% - Accent4 2 2 2 4 2 3" xfId="3322" xr:uid="{00000000-0005-0000-0000-0000F60C0000}"/>
    <cellStyle name="20% - Accent4 2 2 2 4 2 3 2" xfId="3323" xr:uid="{00000000-0005-0000-0000-0000F70C0000}"/>
    <cellStyle name="20% - Accent4 2 2 2 4 2 3 2 2" xfId="3324" xr:uid="{00000000-0005-0000-0000-0000F80C0000}"/>
    <cellStyle name="20% - Accent4 2 2 2 4 2 3 3" xfId="3325" xr:uid="{00000000-0005-0000-0000-0000F90C0000}"/>
    <cellStyle name="20% - Accent4 2 2 2 4 2 4" xfId="3326" xr:uid="{00000000-0005-0000-0000-0000FA0C0000}"/>
    <cellStyle name="20% - Accent4 2 2 2 4 2 4 2" xfId="3327" xr:uid="{00000000-0005-0000-0000-0000FB0C0000}"/>
    <cellStyle name="20% - Accent4 2 2 2 4 2 5" xfId="3328" xr:uid="{00000000-0005-0000-0000-0000FC0C0000}"/>
    <cellStyle name="20% - Accent4 2 2 2 4 3" xfId="3329" xr:uid="{00000000-0005-0000-0000-0000FD0C0000}"/>
    <cellStyle name="20% - Accent4 2 2 2 4 3 2" xfId="3330" xr:uid="{00000000-0005-0000-0000-0000FE0C0000}"/>
    <cellStyle name="20% - Accent4 2 2 2 4 3 2 2" xfId="3331" xr:uid="{00000000-0005-0000-0000-0000FF0C0000}"/>
    <cellStyle name="20% - Accent4 2 2 2 4 3 2 2 2" xfId="3332" xr:uid="{00000000-0005-0000-0000-0000000D0000}"/>
    <cellStyle name="20% - Accent4 2 2 2 4 3 2 3" xfId="3333" xr:uid="{00000000-0005-0000-0000-0000010D0000}"/>
    <cellStyle name="20% - Accent4 2 2 2 4 3 3" xfId="3334" xr:uid="{00000000-0005-0000-0000-0000020D0000}"/>
    <cellStyle name="20% - Accent4 2 2 2 4 3 3 2" xfId="3335" xr:uid="{00000000-0005-0000-0000-0000030D0000}"/>
    <cellStyle name="20% - Accent4 2 2 2 4 3 4" xfId="3336" xr:uid="{00000000-0005-0000-0000-0000040D0000}"/>
    <cellStyle name="20% - Accent4 2 2 2 4 4" xfId="3337" xr:uid="{00000000-0005-0000-0000-0000050D0000}"/>
    <cellStyle name="20% - Accent4 2 2 2 4 4 2" xfId="3338" xr:uid="{00000000-0005-0000-0000-0000060D0000}"/>
    <cellStyle name="20% - Accent4 2 2 2 4 4 2 2" xfId="3339" xr:uid="{00000000-0005-0000-0000-0000070D0000}"/>
    <cellStyle name="20% - Accent4 2 2 2 4 4 3" xfId="3340" xr:uid="{00000000-0005-0000-0000-0000080D0000}"/>
    <cellStyle name="20% - Accent4 2 2 2 4 5" xfId="3341" xr:uid="{00000000-0005-0000-0000-0000090D0000}"/>
    <cellStyle name="20% - Accent4 2 2 2 4 5 2" xfId="3342" xr:uid="{00000000-0005-0000-0000-00000A0D0000}"/>
    <cellStyle name="20% - Accent4 2 2 2 4 6" xfId="3343" xr:uid="{00000000-0005-0000-0000-00000B0D0000}"/>
    <cellStyle name="20% - Accent4 2 2 2 5" xfId="3344" xr:uid="{00000000-0005-0000-0000-00000C0D0000}"/>
    <cellStyle name="20% - Accent4 2 2 2 5 2" xfId="3345" xr:uid="{00000000-0005-0000-0000-00000D0D0000}"/>
    <cellStyle name="20% - Accent4 2 2 2 5 2 2" xfId="3346" xr:uid="{00000000-0005-0000-0000-00000E0D0000}"/>
    <cellStyle name="20% - Accent4 2 2 2 5 2 2 2" xfId="3347" xr:uid="{00000000-0005-0000-0000-00000F0D0000}"/>
    <cellStyle name="20% - Accent4 2 2 2 5 2 2 2 2" xfId="3348" xr:uid="{00000000-0005-0000-0000-0000100D0000}"/>
    <cellStyle name="20% - Accent4 2 2 2 5 2 2 3" xfId="3349" xr:uid="{00000000-0005-0000-0000-0000110D0000}"/>
    <cellStyle name="20% - Accent4 2 2 2 5 2 3" xfId="3350" xr:uid="{00000000-0005-0000-0000-0000120D0000}"/>
    <cellStyle name="20% - Accent4 2 2 2 5 2 3 2" xfId="3351" xr:uid="{00000000-0005-0000-0000-0000130D0000}"/>
    <cellStyle name="20% - Accent4 2 2 2 5 2 4" xfId="3352" xr:uid="{00000000-0005-0000-0000-0000140D0000}"/>
    <cellStyle name="20% - Accent4 2 2 2 5 3" xfId="3353" xr:uid="{00000000-0005-0000-0000-0000150D0000}"/>
    <cellStyle name="20% - Accent4 2 2 2 5 3 2" xfId="3354" xr:uid="{00000000-0005-0000-0000-0000160D0000}"/>
    <cellStyle name="20% - Accent4 2 2 2 5 3 2 2" xfId="3355" xr:uid="{00000000-0005-0000-0000-0000170D0000}"/>
    <cellStyle name="20% - Accent4 2 2 2 5 3 3" xfId="3356" xr:uid="{00000000-0005-0000-0000-0000180D0000}"/>
    <cellStyle name="20% - Accent4 2 2 2 5 4" xfId="3357" xr:uid="{00000000-0005-0000-0000-0000190D0000}"/>
    <cellStyle name="20% - Accent4 2 2 2 5 4 2" xfId="3358" xr:uid="{00000000-0005-0000-0000-00001A0D0000}"/>
    <cellStyle name="20% - Accent4 2 2 2 5 5" xfId="3359" xr:uid="{00000000-0005-0000-0000-00001B0D0000}"/>
    <cellStyle name="20% - Accent4 2 2 2 6" xfId="3360" xr:uid="{00000000-0005-0000-0000-00001C0D0000}"/>
    <cellStyle name="20% - Accent4 2 2 2 6 2" xfId="3361" xr:uid="{00000000-0005-0000-0000-00001D0D0000}"/>
    <cellStyle name="20% - Accent4 2 2 2 6 2 2" xfId="3362" xr:uid="{00000000-0005-0000-0000-00001E0D0000}"/>
    <cellStyle name="20% - Accent4 2 2 2 6 2 2 2" xfId="3363" xr:uid="{00000000-0005-0000-0000-00001F0D0000}"/>
    <cellStyle name="20% - Accent4 2 2 2 6 2 3" xfId="3364" xr:uid="{00000000-0005-0000-0000-0000200D0000}"/>
    <cellStyle name="20% - Accent4 2 2 2 6 3" xfId="3365" xr:uid="{00000000-0005-0000-0000-0000210D0000}"/>
    <cellStyle name="20% - Accent4 2 2 2 6 3 2" xfId="3366" xr:uid="{00000000-0005-0000-0000-0000220D0000}"/>
    <cellStyle name="20% - Accent4 2 2 2 6 4" xfId="3367" xr:uid="{00000000-0005-0000-0000-0000230D0000}"/>
    <cellStyle name="20% - Accent4 2 2 2 7" xfId="3368" xr:uid="{00000000-0005-0000-0000-0000240D0000}"/>
    <cellStyle name="20% - Accent4 2 2 2 7 2" xfId="3369" xr:uid="{00000000-0005-0000-0000-0000250D0000}"/>
    <cellStyle name="20% - Accent4 2 2 2 7 2 2" xfId="3370" xr:uid="{00000000-0005-0000-0000-0000260D0000}"/>
    <cellStyle name="20% - Accent4 2 2 2 7 3" xfId="3371" xr:uid="{00000000-0005-0000-0000-0000270D0000}"/>
    <cellStyle name="20% - Accent4 2 2 2 8" xfId="3372" xr:uid="{00000000-0005-0000-0000-0000280D0000}"/>
    <cellStyle name="20% - Accent4 2 2 2 8 2" xfId="3373" xr:uid="{00000000-0005-0000-0000-0000290D0000}"/>
    <cellStyle name="20% - Accent4 2 2 2 9" xfId="3374" xr:uid="{00000000-0005-0000-0000-00002A0D0000}"/>
    <cellStyle name="20% - Accent4 2 2 3" xfId="3375" xr:uid="{00000000-0005-0000-0000-00002B0D0000}"/>
    <cellStyle name="20% - Accent4 2 2 3 2" xfId="3376" xr:uid="{00000000-0005-0000-0000-00002C0D0000}"/>
    <cellStyle name="20% - Accent4 2 2 3 2 2" xfId="3377" xr:uid="{00000000-0005-0000-0000-00002D0D0000}"/>
    <cellStyle name="20% - Accent4 2 2 3 2 2 2" xfId="3378" xr:uid="{00000000-0005-0000-0000-00002E0D0000}"/>
    <cellStyle name="20% - Accent4 2 2 3 2 2 2 2" xfId="3379" xr:uid="{00000000-0005-0000-0000-00002F0D0000}"/>
    <cellStyle name="20% - Accent4 2 2 3 2 2 2 2 2" xfId="3380" xr:uid="{00000000-0005-0000-0000-0000300D0000}"/>
    <cellStyle name="20% - Accent4 2 2 3 2 2 2 2 2 2" xfId="3381" xr:uid="{00000000-0005-0000-0000-0000310D0000}"/>
    <cellStyle name="20% - Accent4 2 2 3 2 2 2 2 2 2 2" xfId="3382" xr:uid="{00000000-0005-0000-0000-0000320D0000}"/>
    <cellStyle name="20% - Accent4 2 2 3 2 2 2 2 2 3" xfId="3383" xr:uid="{00000000-0005-0000-0000-0000330D0000}"/>
    <cellStyle name="20% - Accent4 2 2 3 2 2 2 2 3" xfId="3384" xr:uid="{00000000-0005-0000-0000-0000340D0000}"/>
    <cellStyle name="20% - Accent4 2 2 3 2 2 2 2 3 2" xfId="3385" xr:uid="{00000000-0005-0000-0000-0000350D0000}"/>
    <cellStyle name="20% - Accent4 2 2 3 2 2 2 2 4" xfId="3386" xr:uid="{00000000-0005-0000-0000-0000360D0000}"/>
    <cellStyle name="20% - Accent4 2 2 3 2 2 2 3" xfId="3387" xr:uid="{00000000-0005-0000-0000-0000370D0000}"/>
    <cellStyle name="20% - Accent4 2 2 3 2 2 2 3 2" xfId="3388" xr:uid="{00000000-0005-0000-0000-0000380D0000}"/>
    <cellStyle name="20% - Accent4 2 2 3 2 2 2 3 2 2" xfId="3389" xr:uid="{00000000-0005-0000-0000-0000390D0000}"/>
    <cellStyle name="20% - Accent4 2 2 3 2 2 2 3 3" xfId="3390" xr:uid="{00000000-0005-0000-0000-00003A0D0000}"/>
    <cellStyle name="20% - Accent4 2 2 3 2 2 2 4" xfId="3391" xr:uid="{00000000-0005-0000-0000-00003B0D0000}"/>
    <cellStyle name="20% - Accent4 2 2 3 2 2 2 4 2" xfId="3392" xr:uid="{00000000-0005-0000-0000-00003C0D0000}"/>
    <cellStyle name="20% - Accent4 2 2 3 2 2 2 5" xfId="3393" xr:uid="{00000000-0005-0000-0000-00003D0D0000}"/>
    <cellStyle name="20% - Accent4 2 2 3 2 2 3" xfId="3394" xr:uid="{00000000-0005-0000-0000-00003E0D0000}"/>
    <cellStyle name="20% - Accent4 2 2 3 2 2 3 2" xfId="3395" xr:uid="{00000000-0005-0000-0000-00003F0D0000}"/>
    <cellStyle name="20% - Accent4 2 2 3 2 2 3 2 2" xfId="3396" xr:uid="{00000000-0005-0000-0000-0000400D0000}"/>
    <cellStyle name="20% - Accent4 2 2 3 2 2 3 2 2 2" xfId="3397" xr:uid="{00000000-0005-0000-0000-0000410D0000}"/>
    <cellStyle name="20% - Accent4 2 2 3 2 2 3 2 3" xfId="3398" xr:uid="{00000000-0005-0000-0000-0000420D0000}"/>
    <cellStyle name="20% - Accent4 2 2 3 2 2 3 3" xfId="3399" xr:uid="{00000000-0005-0000-0000-0000430D0000}"/>
    <cellStyle name="20% - Accent4 2 2 3 2 2 3 3 2" xfId="3400" xr:uid="{00000000-0005-0000-0000-0000440D0000}"/>
    <cellStyle name="20% - Accent4 2 2 3 2 2 3 4" xfId="3401" xr:uid="{00000000-0005-0000-0000-0000450D0000}"/>
    <cellStyle name="20% - Accent4 2 2 3 2 2 4" xfId="3402" xr:uid="{00000000-0005-0000-0000-0000460D0000}"/>
    <cellStyle name="20% - Accent4 2 2 3 2 2 4 2" xfId="3403" xr:uid="{00000000-0005-0000-0000-0000470D0000}"/>
    <cellStyle name="20% - Accent4 2 2 3 2 2 4 2 2" xfId="3404" xr:uid="{00000000-0005-0000-0000-0000480D0000}"/>
    <cellStyle name="20% - Accent4 2 2 3 2 2 4 3" xfId="3405" xr:uid="{00000000-0005-0000-0000-0000490D0000}"/>
    <cellStyle name="20% - Accent4 2 2 3 2 2 5" xfId="3406" xr:uid="{00000000-0005-0000-0000-00004A0D0000}"/>
    <cellStyle name="20% - Accent4 2 2 3 2 2 5 2" xfId="3407" xr:uid="{00000000-0005-0000-0000-00004B0D0000}"/>
    <cellStyle name="20% - Accent4 2 2 3 2 2 6" xfId="3408" xr:uid="{00000000-0005-0000-0000-00004C0D0000}"/>
    <cellStyle name="20% - Accent4 2 2 3 2 3" xfId="3409" xr:uid="{00000000-0005-0000-0000-00004D0D0000}"/>
    <cellStyle name="20% - Accent4 2 2 3 2 3 2" xfId="3410" xr:uid="{00000000-0005-0000-0000-00004E0D0000}"/>
    <cellStyle name="20% - Accent4 2 2 3 2 3 2 2" xfId="3411" xr:uid="{00000000-0005-0000-0000-00004F0D0000}"/>
    <cellStyle name="20% - Accent4 2 2 3 2 3 2 2 2" xfId="3412" xr:uid="{00000000-0005-0000-0000-0000500D0000}"/>
    <cellStyle name="20% - Accent4 2 2 3 2 3 2 2 2 2" xfId="3413" xr:uid="{00000000-0005-0000-0000-0000510D0000}"/>
    <cellStyle name="20% - Accent4 2 2 3 2 3 2 2 3" xfId="3414" xr:uid="{00000000-0005-0000-0000-0000520D0000}"/>
    <cellStyle name="20% - Accent4 2 2 3 2 3 2 3" xfId="3415" xr:uid="{00000000-0005-0000-0000-0000530D0000}"/>
    <cellStyle name="20% - Accent4 2 2 3 2 3 2 3 2" xfId="3416" xr:uid="{00000000-0005-0000-0000-0000540D0000}"/>
    <cellStyle name="20% - Accent4 2 2 3 2 3 2 4" xfId="3417" xr:uid="{00000000-0005-0000-0000-0000550D0000}"/>
    <cellStyle name="20% - Accent4 2 2 3 2 3 3" xfId="3418" xr:uid="{00000000-0005-0000-0000-0000560D0000}"/>
    <cellStyle name="20% - Accent4 2 2 3 2 3 3 2" xfId="3419" xr:uid="{00000000-0005-0000-0000-0000570D0000}"/>
    <cellStyle name="20% - Accent4 2 2 3 2 3 3 2 2" xfId="3420" xr:uid="{00000000-0005-0000-0000-0000580D0000}"/>
    <cellStyle name="20% - Accent4 2 2 3 2 3 3 3" xfId="3421" xr:uid="{00000000-0005-0000-0000-0000590D0000}"/>
    <cellStyle name="20% - Accent4 2 2 3 2 3 4" xfId="3422" xr:uid="{00000000-0005-0000-0000-00005A0D0000}"/>
    <cellStyle name="20% - Accent4 2 2 3 2 3 4 2" xfId="3423" xr:uid="{00000000-0005-0000-0000-00005B0D0000}"/>
    <cellStyle name="20% - Accent4 2 2 3 2 3 5" xfId="3424" xr:uid="{00000000-0005-0000-0000-00005C0D0000}"/>
    <cellStyle name="20% - Accent4 2 2 3 2 4" xfId="3425" xr:uid="{00000000-0005-0000-0000-00005D0D0000}"/>
    <cellStyle name="20% - Accent4 2 2 3 2 4 2" xfId="3426" xr:uid="{00000000-0005-0000-0000-00005E0D0000}"/>
    <cellStyle name="20% - Accent4 2 2 3 2 4 2 2" xfId="3427" xr:uid="{00000000-0005-0000-0000-00005F0D0000}"/>
    <cellStyle name="20% - Accent4 2 2 3 2 4 2 2 2" xfId="3428" xr:uid="{00000000-0005-0000-0000-0000600D0000}"/>
    <cellStyle name="20% - Accent4 2 2 3 2 4 2 3" xfId="3429" xr:uid="{00000000-0005-0000-0000-0000610D0000}"/>
    <cellStyle name="20% - Accent4 2 2 3 2 4 3" xfId="3430" xr:uid="{00000000-0005-0000-0000-0000620D0000}"/>
    <cellStyle name="20% - Accent4 2 2 3 2 4 3 2" xfId="3431" xr:uid="{00000000-0005-0000-0000-0000630D0000}"/>
    <cellStyle name="20% - Accent4 2 2 3 2 4 4" xfId="3432" xr:uid="{00000000-0005-0000-0000-0000640D0000}"/>
    <cellStyle name="20% - Accent4 2 2 3 2 5" xfId="3433" xr:uid="{00000000-0005-0000-0000-0000650D0000}"/>
    <cellStyle name="20% - Accent4 2 2 3 2 5 2" xfId="3434" xr:uid="{00000000-0005-0000-0000-0000660D0000}"/>
    <cellStyle name="20% - Accent4 2 2 3 2 5 2 2" xfId="3435" xr:uid="{00000000-0005-0000-0000-0000670D0000}"/>
    <cellStyle name="20% - Accent4 2 2 3 2 5 3" xfId="3436" xr:uid="{00000000-0005-0000-0000-0000680D0000}"/>
    <cellStyle name="20% - Accent4 2 2 3 2 6" xfId="3437" xr:uid="{00000000-0005-0000-0000-0000690D0000}"/>
    <cellStyle name="20% - Accent4 2 2 3 2 6 2" xfId="3438" xr:uid="{00000000-0005-0000-0000-00006A0D0000}"/>
    <cellStyle name="20% - Accent4 2 2 3 2 7" xfId="3439" xr:uid="{00000000-0005-0000-0000-00006B0D0000}"/>
    <cellStyle name="20% - Accent4 2 2 3 3" xfId="3440" xr:uid="{00000000-0005-0000-0000-00006C0D0000}"/>
    <cellStyle name="20% - Accent4 2 2 3 3 2" xfId="3441" xr:uid="{00000000-0005-0000-0000-00006D0D0000}"/>
    <cellStyle name="20% - Accent4 2 2 3 3 2 2" xfId="3442" xr:uid="{00000000-0005-0000-0000-00006E0D0000}"/>
    <cellStyle name="20% - Accent4 2 2 3 3 2 2 2" xfId="3443" xr:uid="{00000000-0005-0000-0000-00006F0D0000}"/>
    <cellStyle name="20% - Accent4 2 2 3 3 2 2 2 2" xfId="3444" xr:uid="{00000000-0005-0000-0000-0000700D0000}"/>
    <cellStyle name="20% - Accent4 2 2 3 3 2 2 2 2 2" xfId="3445" xr:uid="{00000000-0005-0000-0000-0000710D0000}"/>
    <cellStyle name="20% - Accent4 2 2 3 3 2 2 2 3" xfId="3446" xr:uid="{00000000-0005-0000-0000-0000720D0000}"/>
    <cellStyle name="20% - Accent4 2 2 3 3 2 2 3" xfId="3447" xr:uid="{00000000-0005-0000-0000-0000730D0000}"/>
    <cellStyle name="20% - Accent4 2 2 3 3 2 2 3 2" xfId="3448" xr:uid="{00000000-0005-0000-0000-0000740D0000}"/>
    <cellStyle name="20% - Accent4 2 2 3 3 2 2 4" xfId="3449" xr:uid="{00000000-0005-0000-0000-0000750D0000}"/>
    <cellStyle name="20% - Accent4 2 2 3 3 2 3" xfId="3450" xr:uid="{00000000-0005-0000-0000-0000760D0000}"/>
    <cellStyle name="20% - Accent4 2 2 3 3 2 3 2" xfId="3451" xr:uid="{00000000-0005-0000-0000-0000770D0000}"/>
    <cellStyle name="20% - Accent4 2 2 3 3 2 3 2 2" xfId="3452" xr:uid="{00000000-0005-0000-0000-0000780D0000}"/>
    <cellStyle name="20% - Accent4 2 2 3 3 2 3 3" xfId="3453" xr:uid="{00000000-0005-0000-0000-0000790D0000}"/>
    <cellStyle name="20% - Accent4 2 2 3 3 2 4" xfId="3454" xr:uid="{00000000-0005-0000-0000-00007A0D0000}"/>
    <cellStyle name="20% - Accent4 2 2 3 3 2 4 2" xfId="3455" xr:uid="{00000000-0005-0000-0000-00007B0D0000}"/>
    <cellStyle name="20% - Accent4 2 2 3 3 2 5" xfId="3456" xr:uid="{00000000-0005-0000-0000-00007C0D0000}"/>
    <cellStyle name="20% - Accent4 2 2 3 3 3" xfId="3457" xr:uid="{00000000-0005-0000-0000-00007D0D0000}"/>
    <cellStyle name="20% - Accent4 2 2 3 3 3 2" xfId="3458" xr:uid="{00000000-0005-0000-0000-00007E0D0000}"/>
    <cellStyle name="20% - Accent4 2 2 3 3 3 2 2" xfId="3459" xr:uid="{00000000-0005-0000-0000-00007F0D0000}"/>
    <cellStyle name="20% - Accent4 2 2 3 3 3 2 2 2" xfId="3460" xr:uid="{00000000-0005-0000-0000-0000800D0000}"/>
    <cellStyle name="20% - Accent4 2 2 3 3 3 2 3" xfId="3461" xr:uid="{00000000-0005-0000-0000-0000810D0000}"/>
    <cellStyle name="20% - Accent4 2 2 3 3 3 3" xfId="3462" xr:uid="{00000000-0005-0000-0000-0000820D0000}"/>
    <cellStyle name="20% - Accent4 2 2 3 3 3 3 2" xfId="3463" xr:uid="{00000000-0005-0000-0000-0000830D0000}"/>
    <cellStyle name="20% - Accent4 2 2 3 3 3 4" xfId="3464" xr:uid="{00000000-0005-0000-0000-0000840D0000}"/>
    <cellStyle name="20% - Accent4 2 2 3 3 4" xfId="3465" xr:uid="{00000000-0005-0000-0000-0000850D0000}"/>
    <cellStyle name="20% - Accent4 2 2 3 3 4 2" xfId="3466" xr:uid="{00000000-0005-0000-0000-0000860D0000}"/>
    <cellStyle name="20% - Accent4 2 2 3 3 4 2 2" xfId="3467" xr:uid="{00000000-0005-0000-0000-0000870D0000}"/>
    <cellStyle name="20% - Accent4 2 2 3 3 4 3" xfId="3468" xr:uid="{00000000-0005-0000-0000-0000880D0000}"/>
    <cellStyle name="20% - Accent4 2 2 3 3 5" xfId="3469" xr:uid="{00000000-0005-0000-0000-0000890D0000}"/>
    <cellStyle name="20% - Accent4 2 2 3 3 5 2" xfId="3470" xr:uid="{00000000-0005-0000-0000-00008A0D0000}"/>
    <cellStyle name="20% - Accent4 2 2 3 3 6" xfId="3471" xr:uid="{00000000-0005-0000-0000-00008B0D0000}"/>
    <cellStyle name="20% - Accent4 2 2 3 4" xfId="3472" xr:uid="{00000000-0005-0000-0000-00008C0D0000}"/>
    <cellStyle name="20% - Accent4 2 2 3 4 2" xfId="3473" xr:uid="{00000000-0005-0000-0000-00008D0D0000}"/>
    <cellStyle name="20% - Accent4 2 2 3 4 2 2" xfId="3474" xr:uid="{00000000-0005-0000-0000-00008E0D0000}"/>
    <cellStyle name="20% - Accent4 2 2 3 4 2 2 2" xfId="3475" xr:uid="{00000000-0005-0000-0000-00008F0D0000}"/>
    <cellStyle name="20% - Accent4 2 2 3 4 2 2 2 2" xfId="3476" xr:uid="{00000000-0005-0000-0000-0000900D0000}"/>
    <cellStyle name="20% - Accent4 2 2 3 4 2 2 3" xfId="3477" xr:uid="{00000000-0005-0000-0000-0000910D0000}"/>
    <cellStyle name="20% - Accent4 2 2 3 4 2 3" xfId="3478" xr:uid="{00000000-0005-0000-0000-0000920D0000}"/>
    <cellStyle name="20% - Accent4 2 2 3 4 2 3 2" xfId="3479" xr:uid="{00000000-0005-0000-0000-0000930D0000}"/>
    <cellStyle name="20% - Accent4 2 2 3 4 2 4" xfId="3480" xr:uid="{00000000-0005-0000-0000-0000940D0000}"/>
    <cellStyle name="20% - Accent4 2 2 3 4 3" xfId="3481" xr:uid="{00000000-0005-0000-0000-0000950D0000}"/>
    <cellStyle name="20% - Accent4 2 2 3 4 3 2" xfId="3482" xr:uid="{00000000-0005-0000-0000-0000960D0000}"/>
    <cellStyle name="20% - Accent4 2 2 3 4 3 2 2" xfId="3483" xr:uid="{00000000-0005-0000-0000-0000970D0000}"/>
    <cellStyle name="20% - Accent4 2 2 3 4 3 3" xfId="3484" xr:uid="{00000000-0005-0000-0000-0000980D0000}"/>
    <cellStyle name="20% - Accent4 2 2 3 4 4" xfId="3485" xr:uid="{00000000-0005-0000-0000-0000990D0000}"/>
    <cellStyle name="20% - Accent4 2 2 3 4 4 2" xfId="3486" xr:uid="{00000000-0005-0000-0000-00009A0D0000}"/>
    <cellStyle name="20% - Accent4 2 2 3 4 5" xfId="3487" xr:uid="{00000000-0005-0000-0000-00009B0D0000}"/>
    <cellStyle name="20% - Accent4 2 2 3 5" xfId="3488" xr:uid="{00000000-0005-0000-0000-00009C0D0000}"/>
    <cellStyle name="20% - Accent4 2 2 3 5 2" xfId="3489" xr:uid="{00000000-0005-0000-0000-00009D0D0000}"/>
    <cellStyle name="20% - Accent4 2 2 3 5 2 2" xfId="3490" xr:uid="{00000000-0005-0000-0000-00009E0D0000}"/>
    <cellStyle name="20% - Accent4 2 2 3 5 2 2 2" xfId="3491" xr:uid="{00000000-0005-0000-0000-00009F0D0000}"/>
    <cellStyle name="20% - Accent4 2 2 3 5 2 3" xfId="3492" xr:uid="{00000000-0005-0000-0000-0000A00D0000}"/>
    <cellStyle name="20% - Accent4 2 2 3 5 3" xfId="3493" xr:uid="{00000000-0005-0000-0000-0000A10D0000}"/>
    <cellStyle name="20% - Accent4 2 2 3 5 3 2" xfId="3494" xr:uid="{00000000-0005-0000-0000-0000A20D0000}"/>
    <cellStyle name="20% - Accent4 2 2 3 5 4" xfId="3495" xr:uid="{00000000-0005-0000-0000-0000A30D0000}"/>
    <cellStyle name="20% - Accent4 2 2 3 6" xfId="3496" xr:uid="{00000000-0005-0000-0000-0000A40D0000}"/>
    <cellStyle name="20% - Accent4 2 2 3 6 2" xfId="3497" xr:uid="{00000000-0005-0000-0000-0000A50D0000}"/>
    <cellStyle name="20% - Accent4 2 2 3 6 2 2" xfId="3498" xr:uid="{00000000-0005-0000-0000-0000A60D0000}"/>
    <cellStyle name="20% - Accent4 2 2 3 6 3" xfId="3499" xr:uid="{00000000-0005-0000-0000-0000A70D0000}"/>
    <cellStyle name="20% - Accent4 2 2 3 7" xfId="3500" xr:uid="{00000000-0005-0000-0000-0000A80D0000}"/>
    <cellStyle name="20% - Accent4 2 2 3 7 2" xfId="3501" xr:uid="{00000000-0005-0000-0000-0000A90D0000}"/>
    <cellStyle name="20% - Accent4 2 2 3 8" xfId="3502" xr:uid="{00000000-0005-0000-0000-0000AA0D0000}"/>
    <cellStyle name="20% - Accent4 2 2 4" xfId="3503" xr:uid="{00000000-0005-0000-0000-0000AB0D0000}"/>
    <cellStyle name="20% - Accent4 2 2 4 2" xfId="3504" xr:uid="{00000000-0005-0000-0000-0000AC0D0000}"/>
    <cellStyle name="20% - Accent4 2 2 4 2 2" xfId="3505" xr:uid="{00000000-0005-0000-0000-0000AD0D0000}"/>
    <cellStyle name="20% - Accent4 2 2 4 2 2 2" xfId="3506" xr:uid="{00000000-0005-0000-0000-0000AE0D0000}"/>
    <cellStyle name="20% - Accent4 2 2 4 2 2 2 2" xfId="3507" xr:uid="{00000000-0005-0000-0000-0000AF0D0000}"/>
    <cellStyle name="20% - Accent4 2 2 4 2 2 2 2 2" xfId="3508" xr:uid="{00000000-0005-0000-0000-0000B00D0000}"/>
    <cellStyle name="20% - Accent4 2 2 4 2 2 2 2 2 2" xfId="3509" xr:uid="{00000000-0005-0000-0000-0000B10D0000}"/>
    <cellStyle name="20% - Accent4 2 2 4 2 2 2 2 3" xfId="3510" xr:uid="{00000000-0005-0000-0000-0000B20D0000}"/>
    <cellStyle name="20% - Accent4 2 2 4 2 2 2 3" xfId="3511" xr:uid="{00000000-0005-0000-0000-0000B30D0000}"/>
    <cellStyle name="20% - Accent4 2 2 4 2 2 2 3 2" xfId="3512" xr:uid="{00000000-0005-0000-0000-0000B40D0000}"/>
    <cellStyle name="20% - Accent4 2 2 4 2 2 2 4" xfId="3513" xr:uid="{00000000-0005-0000-0000-0000B50D0000}"/>
    <cellStyle name="20% - Accent4 2 2 4 2 2 3" xfId="3514" xr:uid="{00000000-0005-0000-0000-0000B60D0000}"/>
    <cellStyle name="20% - Accent4 2 2 4 2 2 3 2" xfId="3515" xr:uid="{00000000-0005-0000-0000-0000B70D0000}"/>
    <cellStyle name="20% - Accent4 2 2 4 2 2 3 2 2" xfId="3516" xr:uid="{00000000-0005-0000-0000-0000B80D0000}"/>
    <cellStyle name="20% - Accent4 2 2 4 2 2 3 3" xfId="3517" xr:uid="{00000000-0005-0000-0000-0000B90D0000}"/>
    <cellStyle name="20% - Accent4 2 2 4 2 2 4" xfId="3518" xr:uid="{00000000-0005-0000-0000-0000BA0D0000}"/>
    <cellStyle name="20% - Accent4 2 2 4 2 2 4 2" xfId="3519" xr:uid="{00000000-0005-0000-0000-0000BB0D0000}"/>
    <cellStyle name="20% - Accent4 2 2 4 2 2 5" xfId="3520" xr:uid="{00000000-0005-0000-0000-0000BC0D0000}"/>
    <cellStyle name="20% - Accent4 2 2 4 2 3" xfId="3521" xr:uid="{00000000-0005-0000-0000-0000BD0D0000}"/>
    <cellStyle name="20% - Accent4 2 2 4 2 3 2" xfId="3522" xr:uid="{00000000-0005-0000-0000-0000BE0D0000}"/>
    <cellStyle name="20% - Accent4 2 2 4 2 3 2 2" xfId="3523" xr:uid="{00000000-0005-0000-0000-0000BF0D0000}"/>
    <cellStyle name="20% - Accent4 2 2 4 2 3 2 2 2" xfId="3524" xr:uid="{00000000-0005-0000-0000-0000C00D0000}"/>
    <cellStyle name="20% - Accent4 2 2 4 2 3 2 3" xfId="3525" xr:uid="{00000000-0005-0000-0000-0000C10D0000}"/>
    <cellStyle name="20% - Accent4 2 2 4 2 3 3" xfId="3526" xr:uid="{00000000-0005-0000-0000-0000C20D0000}"/>
    <cellStyle name="20% - Accent4 2 2 4 2 3 3 2" xfId="3527" xr:uid="{00000000-0005-0000-0000-0000C30D0000}"/>
    <cellStyle name="20% - Accent4 2 2 4 2 3 4" xfId="3528" xr:uid="{00000000-0005-0000-0000-0000C40D0000}"/>
    <cellStyle name="20% - Accent4 2 2 4 2 4" xfId="3529" xr:uid="{00000000-0005-0000-0000-0000C50D0000}"/>
    <cellStyle name="20% - Accent4 2 2 4 2 4 2" xfId="3530" xr:uid="{00000000-0005-0000-0000-0000C60D0000}"/>
    <cellStyle name="20% - Accent4 2 2 4 2 4 2 2" xfId="3531" xr:uid="{00000000-0005-0000-0000-0000C70D0000}"/>
    <cellStyle name="20% - Accent4 2 2 4 2 4 3" xfId="3532" xr:uid="{00000000-0005-0000-0000-0000C80D0000}"/>
    <cellStyle name="20% - Accent4 2 2 4 2 5" xfId="3533" xr:uid="{00000000-0005-0000-0000-0000C90D0000}"/>
    <cellStyle name="20% - Accent4 2 2 4 2 5 2" xfId="3534" xr:uid="{00000000-0005-0000-0000-0000CA0D0000}"/>
    <cellStyle name="20% - Accent4 2 2 4 2 6" xfId="3535" xr:uid="{00000000-0005-0000-0000-0000CB0D0000}"/>
    <cellStyle name="20% - Accent4 2 2 4 3" xfId="3536" xr:uid="{00000000-0005-0000-0000-0000CC0D0000}"/>
    <cellStyle name="20% - Accent4 2 2 4 3 2" xfId="3537" xr:uid="{00000000-0005-0000-0000-0000CD0D0000}"/>
    <cellStyle name="20% - Accent4 2 2 4 3 2 2" xfId="3538" xr:uid="{00000000-0005-0000-0000-0000CE0D0000}"/>
    <cellStyle name="20% - Accent4 2 2 4 3 2 2 2" xfId="3539" xr:uid="{00000000-0005-0000-0000-0000CF0D0000}"/>
    <cellStyle name="20% - Accent4 2 2 4 3 2 2 2 2" xfId="3540" xr:uid="{00000000-0005-0000-0000-0000D00D0000}"/>
    <cellStyle name="20% - Accent4 2 2 4 3 2 2 3" xfId="3541" xr:uid="{00000000-0005-0000-0000-0000D10D0000}"/>
    <cellStyle name="20% - Accent4 2 2 4 3 2 3" xfId="3542" xr:uid="{00000000-0005-0000-0000-0000D20D0000}"/>
    <cellStyle name="20% - Accent4 2 2 4 3 2 3 2" xfId="3543" xr:uid="{00000000-0005-0000-0000-0000D30D0000}"/>
    <cellStyle name="20% - Accent4 2 2 4 3 2 4" xfId="3544" xr:uid="{00000000-0005-0000-0000-0000D40D0000}"/>
    <cellStyle name="20% - Accent4 2 2 4 3 3" xfId="3545" xr:uid="{00000000-0005-0000-0000-0000D50D0000}"/>
    <cellStyle name="20% - Accent4 2 2 4 3 3 2" xfId="3546" xr:uid="{00000000-0005-0000-0000-0000D60D0000}"/>
    <cellStyle name="20% - Accent4 2 2 4 3 3 2 2" xfId="3547" xr:uid="{00000000-0005-0000-0000-0000D70D0000}"/>
    <cellStyle name="20% - Accent4 2 2 4 3 3 3" xfId="3548" xr:uid="{00000000-0005-0000-0000-0000D80D0000}"/>
    <cellStyle name="20% - Accent4 2 2 4 3 4" xfId="3549" xr:uid="{00000000-0005-0000-0000-0000D90D0000}"/>
    <cellStyle name="20% - Accent4 2 2 4 3 4 2" xfId="3550" xr:uid="{00000000-0005-0000-0000-0000DA0D0000}"/>
    <cellStyle name="20% - Accent4 2 2 4 3 5" xfId="3551" xr:uid="{00000000-0005-0000-0000-0000DB0D0000}"/>
    <cellStyle name="20% - Accent4 2 2 4 4" xfId="3552" xr:uid="{00000000-0005-0000-0000-0000DC0D0000}"/>
    <cellStyle name="20% - Accent4 2 2 4 4 2" xfId="3553" xr:uid="{00000000-0005-0000-0000-0000DD0D0000}"/>
    <cellStyle name="20% - Accent4 2 2 4 4 2 2" xfId="3554" xr:uid="{00000000-0005-0000-0000-0000DE0D0000}"/>
    <cellStyle name="20% - Accent4 2 2 4 4 2 2 2" xfId="3555" xr:uid="{00000000-0005-0000-0000-0000DF0D0000}"/>
    <cellStyle name="20% - Accent4 2 2 4 4 2 3" xfId="3556" xr:uid="{00000000-0005-0000-0000-0000E00D0000}"/>
    <cellStyle name="20% - Accent4 2 2 4 4 3" xfId="3557" xr:uid="{00000000-0005-0000-0000-0000E10D0000}"/>
    <cellStyle name="20% - Accent4 2 2 4 4 3 2" xfId="3558" xr:uid="{00000000-0005-0000-0000-0000E20D0000}"/>
    <cellStyle name="20% - Accent4 2 2 4 4 4" xfId="3559" xr:uid="{00000000-0005-0000-0000-0000E30D0000}"/>
    <cellStyle name="20% - Accent4 2 2 4 5" xfId="3560" xr:uid="{00000000-0005-0000-0000-0000E40D0000}"/>
    <cellStyle name="20% - Accent4 2 2 4 5 2" xfId="3561" xr:uid="{00000000-0005-0000-0000-0000E50D0000}"/>
    <cellStyle name="20% - Accent4 2 2 4 5 2 2" xfId="3562" xr:uid="{00000000-0005-0000-0000-0000E60D0000}"/>
    <cellStyle name="20% - Accent4 2 2 4 5 3" xfId="3563" xr:uid="{00000000-0005-0000-0000-0000E70D0000}"/>
    <cellStyle name="20% - Accent4 2 2 4 6" xfId="3564" xr:uid="{00000000-0005-0000-0000-0000E80D0000}"/>
    <cellStyle name="20% - Accent4 2 2 4 6 2" xfId="3565" xr:uid="{00000000-0005-0000-0000-0000E90D0000}"/>
    <cellStyle name="20% - Accent4 2 2 4 7" xfId="3566" xr:uid="{00000000-0005-0000-0000-0000EA0D0000}"/>
    <cellStyle name="20% - Accent4 2 2 5" xfId="3567" xr:uid="{00000000-0005-0000-0000-0000EB0D0000}"/>
    <cellStyle name="20% - Accent4 2 2 5 2" xfId="3568" xr:uid="{00000000-0005-0000-0000-0000EC0D0000}"/>
    <cellStyle name="20% - Accent4 2 2 5 2 2" xfId="3569" xr:uid="{00000000-0005-0000-0000-0000ED0D0000}"/>
    <cellStyle name="20% - Accent4 2 2 5 2 2 2" xfId="3570" xr:uid="{00000000-0005-0000-0000-0000EE0D0000}"/>
    <cellStyle name="20% - Accent4 2 2 5 2 2 2 2" xfId="3571" xr:uid="{00000000-0005-0000-0000-0000EF0D0000}"/>
    <cellStyle name="20% - Accent4 2 2 5 2 2 2 2 2" xfId="3572" xr:uid="{00000000-0005-0000-0000-0000F00D0000}"/>
    <cellStyle name="20% - Accent4 2 2 5 2 2 2 3" xfId="3573" xr:uid="{00000000-0005-0000-0000-0000F10D0000}"/>
    <cellStyle name="20% - Accent4 2 2 5 2 2 3" xfId="3574" xr:uid="{00000000-0005-0000-0000-0000F20D0000}"/>
    <cellStyle name="20% - Accent4 2 2 5 2 2 3 2" xfId="3575" xr:uid="{00000000-0005-0000-0000-0000F30D0000}"/>
    <cellStyle name="20% - Accent4 2 2 5 2 2 4" xfId="3576" xr:uid="{00000000-0005-0000-0000-0000F40D0000}"/>
    <cellStyle name="20% - Accent4 2 2 5 2 3" xfId="3577" xr:uid="{00000000-0005-0000-0000-0000F50D0000}"/>
    <cellStyle name="20% - Accent4 2 2 5 2 3 2" xfId="3578" xr:uid="{00000000-0005-0000-0000-0000F60D0000}"/>
    <cellStyle name="20% - Accent4 2 2 5 2 3 2 2" xfId="3579" xr:uid="{00000000-0005-0000-0000-0000F70D0000}"/>
    <cellStyle name="20% - Accent4 2 2 5 2 3 3" xfId="3580" xr:uid="{00000000-0005-0000-0000-0000F80D0000}"/>
    <cellStyle name="20% - Accent4 2 2 5 2 4" xfId="3581" xr:uid="{00000000-0005-0000-0000-0000F90D0000}"/>
    <cellStyle name="20% - Accent4 2 2 5 2 4 2" xfId="3582" xr:uid="{00000000-0005-0000-0000-0000FA0D0000}"/>
    <cellStyle name="20% - Accent4 2 2 5 2 5" xfId="3583" xr:uid="{00000000-0005-0000-0000-0000FB0D0000}"/>
    <cellStyle name="20% - Accent4 2 2 5 3" xfId="3584" xr:uid="{00000000-0005-0000-0000-0000FC0D0000}"/>
    <cellStyle name="20% - Accent4 2 2 5 3 2" xfId="3585" xr:uid="{00000000-0005-0000-0000-0000FD0D0000}"/>
    <cellStyle name="20% - Accent4 2 2 5 3 2 2" xfId="3586" xr:uid="{00000000-0005-0000-0000-0000FE0D0000}"/>
    <cellStyle name="20% - Accent4 2 2 5 3 2 2 2" xfId="3587" xr:uid="{00000000-0005-0000-0000-0000FF0D0000}"/>
    <cellStyle name="20% - Accent4 2 2 5 3 2 3" xfId="3588" xr:uid="{00000000-0005-0000-0000-0000000E0000}"/>
    <cellStyle name="20% - Accent4 2 2 5 3 3" xfId="3589" xr:uid="{00000000-0005-0000-0000-0000010E0000}"/>
    <cellStyle name="20% - Accent4 2 2 5 3 3 2" xfId="3590" xr:uid="{00000000-0005-0000-0000-0000020E0000}"/>
    <cellStyle name="20% - Accent4 2 2 5 3 4" xfId="3591" xr:uid="{00000000-0005-0000-0000-0000030E0000}"/>
    <cellStyle name="20% - Accent4 2 2 5 4" xfId="3592" xr:uid="{00000000-0005-0000-0000-0000040E0000}"/>
    <cellStyle name="20% - Accent4 2 2 5 4 2" xfId="3593" xr:uid="{00000000-0005-0000-0000-0000050E0000}"/>
    <cellStyle name="20% - Accent4 2 2 5 4 2 2" xfId="3594" xr:uid="{00000000-0005-0000-0000-0000060E0000}"/>
    <cellStyle name="20% - Accent4 2 2 5 4 3" xfId="3595" xr:uid="{00000000-0005-0000-0000-0000070E0000}"/>
    <cellStyle name="20% - Accent4 2 2 5 5" xfId="3596" xr:uid="{00000000-0005-0000-0000-0000080E0000}"/>
    <cellStyle name="20% - Accent4 2 2 5 5 2" xfId="3597" xr:uid="{00000000-0005-0000-0000-0000090E0000}"/>
    <cellStyle name="20% - Accent4 2 2 5 6" xfId="3598" xr:uid="{00000000-0005-0000-0000-00000A0E0000}"/>
    <cellStyle name="20% - Accent4 2 2 6" xfId="3599" xr:uid="{00000000-0005-0000-0000-00000B0E0000}"/>
    <cellStyle name="20% - Accent4 2 2 6 2" xfId="3600" xr:uid="{00000000-0005-0000-0000-00000C0E0000}"/>
    <cellStyle name="20% - Accent4 2 2 6 2 2" xfId="3601" xr:uid="{00000000-0005-0000-0000-00000D0E0000}"/>
    <cellStyle name="20% - Accent4 2 2 6 2 2 2" xfId="3602" xr:uid="{00000000-0005-0000-0000-00000E0E0000}"/>
    <cellStyle name="20% - Accent4 2 2 6 2 2 2 2" xfId="3603" xr:uid="{00000000-0005-0000-0000-00000F0E0000}"/>
    <cellStyle name="20% - Accent4 2 2 6 2 2 3" xfId="3604" xr:uid="{00000000-0005-0000-0000-0000100E0000}"/>
    <cellStyle name="20% - Accent4 2 2 6 2 3" xfId="3605" xr:uid="{00000000-0005-0000-0000-0000110E0000}"/>
    <cellStyle name="20% - Accent4 2 2 6 2 3 2" xfId="3606" xr:uid="{00000000-0005-0000-0000-0000120E0000}"/>
    <cellStyle name="20% - Accent4 2 2 6 2 4" xfId="3607" xr:uid="{00000000-0005-0000-0000-0000130E0000}"/>
    <cellStyle name="20% - Accent4 2 2 6 3" xfId="3608" xr:uid="{00000000-0005-0000-0000-0000140E0000}"/>
    <cellStyle name="20% - Accent4 2 2 6 3 2" xfId="3609" xr:uid="{00000000-0005-0000-0000-0000150E0000}"/>
    <cellStyle name="20% - Accent4 2 2 6 3 2 2" xfId="3610" xr:uid="{00000000-0005-0000-0000-0000160E0000}"/>
    <cellStyle name="20% - Accent4 2 2 6 3 3" xfId="3611" xr:uid="{00000000-0005-0000-0000-0000170E0000}"/>
    <cellStyle name="20% - Accent4 2 2 6 4" xfId="3612" xr:uid="{00000000-0005-0000-0000-0000180E0000}"/>
    <cellStyle name="20% - Accent4 2 2 6 4 2" xfId="3613" xr:uid="{00000000-0005-0000-0000-0000190E0000}"/>
    <cellStyle name="20% - Accent4 2 2 6 5" xfId="3614" xr:uid="{00000000-0005-0000-0000-00001A0E0000}"/>
    <cellStyle name="20% - Accent4 2 2 7" xfId="3615" xr:uid="{00000000-0005-0000-0000-00001B0E0000}"/>
    <cellStyle name="20% - Accent4 2 2 7 2" xfId="3616" xr:uid="{00000000-0005-0000-0000-00001C0E0000}"/>
    <cellStyle name="20% - Accent4 2 2 7 2 2" xfId="3617" xr:uid="{00000000-0005-0000-0000-00001D0E0000}"/>
    <cellStyle name="20% - Accent4 2 2 7 2 2 2" xfId="3618" xr:uid="{00000000-0005-0000-0000-00001E0E0000}"/>
    <cellStyle name="20% - Accent4 2 2 7 2 3" xfId="3619" xr:uid="{00000000-0005-0000-0000-00001F0E0000}"/>
    <cellStyle name="20% - Accent4 2 2 7 3" xfId="3620" xr:uid="{00000000-0005-0000-0000-0000200E0000}"/>
    <cellStyle name="20% - Accent4 2 2 7 3 2" xfId="3621" xr:uid="{00000000-0005-0000-0000-0000210E0000}"/>
    <cellStyle name="20% - Accent4 2 2 7 4" xfId="3622" xr:uid="{00000000-0005-0000-0000-0000220E0000}"/>
    <cellStyle name="20% - Accent4 2 2 8" xfId="3623" xr:uid="{00000000-0005-0000-0000-0000230E0000}"/>
    <cellStyle name="20% - Accent4 2 2 8 2" xfId="3624" xr:uid="{00000000-0005-0000-0000-0000240E0000}"/>
    <cellStyle name="20% - Accent4 2 2 8 2 2" xfId="3625" xr:uid="{00000000-0005-0000-0000-0000250E0000}"/>
    <cellStyle name="20% - Accent4 2 2 8 3" xfId="3626" xr:uid="{00000000-0005-0000-0000-0000260E0000}"/>
    <cellStyle name="20% - Accent4 2 2 9" xfId="3627" xr:uid="{00000000-0005-0000-0000-0000270E0000}"/>
    <cellStyle name="20% - Accent4 2 2 9 2" xfId="3628" xr:uid="{00000000-0005-0000-0000-0000280E0000}"/>
    <cellStyle name="20% - Accent4 2 3" xfId="3629" xr:uid="{00000000-0005-0000-0000-0000290E0000}"/>
    <cellStyle name="20% - Accent4 2 3 2" xfId="3630" xr:uid="{00000000-0005-0000-0000-00002A0E0000}"/>
    <cellStyle name="20% - Accent4 2 3 2 2" xfId="3631" xr:uid="{00000000-0005-0000-0000-00002B0E0000}"/>
    <cellStyle name="20% - Accent4 2 3 2 2 2" xfId="3632" xr:uid="{00000000-0005-0000-0000-00002C0E0000}"/>
    <cellStyle name="20% - Accent4 2 3 2 2 2 2" xfId="3633" xr:uid="{00000000-0005-0000-0000-00002D0E0000}"/>
    <cellStyle name="20% - Accent4 2 3 2 2 2 2 2" xfId="3634" xr:uid="{00000000-0005-0000-0000-00002E0E0000}"/>
    <cellStyle name="20% - Accent4 2 3 2 2 2 2 2 2" xfId="3635" xr:uid="{00000000-0005-0000-0000-00002F0E0000}"/>
    <cellStyle name="20% - Accent4 2 3 2 2 2 2 2 2 2" xfId="3636" xr:uid="{00000000-0005-0000-0000-0000300E0000}"/>
    <cellStyle name="20% - Accent4 2 3 2 2 2 2 2 2 2 2" xfId="3637" xr:uid="{00000000-0005-0000-0000-0000310E0000}"/>
    <cellStyle name="20% - Accent4 2 3 2 2 2 2 2 2 3" xfId="3638" xr:uid="{00000000-0005-0000-0000-0000320E0000}"/>
    <cellStyle name="20% - Accent4 2 3 2 2 2 2 2 3" xfId="3639" xr:uid="{00000000-0005-0000-0000-0000330E0000}"/>
    <cellStyle name="20% - Accent4 2 3 2 2 2 2 2 3 2" xfId="3640" xr:uid="{00000000-0005-0000-0000-0000340E0000}"/>
    <cellStyle name="20% - Accent4 2 3 2 2 2 2 2 4" xfId="3641" xr:uid="{00000000-0005-0000-0000-0000350E0000}"/>
    <cellStyle name="20% - Accent4 2 3 2 2 2 2 3" xfId="3642" xr:uid="{00000000-0005-0000-0000-0000360E0000}"/>
    <cellStyle name="20% - Accent4 2 3 2 2 2 2 3 2" xfId="3643" xr:uid="{00000000-0005-0000-0000-0000370E0000}"/>
    <cellStyle name="20% - Accent4 2 3 2 2 2 2 3 2 2" xfId="3644" xr:uid="{00000000-0005-0000-0000-0000380E0000}"/>
    <cellStyle name="20% - Accent4 2 3 2 2 2 2 3 3" xfId="3645" xr:uid="{00000000-0005-0000-0000-0000390E0000}"/>
    <cellStyle name="20% - Accent4 2 3 2 2 2 2 4" xfId="3646" xr:uid="{00000000-0005-0000-0000-00003A0E0000}"/>
    <cellStyle name="20% - Accent4 2 3 2 2 2 2 4 2" xfId="3647" xr:uid="{00000000-0005-0000-0000-00003B0E0000}"/>
    <cellStyle name="20% - Accent4 2 3 2 2 2 2 5" xfId="3648" xr:uid="{00000000-0005-0000-0000-00003C0E0000}"/>
    <cellStyle name="20% - Accent4 2 3 2 2 2 3" xfId="3649" xr:uid="{00000000-0005-0000-0000-00003D0E0000}"/>
    <cellStyle name="20% - Accent4 2 3 2 2 2 3 2" xfId="3650" xr:uid="{00000000-0005-0000-0000-00003E0E0000}"/>
    <cellStyle name="20% - Accent4 2 3 2 2 2 3 2 2" xfId="3651" xr:uid="{00000000-0005-0000-0000-00003F0E0000}"/>
    <cellStyle name="20% - Accent4 2 3 2 2 2 3 2 2 2" xfId="3652" xr:uid="{00000000-0005-0000-0000-0000400E0000}"/>
    <cellStyle name="20% - Accent4 2 3 2 2 2 3 2 3" xfId="3653" xr:uid="{00000000-0005-0000-0000-0000410E0000}"/>
    <cellStyle name="20% - Accent4 2 3 2 2 2 3 3" xfId="3654" xr:uid="{00000000-0005-0000-0000-0000420E0000}"/>
    <cellStyle name="20% - Accent4 2 3 2 2 2 3 3 2" xfId="3655" xr:uid="{00000000-0005-0000-0000-0000430E0000}"/>
    <cellStyle name="20% - Accent4 2 3 2 2 2 3 4" xfId="3656" xr:uid="{00000000-0005-0000-0000-0000440E0000}"/>
    <cellStyle name="20% - Accent4 2 3 2 2 2 4" xfId="3657" xr:uid="{00000000-0005-0000-0000-0000450E0000}"/>
    <cellStyle name="20% - Accent4 2 3 2 2 2 4 2" xfId="3658" xr:uid="{00000000-0005-0000-0000-0000460E0000}"/>
    <cellStyle name="20% - Accent4 2 3 2 2 2 4 2 2" xfId="3659" xr:uid="{00000000-0005-0000-0000-0000470E0000}"/>
    <cellStyle name="20% - Accent4 2 3 2 2 2 4 3" xfId="3660" xr:uid="{00000000-0005-0000-0000-0000480E0000}"/>
    <cellStyle name="20% - Accent4 2 3 2 2 2 5" xfId="3661" xr:uid="{00000000-0005-0000-0000-0000490E0000}"/>
    <cellStyle name="20% - Accent4 2 3 2 2 2 5 2" xfId="3662" xr:uid="{00000000-0005-0000-0000-00004A0E0000}"/>
    <cellStyle name="20% - Accent4 2 3 2 2 2 6" xfId="3663" xr:uid="{00000000-0005-0000-0000-00004B0E0000}"/>
    <cellStyle name="20% - Accent4 2 3 2 2 3" xfId="3664" xr:uid="{00000000-0005-0000-0000-00004C0E0000}"/>
    <cellStyle name="20% - Accent4 2 3 2 2 3 2" xfId="3665" xr:uid="{00000000-0005-0000-0000-00004D0E0000}"/>
    <cellStyle name="20% - Accent4 2 3 2 2 3 2 2" xfId="3666" xr:uid="{00000000-0005-0000-0000-00004E0E0000}"/>
    <cellStyle name="20% - Accent4 2 3 2 2 3 2 2 2" xfId="3667" xr:uid="{00000000-0005-0000-0000-00004F0E0000}"/>
    <cellStyle name="20% - Accent4 2 3 2 2 3 2 2 2 2" xfId="3668" xr:uid="{00000000-0005-0000-0000-0000500E0000}"/>
    <cellStyle name="20% - Accent4 2 3 2 2 3 2 2 3" xfId="3669" xr:uid="{00000000-0005-0000-0000-0000510E0000}"/>
    <cellStyle name="20% - Accent4 2 3 2 2 3 2 3" xfId="3670" xr:uid="{00000000-0005-0000-0000-0000520E0000}"/>
    <cellStyle name="20% - Accent4 2 3 2 2 3 2 3 2" xfId="3671" xr:uid="{00000000-0005-0000-0000-0000530E0000}"/>
    <cellStyle name="20% - Accent4 2 3 2 2 3 2 4" xfId="3672" xr:uid="{00000000-0005-0000-0000-0000540E0000}"/>
    <cellStyle name="20% - Accent4 2 3 2 2 3 3" xfId="3673" xr:uid="{00000000-0005-0000-0000-0000550E0000}"/>
    <cellStyle name="20% - Accent4 2 3 2 2 3 3 2" xfId="3674" xr:uid="{00000000-0005-0000-0000-0000560E0000}"/>
    <cellStyle name="20% - Accent4 2 3 2 2 3 3 2 2" xfId="3675" xr:uid="{00000000-0005-0000-0000-0000570E0000}"/>
    <cellStyle name="20% - Accent4 2 3 2 2 3 3 3" xfId="3676" xr:uid="{00000000-0005-0000-0000-0000580E0000}"/>
    <cellStyle name="20% - Accent4 2 3 2 2 3 4" xfId="3677" xr:uid="{00000000-0005-0000-0000-0000590E0000}"/>
    <cellStyle name="20% - Accent4 2 3 2 2 3 4 2" xfId="3678" xr:uid="{00000000-0005-0000-0000-00005A0E0000}"/>
    <cellStyle name="20% - Accent4 2 3 2 2 3 5" xfId="3679" xr:uid="{00000000-0005-0000-0000-00005B0E0000}"/>
    <cellStyle name="20% - Accent4 2 3 2 2 4" xfId="3680" xr:uid="{00000000-0005-0000-0000-00005C0E0000}"/>
    <cellStyle name="20% - Accent4 2 3 2 2 4 2" xfId="3681" xr:uid="{00000000-0005-0000-0000-00005D0E0000}"/>
    <cellStyle name="20% - Accent4 2 3 2 2 4 2 2" xfId="3682" xr:uid="{00000000-0005-0000-0000-00005E0E0000}"/>
    <cellStyle name="20% - Accent4 2 3 2 2 4 2 2 2" xfId="3683" xr:uid="{00000000-0005-0000-0000-00005F0E0000}"/>
    <cellStyle name="20% - Accent4 2 3 2 2 4 2 3" xfId="3684" xr:uid="{00000000-0005-0000-0000-0000600E0000}"/>
    <cellStyle name="20% - Accent4 2 3 2 2 4 3" xfId="3685" xr:uid="{00000000-0005-0000-0000-0000610E0000}"/>
    <cellStyle name="20% - Accent4 2 3 2 2 4 3 2" xfId="3686" xr:uid="{00000000-0005-0000-0000-0000620E0000}"/>
    <cellStyle name="20% - Accent4 2 3 2 2 4 4" xfId="3687" xr:uid="{00000000-0005-0000-0000-0000630E0000}"/>
    <cellStyle name="20% - Accent4 2 3 2 2 5" xfId="3688" xr:uid="{00000000-0005-0000-0000-0000640E0000}"/>
    <cellStyle name="20% - Accent4 2 3 2 2 5 2" xfId="3689" xr:uid="{00000000-0005-0000-0000-0000650E0000}"/>
    <cellStyle name="20% - Accent4 2 3 2 2 5 2 2" xfId="3690" xr:uid="{00000000-0005-0000-0000-0000660E0000}"/>
    <cellStyle name="20% - Accent4 2 3 2 2 5 3" xfId="3691" xr:uid="{00000000-0005-0000-0000-0000670E0000}"/>
    <cellStyle name="20% - Accent4 2 3 2 2 6" xfId="3692" xr:uid="{00000000-0005-0000-0000-0000680E0000}"/>
    <cellStyle name="20% - Accent4 2 3 2 2 6 2" xfId="3693" xr:uid="{00000000-0005-0000-0000-0000690E0000}"/>
    <cellStyle name="20% - Accent4 2 3 2 2 7" xfId="3694" xr:uid="{00000000-0005-0000-0000-00006A0E0000}"/>
    <cellStyle name="20% - Accent4 2 3 2 3" xfId="3695" xr:uid="{00000000-0005-0000-0000-00006B0E0000}"/>
    <cellStyle name="20% - Accent4 2 3 2 3 2" xfId="3696" xr:uid="{00000000-0005-0000-0000-00006C0E0000}"/>
    <cellStyle name="20% - Accent4 2 3 2 3 2 2" xfId="3697" xr:uid="{00000000-0005-0000-0000-00006D0E0000}"/>
    <cellStyle name="20% - Accent4 2 3 2 3 2 2 2" xfId="3698" xr:uid="{00000000-0005-0000-0000-00006E0E0000}"/>
    <cellStyle name="20% - Accent4 2 3 2 3 2 2 2 2" xfId="3699" xr:uid="{00000000-0005-0000-0000-00006F0E0000}"/>
    <cellStyle name="20% - Accent4 2 3 2 3 2 2 2 2 2" xfId="3700" xr:uid="{00000000-0005-0000-0000-0000700E0000}"/>
    <cellStyle name="20% - Accent4 2 3 2 3 2 2 2 3" xfId="3701" xr:uid="{00000000-0005-0000-0000-0000710E0000}"/>
    <cellStyle name="20% - Accent4 2 3 2 3 2 2 3" xfId="3702" xr:uid="{00000000-0005-0000-0000-0000720E0000}"/>
    <cellStyle name="20% - Accent4 2 3 2 3 2 2 3 2" xfId="3703" xr:uid="{00000000-0005-0000-0000-0000730E0000}"/>
    <cellStyle name="20% - Accent4 2 3 2 3 2 2 4" xfId="3704" xr:uid="{00000000-0005-0000-0000-0000740E0000}"/>
    <cellStyle name="20% - Accent4 2 3 2 3 2 3" xfId="3705" xr:uid="{00000000-0005-0000-0000-0000750E0000}"/>
    <cellStyle name="20% - Accent4 2 3 2 3 2 3 2" xfId="3706" xr:uid="{00000000-0005-0000-0000-0000760E0000}"/>
    <cellStyle name="20% - Accent4 2 3 2 3 2 3 2 2" xfId="3707" xr:uid="{00000000-0005-0000-0000-0000770E0000}"/>
    <cellStyle name="20% - Accent4 2 3 2 3 2 3 3" xfId="3708" xr:uid="{00000000-0005-0000-0000-0000780E0000}"/>
    <cellStyle name="20% - Accent4 2 3 2 3 2 4" xfId="3709" xr:uid="{00000000-0005-0000-0000-0000790E0000}"/>
    <cellStyle name="20% - Accent4 2 3 2 3 2 4 2" xfId="3710" xr:uid="{00000000-0005-0000-0000-00007A0E0000}"/>
    <cellStyle name="20% - Accent4 2 3 2 3 2 5" xfId="3711" xr:uid="{00000000-0005-0000-0000-00007B0E0000}"/>
    <cellStyle name="20% - Accent4 2 3 2 3 3" xfId="3712" xr:uid="{00000000-0005-0000-0000-00007C0E0000}"/>
    <cellStyle name="20% - Accent4 2 3 2 3 3 2" xfId="3713" xr:uid="{00000000-0005-0000-0000-00007D0E0000}"/>
    <cellStyle name="20% - Accent4 2 3 2 3 3 2 2" xfId="3714" xr:uid="{00000000-0005-0000-0000-00007E0E0000}"/>
    <cellStyle name="20% - Accent4 2 3 2 3 3 2 2 2" xfId="3715" xr:uid="{00000000-0005-0000-0000-00007F0E0000}"/>
    <cellStyle name="20% - Accent4 2 3 2 3 3 2 3" xfId="3716" xr:uid="{00000000-0005-0000-0000-0000800E0000}"/>
    <cellStyle name="20% - Accent4 2 3 2 3 3 3" xfId="3717" xr:uid="{00000000-0005-0000-0000-0000810E0000}"/>
    <cellStyle name="20% - Accent4 2 3 2 3 3 3 2" xfId="3718" xr:uid="{00000000-0005-0000-0000-0000820E0000}"/>
    <cellStyle name="20% - Accent4 2 3 2 3 3 4" xfId="3719" xr:uid="{00000000-0005-0000-0000-0000830E0000}"/>
    <cellStyle name="20% - Accent4 2 3 2 3 4" xfId="3720" xr:uid="{00000000-0005-0000-0000-0000840E0000}"/>
    <cellStyle name="20% - Accent4 2 3 2 3 4 2" xfId="3721" xr:uid="{00000000-0005-0000-0000-0000850E0000}"/>
    <cellStyle name="20% - Accent4 2 3 2 3 4 2 2" xfId="3722" xr:uid="{00000000-0005-0000-0000-0000860E0000}"/>
    <cellStyle name="20% - Accent4 2 3 2 3 4 3" xfId="3723" xr:uid="{00000000-0005-0000-0000-0000870E0000}"/>
    <cellStyle name="20% - Accent4 2 3 2 3 5" xfId="3724" xr:uid="{00000000-0005-0000-0000-0000880E0000}"/>
    <cellStyle name="20% - Accent4 2 3 2 3 5 2" xfId="3725" xr:uid="{00000000-0005-0000-0000-0000890E0000}"/>
    <cellStyle name="20% - Accent4 2 3 2 3 6" xfId="3726" xr:uid="{00000000-0005-0000-0000-00008A0E0000}"/>
    <cellStyle name="20% - Accent4 2 3 2 4" xfId="3727" xr:uid="{00000000-0005-0000-0000-00008B0E0000}"/>
    <cellStyle name="20% - Accent4 2 3 2 4 2" xfId="3728" xr:uid="{00000000-0005-0000-0000-00008C0E0000}"/>
    <cellStyle name="20% - Accent4 2 3 2 4 2 2" xfId="3729" xr:uid="{00000000-0005-0000-0000-00008D0E0000}"/>
    <cellStyle name="20% - Accent4 2 3 2 4 2 2 2" xfId="3730" xr:uid="{00000000-0005-0000-0000-00008E0E0000}"/>
    <cellStyle name="20% - Accent4 2 3 2 4 2 2 2 2" xfId="3731" xr:uid="{00000000-0005-0000-0000-00008F0E0000}"/>
    <cellStyle name="20% - Accent4 2 3 2 4 2 2 3" xfId="3732" xr:uid="{00000000-0005-0000-0000-0000900E0000}"/>
    <cellStyle name="20% - Accent4 2 3 2 4 2 3" xfId="3733" xr:uid="{00000000-0005-0000-0000-0000910E0000}"/>
    <cellStyle name="20% - Accent4 2 3 2 4 2 3 2" xfId="3734" xr:uid="{00000000-0005-0000-0000-0000920E0000}"/>
    <cellStyle name="20% - Accent4 2 3 2 4 2 4" xfId="3735" xr:uid="{00000000-0005-0000-0000-0000930E0000}"/>
    <cellStyle name="20% - Accent4 2 3 2 4 3" xfId="3736" xr:uid="{00000000-0005-0000-0000-0000940E0000}"/>
    <cellStyle name="20% - Accent4 2 3 2 4 3 2" xfId="3737" xr:uid="{00000000-0005-0000-0000-0000950E0000}"/>
    <cellStyle name="20% - Accent4 2 3 2 4 3 2 2" xfId="3738" xr:uid="{00000000-0005-0000-0000-0000960E0000}"/>
    <cellStyle name="20% - Accent4 2 3 2 4 3 3" xfId="3739" xr:uid="{00000000-0005-0000-0000-0000970E0000}"/>
    <cellStyle name="20% - Accent4 2 3 2 4 4" xfId="3740" xr:uid="{00000000-0005-0000-0000-0000980E0000}"/>
    <cellStyle name="20% - Accent4 2 3 2 4 4 2" xfId="3741" xr:uid="{00000000-0005-0000-0000-0000990E0000}"/>
    <cellStyle name="20% - Accent4 2 3 2 4 5" xfId="3742" xr:uid="{00000000-0005-0000-0000-00009A0E0000}"/>
    <cellStyle name="20% - Accent4 2 3 2 5" xfId="3743" xr:uid="{00000000-0005-0000-0000-00009B0E0000}"/>
    <cellStyle name="20% - Accent4 2 3 2 5 2" xfId="3744" xr:uid="{00000000-0005-0000-0000-00009C0E0000}"/>
    <cellStyle name="20% - Accent4 2 3 2 5 2 2" xfId="3745" xr:uid="{00000000-0005-0000-0000-00009D0E0000}"/>
    <cellStyle name="20% - Accent4 2 3 2 5 2 2 2" xfId="3746" xr:uid="{00000000-0005-0000-0000-00009E0E0000}"/>
    <cellStyle name="20% - Accent4 2 3 2 5 2 3" xfId="3747" xr:uid="{00000000-0005-0000-0000-00009F0E0000}"/>
    <cellStyle name="20% - Accent4 2 3 2 5 3" xfId="3748" xr:uid="{00000000-0005-0000-0000-0000A00E0000}"/>
    <cellStyle name="20% - Accent4 2 3 2 5 3 2" xfId="3749" xr:uid="{00000000-0005-0000-0000-0000A10E0000}"/>
    <cellStyle name="20% - Accent4 2 3 2 5 4" xfId="3750" xr:uid="{00000000-0005-0000-0000-0000A20E0000}"/>
    <cellStyle name="20% - Accent4 2 3 2 6" xfId="3751" xr:uid="{00000000-0005-0000-0000-0000A30E0000}"/>
    <cellStyle name="20% - Accent4 2 3 2 6 2" xfId="3752" xr:uid="{00000000-0005-0000-0000-0000A40E0000}"/>
    <cellStyle name="20% - Accent4 2 3 2 6 2 2" xfId="3753" xr:uid="{00000000-0005-0000-0000-0000A50E0000}"/>
    <cellStyle name="20% - Accent4 2 3 2 6 3" xfId="3754" xr:uid="{00000000-0005-0000-0000-0000A60E0000}"/>
    <cellStyle name="20% - Accent4 2 3 2 7" xfId="3755" xr:uid="{00000000-0005-0000-0000-0000A70E0000}"/>
    <cellStyle name="20% - Accent4 2 3 2 7 2" xfId="3756" xr:uid="{00000000-0005-0000-0000-0000A80E0000}"/>
    <cellStyle name="20% - Accent4 2 3 2 8" xfId="3757" xr:uid="{00000000-0005-0000-0000-0000A90E0000}"/>
    <cellStyle name="20% - Accent4 2 3 3" xfId="3758" xr:uid="{00000000-0005-0000-0000-0000AA0E0000}"/>
    <cellStyle name="20% - Accent4 2 3 3 2" xfId="3759" xr:uid="{00000000-0005-0000-0000-0000AB0E0000}"/>
    <cellStyle name="20% - Accent4 2 3 3 2 2" xfId="3760" xr:uid="{00000000-0005-0000-0000-0000AC0E0000}"/>
    <cellStyle name="20% - Accent4 2 3 3 2 2 2" xfId="3761" xr:uid="{00000000-0005-0000-0000-0000AD0E0000}"/>
    <cellStyle name="20% - Accent4 2 3 3 2 2 2 2" xfId="3762" xr:uid="{00000000-0005-0000-0000-0000AE0E0000}"/>
    <cellStyle name="20% - Accent4 2 3 3 2 2 2 2 2" xfId="3763" xr:uid="{00000000-0005-0000-0000-0000AF0E0000}"/>
    <cellStyle name="20% - Accent4 2 3 3 2 2 2 2 2 2" xfId="3764" xr:uid="{00000000-0005-0000-0000-0000B00E0000}"/>
    <cellStyle name="20% - Accent4 2 3 3 2 2 2 2 3" xfId="3765" xr:uid="{00000000-0005-0000-0000-0000B10E0000}"/>
    <cellStyle name="20% - Accent4 2 3 3 2 2 2 3" xfId="3766" xr:uid="{00000000-0005-0000-0000-0000B20E0000}"/>
    <cellStyle name="20% - Accent4 2 3 3 2 2 2 3 2" xfId="3767" xr:uid="{00000000-0005-0000-0000-0000B30E0000}"/>
    <cellStyle name="20% - Accent4 2 3 3 2 2 2 4" xfId="3768" xr:uid="{00000000-0005-0000-0000-0000B40E0000}"/>
    <cellStyle name="20% - Accent4 2 3 3 2 2 3" xfId="3769" xr:uid="{00000000-0005-0000-0000-0000B50E0000}"/>
    <cellStyle name="20% - Accent4 2 3 3 2 2 3 2" xfId="3770" xr:uid="{00000000-0005-0000-0000-0000B60E0000}"/>
    <cellStyle name="20% - Accent4 2 3 3 2 2 3 2 2" xfId="3771" xr:uid="{00000000-0005-0000-0000-0000B70E0000}"/>
    <cellStyle name="20% - Accent4 2 3 3 2 2 3 3" xfId="3772" xr:uid="{00000000-0005-0000-0000-0000B80E0000}"/>
    <cellStyle name="20% - Accent4 2 3 3 2 2 4" xfId="3773" xr:uid="{00000000-0005-0000-0000-0000B90E0000}"/>
    <cellStyle name="20% - Accent4 2 3 3 2 2 4 2" xfId="3774" xr:uid="{00000000-0005-0000-0000-0000BA0E0000}"/>
    <cellStyle name="20% - Accent4 2 3 3 2 2 5" xfId="3775" xr:uid="{00000000-0005-0000-0000-0000BB0E0000}"/>
    <cellStyle name="20% - Accent4 2 3 3 2 3" xfId="3776" xr:uid="{00000000-0005-0000-0000-0000BC0E0000}"/>
    <cellStyle name="20% - Accent4 2 3 3 2 3 2" xfId="3777" xr:uid="{00000000-0005-0000-0000-0000BD0E0000}"/>
    <cellStyle name="20% - Accent4 2 3 3 2 3 2 2" xfId="3778" xr:uid="{00000000-0005-0000-0000-0000BE0E0000}"/>
    <cellStyle name="20% - Accent4 2 3 3 2 3 2 2 2" xfId="3779" xr:uid="{00000000-0005-0000-0000-0000BF0E0000}"/>
    <cellStyle name="20% - Accent4 2 3 3 2 3 2 3" xfId="3780" xr:uid="{00000000-0005-0000-0000-0000C00E0000}"/>
    <cellStyle name="20% - Accent4 2 3 3 2 3 3" xfId="3781" xr:uid="{00000000-0005-0000-0000-0000C10E0000}"/>
    <cellStyle name="20% - Accent4 2 3 3 2 3 3 2" xfId="3782" xr:uid="{00000000-0005-0000-0000-0000C20E0000}"/>
    <cellStyle name="20% - Accent4 2 3 3 2 3 4" xfId="3783" xr:uid="{00000000-0005-0000-0000-0000C30E0000}"/>
    <cellStyle name="20% - Accent4 2 3 3 2 4" xfId="3784" xr:uid="{00000000-0005-0000-0000-0000C40E0000}"/>
    <cellStyle name="20% - Accent4 2 3 3 2 4 2" xfId="3785" xr:uid="{00000000-0005-0000-0000-0000C50E0000}"/>
    <cellStyle name="20% - Accent4 2 3 3 2 4 2 2" xfId="3786" xr:uid="{00000000-0005-0000-0000-0000C60E0000}"/>
    <cellStyle name="20% - Accent4 2 3 3 2 4 3" xfId="3787" xr:uid="{00000000-0005-0000-0000-0000C70E0000}"/>
    <cellStyle name="20% - Accent4 2 3 3 2 5" xfId="3788" xr:uid="{00000000-0005-0000-0000-0000C80E0000}"/>
    <cellStyle name="20% - Accent4 2 3 3 2 5 2" xfId="3789" xr:uid="{00000000-0005-0000-0000-0000C90E0000}"/>
    <cellStyle name="20% - Accent4 2 3 3 2 6" xfId="3790" xr:uid="{00000000-0005-0000-0000-0000CA0E0000}"/>
    <cellStyle name="20% - Accent4 2 3 3 3" xfId="3791" xr:uid="{00000000-0005-0000-0000-0000CB0E0000}"/>
    <cellStyle name="20% - Accent4 2 3 3 3 2" xfId="3792" xr:uid="{00000000-0005-0000-0000-0000CC0E0000}"/>
    <cellStyle name="20% - Accent4 2 3 3 3 2 2" xfId="3793" xr:uid="{00000000-0005-0000-0000-0000CD0E0000}"/>
    <cellStyle name="20% - Accent4 2 3 3 3 2 2 2" xfId="3794" xr:uid="{00000000-0005-0000-0000-0000CE0E0000}"/>
    <cellStyle name="20% - Accent4 2 3 3 3 2 2 2 2" xfId="3795" xr:uid="{00000000-0005-0000-0000-0000CF0E0000}"/>
    <cellStyle name="20% - Accent4 2 3 3 3 2 2 3" xfId="3796" xr:uid="{00000000-0005-0000-0000-0000D00E0000}"/>
    <cellStyle name="20% - Accent4 2 3 3 3 2 3" xfId="3797" xr:uid="{00000000-0005-0000-0000-0000D10E0000}"/>
    <cellStyle name="20% - Accent4 2 3 3 3 2 3 2" xfId="3798" xr:uid="{00000000-0005-0000-0000-0000D20E0000}"/>
    <cellStyle name="20% - Accent4 2 3 3 3 2 4" xfId="3799" xr:uid="{00000000-0005-0000-0000-0000D30E0000}"/>
    <cellStyle name="20% - Accent4 2 3 3 3 3" xfId="3800" xr:uid="{00000000-0005-0000-0000-0000D40E0000}"/>
    <cellStyle name="20% - Accent4 2 3 3 3 3 2" xfId="3801" xr:uid="{00000000-0005-0000-0000-0000D50E0000}"/>
    <cellStyle name="20% - Accent4 2 3 3 3 3 2 2" xfId="3802" xr:uid="{00000000-0005-0000-0000-0000D60E0000}"/>
    <cellStyle name="20% - Accent4 2 3 3 3 3 3" xfId="3803" xr:uid="{00000000-0005-0000-0000-0000D70E0000}"/>
    <cellStyle name="20% - Accent4 2 3 3 3 4" xfId="3804" xr:uid="{00000000-0005-0000-0000-0000D80E0000}"/>
    <cellStyle name="20% - Accent4 2 3 3 3 4 2" xfId="3805" xr:uid="{00000000-0005-0000-0000-0000D90E0000}"/>
    <cellStyle name="20% - Accent4 2 3 3 3 5" xfId="3806" xr:uid="{00000000-0005-0000-0000-0000DA0E0000}"/>
    <cellStyle name="20% - Accent4 2 3 3 4" xfId="3807" xr:uid="{00000000-0005-0000-0000-0000DB0E0000}"/>
    <cellStyle name="20% - Accent4 2 3 3 4 2" xfId="3808" xr:uid="{00000000-0005-0000-0000-0000DC0E0000}"/>
    <cellStyle name="20% - Accent4 2 3 3 4 2 2" xfId="3809" xr:uid="{00000000-0005-0000-0000-0000DD0E0000}"/>
    <cellStyle name="20% - Accent4 2 3 3 4 2 2 2" xfId="3810" xr:uid="{00000000-0005-0000-0000-0000DE0E0000}"/>
    <cellStyle name="20% - Accent4 2 3 3 4 2 3" xfId="3811" xr:uid="{00000000-0005-0000-0000-0000DF0E0000}"/>
    <cellStyle name="20% - Accent4 2 3 3 4 3" xfId="3812" xr:uid="{00000000-0005-0000-0000-0000E00E0000}"/>
    <cellStyle name="20% - Accent4 2 3 3 4 3 2" xfId="3813" xr:uid="{00000000-0005-0000-0000-0000E10E0000}"/>
    <cellStyle name="20% - Accent4 2 3 3 4 4" xfId="3814" xr:uid="{00000000-0005-0000-0000-0000E20E0000}"/>
    <cellStyle name="20% - Accent4 2 3 3 5" xfId="3815" xr:uid="{00000000-0005-0000-0000-0000E30E0000}"/>
    <cellStyle name="20% - Accent4 2 3 3 5 2" xfId="3816" xr:uid="{00000000-0005-0000-0000-0000E40E0000}"/>
    <cellStyle name="20% - Accent4 2 3 3 5 2 2" xfId="3817" xr:uid="{00000000-0005-0000-0000-0000E50E0000}"/>
    <cellStyle name="20% - Accent4 2 3 3 5 3" xfId="3818" xr:uid="{00000000-0005-0000-0000-0000E60E0000}"/>
    <cellStyle name="20% - Accent4 2 3 3 6" xfId="3819" xr:uid="{00000000-0005-0000-0000-0000E70E0000}"/>
    <cellStyle name="20% - Accent4 2 3 3 6 2" xfId="3820" xr:uid="{00000000-0005-0000-0000-0000E80E0000}"/>
    <cellStyle name="20% - Accent4 2 3 3 7" xfId="3821" xr:uid="{00000000-0005-0000-0000-0000E90E0000}"/>
    <cellStyle name="20% - Accent4 2 3 4" xfId="3822" xr:uid="{00000000-0005-0000-0000-0000EA0E0000}"/>
    <cellStyle name="20% - Accent4 2 3 4 2" xfId="3823" xr:uid="{00000000-0005-0000-0000-0000EB0E0000}"/>
    <cellStyle name="20% - Accent4 2 3 4 2 2" xfId="3824" xr:uid="{00000000-0005-0000-0000-0000EC0E0000}"/>
    <cellStyle name="20% - Accent4 2 3 4 2 2 2" xfId="3825" xr:uid="{00000000-0005-0000-0000-0000ED0E0000}"/>
    <cellStyle name="20% - Accent4 2 3 4 2 2 2 2" xfId="3826" xr:uid="{00000000-0005-0000-0000-0000EE0E0000}"/>
    <cellStyle name="20% - Accent4 2 3 4 2 2 2 2 2" xfId="3827" xr:uid="{00000000-0005-0000-0000-0000EF0E0000}"/>
    <cellStyle name="20% - Accent4 2 3 4 2 2 2 3" xfId="3828" xr:uid="{00000000-0005-0000-0000-0000F00E0000}"/>
    <cellStyle name="20% - Accent4 2 3 4 2 2 3" xfId="3829" xr:uid="{00000000-0005-0000-0000-0000F10E0000}"/>
    <cellStyle name="20% - Accent4 2 3 4 2 2 3 2" xfId="3830" xr:uid="{00000000-0005-0000-0000-0000F20E0000}"/>
    <cellStyle name="20% - Accent4 2 3 4 2 2 4" xfId="3831" xr:uid="{00000000-0005-0000-0000-0000F30E0000}"/>
    <cellStyle name="20% - Accent4 2 3 4 2 3" xfId="3832" xr:uid="{00000000-0005-0000-0000-0000F40E0000}"/>
    <cellStyle name="20% - Accent4 2 3 4 2 3 2" xfId="3833" xr:uid="{00000000-0005-0000-0000-0000F50E0000}"/>
    <cellStyle name="20% - Accent4 2 3 4 2 3 2 2" xfId="3834" xr:uid="{00000000-0005-0000-0000-0000F60E0000}"/>
    <cellStyle name="20% - Accent4 2 3 4 2 3 3" xfId="3835" xr:uid="{00000000-0005-0000-0000-0000F70E0000}"/>
    <cellStyle name="20% - Accent4 2 3 4 2 4" xfId="3836" xr:uid="{00000000-0005-0000-0000-0000F80E0000}"/>
    <cellStyle name="20% - Accent4 2 3 4 2 4 2" xfId="3837" xr:uid="{00000000-0005-0000-0000-0000F90E0000}"/>
    <cellStyle name="20% - Accent4 2 3 4 2 5" xfId="3838" xr:uid="{00000000-0005-0000-0000-0000FA0E0000}"/>
    <cellStyle name="20% - Accent4 2 3 4 3" xfId="3839" xr:uid="{00000000-0005-0000-0000-0000FB0E0000}"/>
    <cellStyle name="20% - Accent4 2 3 4 3 2" xfId="3840" xr:uid="{00000000-0005-0000-0000-0000FC0E0000}"/>
    <cellStyle name="20% - Accent4 2 3 4 3 2 2" xfId="3841" xr:uid="{00000000-0005-0000-0000-0000FD0E0000}"/>
    <cellStyle name="20% - Accent4 2 3 4 3 2 2 2" xfId="3842" xr:uid="{00000000-0005-0000-0000-0000FE0E0000}"/>
    <cellStyle name="20% - Accent4 2 3 4 3 2 3" xfId="3843" xr:uid="{00000000-0005-0000-0000-0000FF0E0000}"/>
    <cellStyle name="20% - Accent4 2 3 4 3 3" xfId="3844" xr:uid="{00000000-0005-0000-0000-0000000F0000}"/>
    <cellStyle name="20% - Accent4 2 3 4 3 3 2" xfId="3845" xr:uid="{00000000-0005-0000-0000-0000010F0000}"/>
    <cellStyle name="20% - Accent4 2 3 4 3 4" xfId="3846" xr:uid="{00000000-0005-0000-0000-0000020F0000}"/>
    <cellStyle name="20% - Accent4 2 3 4 4" xfId="3847" xr:uid="{00000000-0005-0000-0000-0000030F0000}"/>
    <cellStyle name="20% - Accent4 2 3 4 4 2" xfId="3848" xr:uid="{00000000-0005-0000-0000-0000040F0000}"/>
    <cellStyle name="20% - Accent4 2 3 4 4 2 2" xfId="3849" xr:uid="{00000000-0005-0000-0000-0000050F0000}"/>
    <cellStyle name="20% - Accent4 2 3 4 4 3" xfId="3850" xr:uid="{00000000-0005-0000-0000-0000060F0000}"/>
    <cellStyle name="20% - Accent4 2 3 4 5" xfId="3851" xr:uid="{00000000-0005-0000-0000-0000070F0000}"/>
    <cellStyle name="20% - Accent4 2 3 4 5 2" xfId="3852" xr:uid="{00000000-0005-0000-0000-0000080F0000}"/>
    <cellStyle name="20% - Accent4 2 3 4 6" xfId="3853" xr:uid="{00000000-0005-0000-0000-0000090F0000}"/>
    <cellStyle name="20% - Accent4 2 3 5" xfId="3854" xr:uid="{00000000-0005-0000-0000-00000A0F0000}"/>
    <cellStyle name="20% - Accent4 2 3 5 2" xfId="3855" xr:uid="{00000000-0005-0000-0000-00000B0F0000}"/>
    <cellStyle name="20% - Accent4 2 3 5 2 2" xfId="3856" xr:uid="{00000000-0005-0000-0000-00000C0F0000}"/>
    <cellStyle name="20% - Accent4 2 3 5 2 2 2" xfId="3857" xr:uid="{00000000-0005-0000-0000-00000D0F0000}"/>
    <cellStyle name="20% - Accent4 2 3 5 2 2 2 2" xfId="3858" xr:uid="{00000000-0005-0000-0000-00000E0F0000}"/>
    <cellStyle name="20% - Accent4 2 3 5 2 2 3" xfId="3859" xr:uid="{00000000-0005-0000-0000-00000F0F0000}"/>
    <cellStyle name="20% - Accent4 2 3 5 2 3" xfId="3860" xr:uid="{00000000-0005-0000-0000-0000100F0000}"/>
    <cellStyle name="20% - Accent4 2 3 5 2 3 2" xfId="3861" xr:uid="{00000000-0005-0000-0000-0000110F0000}"/>
    <cellStyle name="20% - Accent4 2 3 5 2 4" xfId="3862" xr:uid="{00000000-0005-0000-0000-0000120F0000}"/>
    <cellStyle name="20% - Accent4 2 3 5 3" xfId="3863" xr:uid="{00000000-0005-0000-0000-0000130F0000}"/>
    <cellStyle name="20% - Accent4 2 3 5 3 2" xfId="3864" xr:uid="{00000000-0005-0000-0000-0000140F0000}"/>
    <cellStyle name="20% - Accent4 2 3 5 3 2 2" xfId="3865" xr:uid="{00000000-0005-0000-0000-0000150F0000}"/>
    <cellStyle name="20% - Accent4 2 3 5 3 3" xfId="3866" xr:uid="{00000000-0005-0000-0000-0000160F0000}"/>
    <cellStyle name="20% - Accent4 2 3 5 4" xfId="3867" xr:uid="{00000000-0005-0000-0000-0000170F0000}"/>
    <cellStyle name="20% - Accent4 2 3 5 4 2" xfId="3868" xr:uid="{00000000-0005-0000-0000-0000180F0000}"/>
    <cellStyle name="20% - Accent4 2 3 5 5" xfId="3869" xr:uid="{00000000-0005-0000-0000-0000190F0000}"/>
    <cellStyle name="20% - Accent4 2 3 6" xfId="3870" xr:uid="{00000000-0005-0000-0000-00001A0F0000}"/>
    <cellStyle name="20% - Accent4 2 3 6 2" xfId="3871" xr:uid="{00000000-0005-0000-0000-00001B0F0000}"/>
    <cellStyle name="20% - Accent4 2 3 6 2 2" xfId="3872" xr:uid="{00000000-0005-0000-0000-00001C0F0000}"/>
    <cellStyle name="20% - Accent4 2 3 6 2 2 2" xfId="3873" xr:uid="{00000000-0005-0000-0000-00001D0F0000}"/>
    <cellStyle name="20% - Accent4 2 3 6 2 3" xfId="3874" xr:uid="{00000000-0005-0000-0000-00001E0F0000}"/>
    <cellStyle name="20% - Accent4 2 3 6 3" xfId="3875" xr:uid="{00000000-0005-0000-0000-00001F0F0000}"/>
    <cellStyle name="20% - Accent4 2 3 6 3 2" xfId="3876" xr:uid="{00000000-0005-0000-0000-0000200F0000}"/>
    <cellStyle name="20% - Accent4 2 3 6 4" xfId="3877" xr:uid="{00000000-0005-0000-0000-0000210F0000}"/>
    <cellStyle name="20% - Accent4 2 3 7" xfId="3878" xr:uid="{00000000-0005-0000-0000-0000220F0000}"/>
    <cellStyle name="20% - Accent4 2 3 7 2" xfId="3879" xr:uid="{00000000-0005-0000-0000-0000230F0000}"/>
    <cellStyle name="20% - Accent4 2 3 7 2 2" xfId="3880" xr:uid="{00000000-0005-0000-0000-0000240F0000}"/>
    <cellStyle name="20% - Accent4 2 3 7 3" xfId="3881" xr:uid="{00000000-0005-0000-0000-0000250F0000}"/>
    <cellStyle name="20% - Accent4 2 3 8" xfId="3882" xr:uid="{00000000-0005-0000-0000-0000260F0000}"/>
    <cellStyle name="20% - Accent4 2 3 8 2" xfId="3883" xr:uid="{00000000-0005-0000-0000-0000270F0000}"/>
    <cellStyle name="20% - Accent4 2 3 9" xfId="3884" xr:uid="{00000000-0005-0000-0000-0000280F0000}"/>
    <cellStyle name="20% - Accent4 2 4" xfId="3885" xr:uid="{00000000-0005-0000-0000-0000290F0000}"/>
    <cellStyle name="20% - Accent4 2 4 2" xfId="3886" xr:uid="{00000000-0005-0000-0000-00002A0F0000}"/>
    <cellStyle name="20% - Accent4 2 4 2 2" xfId="3887" xr:uid="{00000000-0005-0000-0000-00002B0F0000}"/>
    <cellStyle name="20% - Accent4 2 4 2 2 2" xfId="3888" xr:uid="{00000000-0005-0000-0000-00002C0F0000}"/>
    <cellStyle name="20% - Accent4 2 4 2 2 2 2" xfId="3889" xr:uid="{00000000-0005-0000-0000-00002D0F0000}"/>
    <cellStyle name="20% - Accent4 2 4 2 2 2 2 2" xfId="3890" xr:uid="{00000000-0005-0000-0000-00002E0F0000}"/>
    <cellStyle name="20% - Accent4 2 4 2 2 2 2 2 2" xfId="3891" xr:uid="{00000000-0005-0000-0000-00002F0F0000}"/>
    <cellStyle name="20% - Accent4 2 4 2 2 2 2 2 2 2" xfId="3892" xr:uid="{00000000-0005-0000-0000-0000300F0000}"/>
    <cellStyle name="20% - Accent4 2 4 2 2 2 2 2 3" xfId="3893" xr:uid="{00000000-0005-0000-0000-0000310F0000}"/>
    <cellStyle name="20% - Accent4 2 4 2 2 2 2 3" xfId="3894" xr:uid="{00000000-0005-0000-0000-0000320F0000}"/>
    <cellStyle name="20% - Accent4 2 4 2 2 2 2 3 2" xfId="3895" xr:uid="{00000000-0005-0000-0000-0000330F0000}"/>
    <cellStyle name="20% - Accent4 2 4 2 2 2 2 4" xfId="3896" xr:uid="{00000000-0005-0000-0000-0000340F0000}"/>
    <cellStyle name="20% - Accent4 2 4 2 2 2 3" xfId="3897" xr:uid="{00000000-0005-0000-0000-0000350F0000}"/>
    <cellStyle name="20% - Accent4 2 4 2 2 2 3 2" xfId="3898" xr:uid="{00000000-0005-0000-0000-0000360F0000}"/>
    <cellStyle name="20% - Accent4 2 4 2 2 2 3 2 2" xfId="3899" xr:uid="{00000000-0005-0000-0000-0000370F0000}"/>
    <cellStyle name="20% - Accent4 2 4 2 2 2 3 3" xfId="3900" xr:uid="{00000000-0005-0000-0000-0000380F0000}"/>
    <cellStyle name="20% - Accent4 2 4 2 2 2 4" xfId="3901" xr:uid="{00000000-0005-0000-0000-0000390F0000}"/>
    <cellStyle name="20% - Accent4 2 4 2 2 2 4 2" xfId="3902" xr:uid="{00000000-0005-0000-0000-00003A0F0000}"/>
    <cellStyle name="20% - Accent4 2 4 2 2 2 5" xfId="3903" xr:uid="{00000000-0005-0000-0000-00003B0F0000}"/>
    <cellStyle name="20% - Accent4 2 4 2 2 3" xfId="3904" xr:uid="{00000000-0005-0000-0000-00003C0F0000}"/>
    <cellStyle name="20% - Accent4 2 4 2 2 3 2" xfId="3905" xr:uid="{00000000-0005-0000-0000-00003D0F0000}"/>
    <cellStyle name="20% - Accent4 2 4 2 2 3 2 2" xfId="3906" xr:uid="{00000000-0005-0000-0000-00003E0F0000}"/>
    <cellStyle name="20% - Accent4 2 4 2 2 3 2 2 2" xfId="3907" xr:uid="{00000000-0005-0000-0000-00003F0F0000}"/>
    <cellStyle name="20% - Accent4 2 4 2 2 3 2 3" xfId="3908" xr:uid="{00000000-0005-0000-0000-0000400F0000}"/>
    <cellStyle name="20% - Accent4 2 4 2 2 3 3" xfId="3909" xr:uid="{00000000-0005-0000-0000-0000410F0000}"/>
    <cellStyle name="20% - Accent4 2 4 2 2 3 3 2" xfId="3910" xr:uid="{00000000-0005-0000-0000-0000420F0000}"/>
    <cellStyle name="20% - Accent4 2 4 2 2 3 4" xfId="3911" xr:uid="{00000000-0005-0000-0000-0000430F0000}"/>
    <cellStyle name="20% - Accent4 2 4 2 2 4" xfId="3912" xr:uid="{00000000-0005-0000-0000-0000440F0000}"/>
    <cellStyle name="20% - Accent4 2 4 2 2 4 2" xfId="3913" xr:uid="{00000000-0005-0000-0000-0000450F0000}"/>
    <cellStyle name="20% - Accent4 2 4 2 2 4 2 2" xfId="3914" xr:uid="{00000000-0005-0000-0000-0000460F0000}"/>
    <cellStyle name="20% - Accent4 2 4 2 2 4 3" xfId="3915" xr:uid="{00000000-0005-0000-0000-0000470F0000}"/>
    <cellStyle name="20% - Accent4 2 4 2 2 5" xfId="3916" xr:uid="{00000000-0005-0000-0000-0000480F0000}"/>
    <cellStyle name="20% - Accent4 2 4 2 2 5 2" xfId="3917" xr:uid="{00000000-0005-0000-0000-0000490F0000}"/>
    <cellStyle name="20% - Accent4 2 4 2 2 6" xfId="3918" xr:uid="{00000000-0005-0000-0000-00004A0F0000}"/>
    <cellStyle name="20% - Accent4 2 4 2 3" xfId="3919" xr:uid="{00000000-0005-0000-0000-00004B0F0000}"/>
    <cellStyle name="20% - Accent4 2 4 2 3 2" xfId="3920" xr:uid="{00000000-0005-0000-0000-00004C0F0000}"/>
    <cellStyle name="20% - Accent4 2 4 2 3 2 2" xfId="3921" xr:uid="{00000000-0005-0000-0000-00004D0F0000}"/>
    <cellStyle name="20% - Accent4 2 4 2 3 2 2 2" xfId="3922" xr:uid="{00000000-0005-0000-0000-00004E0F0000}"/>
    <cellStyle name="20% - Accent4 2 4 2 3 2 2 2 2" xfId="3923" xr:uid="{00000000-0005-0000-0000-00004F0F0000}"/>
    <cellStyle name="20% - Accent4 2 4 2 3 2 2 3" xfId="3924" xr:uid="{00000000-0005-0000-0000-0000500F0000}"/>
    <cellStyle name="20% - Accent4 2 4 2 3 2 3" xfId="3925" xr:uid="{00000000-0005-0000-0000-0000510F0000}"/>
    <cellStyle name="20% - Accent4 2 4 2 3 2 3 2" xfId="3926" xr:uid="{00000000-0005-0000-0000-0000520F0000}"/>
    <cellStyle name="20% - Accent4 2 4 2 3 2 4" xfId="3927" xr:uid="{00000000-0005-0000-0000-0000530F0000}"/>
    <cellStyle name="20% - Accent4 2 4 2 3 3" xfId="3928" xr:uid="{00000000-0005-0000-0000-0000540F0000}"/>
    <cellStyle name="20% - Accent4 2 4 2 3 3 2" xfId="3929" xr:uid="{00000000-0005-0000-0000-0000550F0000}"/>
    <cellStyle name="20% - Accent4 2 4 2 3 3 2 2" xfId="3930" xr:uid="{00000000-0005-0000-0000-0000560F0000}"/>
    <cellStyle name="20% - Accent4 2 4 2 3 3 3" xfId="3931" xr:uid="{00000000-0005-0000-0000-0000570F0000}"/>
    <cellStyle name="20% - Accent4 2 4 2 3 4" xfId="3932" xr:uid="{00000000-0005-0000-0000-0000580F0000}"/>
    <cellStyle name="20% - Accent4 2 4 2 3 4 2" xfId="3933" xr:uid="{00000000-0005-0000-0000-0000590F0000}"/>
    <cellStyle name="20% - Accent4 2 4 2 3 5" xfId="3934" xr:uid="{00000000-0005-0000-0000-00005A0F0000}"/>
    <cellStyle name="20% - Accent4 2 4 2 4" xfId="3935" xr:uid="{00000000-0005-0000-0000-00005B0F0000}"/>
    <cellStyle name="20% - Accent4 2 4 2 4 2" xfId="3936" xr:uid="{00000000-0005-0000-0000-00005C0F0000}"/>
    <cellStyle name="20% - Accent4 2 4 2 4 2 2" xfId="3937" xr:uid="{00000000-0005-0000-0000-00005D0F0000}"/>
    <cellStyle name="20% - Accent4 2 4 2 4 2 2 2" xfId="3938" xr:uid="{00000000-0005-0000-0000-00005E0F0000}"/>
    <cellStyle name="20% - Accent4 2 4 2 4 2 3" xfId="3939" xr:uid="{00000000-0005-0000-0000-00005F0F0000}"/>
    <cellStyle name="20% - Accent4 2 4 2 4 3" xfId="3940" xr:uid="{00000000-0005-0000-0000-0000600F0000}"/>
    <cellStyle name="20% - Accent4 2 4 2 4 3 2" xfId="3941" xr:uid="{00000000-0005-0000-0000-0000610F0000}"/>
    <cellStyle name="20% - Accent4 2 4 2 4 4" xfId="3942" xr:uid="{00000000-0005-0000-0000-0000620F0000}"/>
    <cellStyle name="20% - Accent4 2 4 2 5" xfId="3943" xr:uid="{00000000-0005-0000-0000-0000630F0000}"/>
    <cellStyle name="20% - Accent4 2 4 2 5 2" xfId="3944" xr:uid="{00000000-0005-0000-0000-0000640F0000}"/>
    <cellStyle name="20% - Accent4 2 4 2 5 2 2" xfId="3945" xr:uid="{00000000-0005-0000-0000-0000650F0000}"/>
    <cellStyle name="20% - Accent4 2 4 2 5 3" xfId="3946" xr:uid="{00000000-0005-0000-0000-0000660F0000}"/>
    <cellStyle name="20% - Accent4 2 4 2 6" xfId="3947" xr:uid="{00000000-0005-0000-0000-0000670F0000}"/>
    <cellStyle name="20% - Accent4 2 4 2 6 2" xfId="3948" xr:uid="{00000000-0005-0000-0000-0000680F0000}"/>
    <cellStyle name="20% - Accent4 2 4 2 7" xfId="3949" xr:uid="{00000000-0005-0000-0000-0000690F0000}"/>
    <cellStyle name="20% - Accent4 2 4 3" xfId="3950" xr:uid="{00000000-0005-0000-0000-00006A0F0000}"/>
    <cellStyle name="20% - Accent4 2 4 3 2" xfId="3951" xr:uid="{00000000-0005-0000-0000-00006B0F0000}"/>
    <cellStyle name="20% - Accent4 2 4 3 2 2" xfId="3952" xr:uid="{00000000-0005-0000-0000-00006C0F0000}"/>
    <cellStyle name="20% - Accent4 2 4 3 2 2 2" xfId="3953" xr:uid="{00000000-0005-0000-0000-00006D0F0000}"/>
    <cellStyle name="20% - Accent4 2 4 3 2 2 2 2" xfId="3954" xr:uid="{00000000-0005-0000-0000-00006E0F0000}"/>
    <cellStyle name="20% - Accent4 2 4 3 2 2 2 2 2" xfId="3955" xr:uid="{00000000-0005-0000-0000-00006F0F0000}"/>
    <cellStyle name="20% - Accent4 2 4 3 2 2 2 3" xfId="3956" xr:uid="{00000000-0005-0000-0000-0000700F0000}"/>
    <cellStyle name="20% - Accent4 2 4 3 2 2 3" xfId="3957" xr:uid="{00000000-0005-0000-0000-0000710F0000}"/>
    <cellStyle name="20% - Accent4 2 4 3 2 2 3 2" xfId="3958" xr:uid="{00000000-0005-0000-0000-0000720F0000}"/>
    <cellStyle name="20% - Accent4 2 4 3 2 2 4" xfId="3959" xr:uid="{00000000-0005-0000-0000-0000730F0000}"/>
    <cellStyle name="20% - Accent4 2 4 3 2 3" xfId="3960" xr:uid="{00000000-0005-0000-0000-0000740F0000}"/>
    <cellStyle name="20% - Accent4 2 4 3 2 3 2" xfId="3961" xr:uid="{00000000-0005-0000-0000-0000750F0000}"/>
    <cellStyle name="20% - Accent4 2 4 3 2 3 2 2" xfId="3962" xr:uid="{00000000-0005-0000-0000-0000760F0000}"/>
    <cellStyle name="20% - Accent4 2 4 3 2 3 3" xfId="3963" xr:uid="{00000000-0005-0000-0000-0000770F0000}"/>
    <cellStyle name="20% - Accent4 2 4 3 2 4" xfId="3964" xr:uid="{00000000-0005-0000-0000-0000780F0000}"/>
    <cellStyle name="20% - Accent4 2 4 3 2 4 2" xfId="3965" xr:uid="{00000000-0005-0000-0000-0000790F0000}"/>
    <cellStyle name="20% - Accent4 2 4 3 2 5" xfId="3966" xr:uid="{00000000-0005-0000-0000-00007A0F0000}"/>
    <cellStyle name="20% - Accent4 2 4 3 3" xfId="3967" xr:uid="{00000000-0005-0000-0000-00007B0F0000}"/>
    <cellStyle name="20% - Accent4 2 4 3 3 2" xfId="3968" xr:uid="{00000000-0005-0000-0000-00007C0F0000}"/>
    <cellStyle name="20% - Accent4 2 4 3 3 2 2" xfId="3969" xr:uid="{00000000-0005-0000-0000-00007D0F0000}"/>
    <cellStyle name="20% - Accent4 2 4 3 3 2 2 2" xfId="3970" xr:uid="{00000000-0005-0000-0000-00007E0F0000}"/>
    <cellStyle name="20% - Accent4 2 4 3 3 2 3" xfId="3971" xr:uid="{00000000-0005-0000-0000-00007F0F0000}"/>
    <cellStyle name="20% - Accent4 2 4 3 3 3" xfId="3972" xr:uid="{00000000-0005-0000-0000-0000800F0000}"/>
    <cellStyle name="20% - Accent4 2 4 3 3 3 2" xfId="3973" xr:uid="{00000000-0005-0000-0000-0000810F0000}"/>
    <cellStyle name="20% - Accent4 2 4 3 3 4" xfId="3974" xr:uid="{00000000-0005-0000-0000-0000820F0000}"/>
    <cellStyle name="20% - Accent4 2 4 3 4" xfId="3975" xr:uid="{00000000-0005-0000-0000-0000830F0000}"/>
    <cellStyle name="20% - Accent4 2 4 3 4 2" xfId="3976" xr:uid="{00000000-0005-0000-0000-0000840F0000}"/>
    <cellStyle name="20% - Accent4 2 4 3 4 2 2" xfId="3977" xr:uid="{00000000-0005-0000-0000-0000850F0000}"/>
    <cellStyle name="20% - Accent4 2 4 3 4 3" xfId="3978" xr:uid="{00000000-0005-0000-0000-0000860F0000}"/>
    <cellStyle name="20% - Accent4 2 4 3 5" xfId="3979" xr:uid="{00000000-0005-0000-0000-0000870F0000}"/>
    <cellStyle name="20% - Accent4 2 4 3 5 2" xfId="3980" xr:uid="{00000000-0005-0000-0000-0000880F0000}"/>
    <cellStyle name="20% - Accent4 2 4 3 6" xfId="3981" xr:uid="{00000000-0005-0000-0000-0000890F0000}"/>
    <cellStyle name="20% - Accent4 2 4 4" xfId="3982" xr:uid="{00000000-0005-0000-0000-00008A0F0000}"/>
    <cellStyle name="20% - Accent4 2 4 4 2" xfId="3983" xr:uid="{00000000-0005-0000-0000-00008B0F0000}"/>
    <cellStyle name="20% - Accent4 2 4 4 2 2" xfId="3984" xr:uid="{00000000-0005-0000-0000-00008C0F0000}"/>
    <cellStyle name="20% - Accent4 2 4 4 2 2 2" xfId="3985" xr:uid="{00000000-0005-0000-0000-00008D0F0000}"/>
    <cellStyle name="20% - Accent4 2 4 4 2 2 2 2" xfId="3986" xr:uid="{00000000-0005-0000-0000-00008E0F0000}"/>
    <cellStyle name="20% - Accent4 2 4 4 2 2 3" xfId="3987" xr:uid="{00000000-0005-0000-0000-00008F0F0000}"/>
    <cellStyle name="20% - Accent4 2 4 4 2 3" xfId="3988" xr:uid="{00000000-0005-0000-0000-0000900F0000}"/>
    <cellStyle name="20% - Accent4 2 4 4 2 3 2" xfId="3989" xr:uid="{00000000-0005-0000-0000-0000910F0000}"/>
    <cellStyle name="20% - Accent4 2 4 4 2 4" xfId="3990" xr:uid="{00000000-0005-0000-0000-0000920F0000}"/>
    <cellStyle name="20% - Accent4 2 4 4 3" xfId="3991" xr:uid="{00000000-0005-0000-0000-0000930F0000}"/>
    <cellStyle name="20% - Accent4 2 4 4 3 2" xfId="3992" xr:uid="{00000000-0005-0000-0000-0000940F0000}"/>
    <cellStyle name="20% - Accent4 2 4 4 3 2 2" xfId="3993" xr:uid="{00000000-0005-0000-0000-0000950F0000}"/>
    <cellStyle name="20% - Accent4 2 4 4 3 3" xfId="3994" xr:uid="{00000000-0005-0000-0000-0000960F0000}"/>
    <cellStyle name="20% - Accent4 2 4 4 4" xfId="3995" xr:uid="{00000000-0005-0000-0000-0000970F0000}"/>
    <cellStyle name="20% - Accent4 2 4 4 4 2" xfId="3996" xr:uid="{00000000-0005-0000-0000-0000980F0000}"/>
    <cellStyle name="20% - Accent4 2 4 4 5" xfId="3997" xr:uid="{00000000-0005-0000-0000-0000990F0000}"/>
    <cellStyle name="20% - Accent4 2 4 5" xfId="3998" xr:uid="{00000000-0005-0000-0000-00009A0F0000}"/>
    <cellStyle name="20% - Accent4 2 4 5 2" xfId="3999" xr:uid="{00000000-0005-0000-0000-00009B0F0000}"/>
    <cellStyle name="20% - Accent4 2 4 5 2 2" xfId="4000" xr:uid="{00000000-0005-0000-0000-00009C0F0000}"/>
    <cellStyle name="20% - Accent4 2 4 5 2 2 2" xfId="4001" xr:uid="{00000000-0005-0000-0000-00009D0F0000}"/>
    <cellStyle name="20% - Accent4 2 4 5 2 3" xfId="4002" xr:uid="{00000000-0005-0000-0000-00009E0F0000}"/>
    <cellStyle name="20% - Accent4 2 4 5 3" xfId="4003" xr:uid="{00000000-0005-0000-0000-00009F0F0000}"/>
    <cellStyle name="20% - Accent4 2 4 5 3 2" xfId="4004" xr:uid="{00000000-0005-0000-0000-0000A00F0000}"/>
    <cellStyle name="20% - Accent4 2 4 5 4" xfId="4005" xr:uid="{00000000-0005-0000-0000-0000A10F0000}"/>
    <cellStyle name="20% - Accent4 2 4 6" xfId="4006" xr:uid="{00000000-0005-0000-0000-0000A20F0000}"/>
    <cellStyle name="20% - Accent4 2 4 6 2" xfId="4007" xr:uid="{00000000-0005-0000-0000-0000A30F0000}"/>
    <cellStyle name="20% - Accent4 2 4 6 2 2" xfId="4008" xr:uid="{00000000-0005-0000-0000-0000A40F0000}"/>
    <cellStyle name="20% - Accent4 2 4 6 3" xfId="4009" xr:uid="{00000000-0005-0000-0000-0000A50F0000}"/>
    <cellStyle name="20% - Accent4 2 4 7" xfId="4010" xr:uid="{00000000-0005-0000-0000-0000A60F0000}"/>
    <cellStyle name="20% - Accent4 2 4 7 2" xfId="4011" xr:uid="{00000000-0005-0000-0000-0000A70F0000}"/>
    <cellStyle name="20% - Accent4 2 4 8" xfId="4012" xr:uid="{00000000-0005-0000-0000-0000A80F0000}"/>
    <cellStyle name="20% - Accent4 2 5" xfId="4013" xr:uid="{00000000-0005-0000-0000-0000A90F0000}"/>
    <cellStyle name="20% - Accent4 2 5 2" xfId="4014" xr:uid="{00000000-0005-0000-0000-0000AA0F0000}"/>
    <cellStyle name="20% - Accent4 2 5 2 2" xfId="4015" xr:uid="{00000000-0005-0000-0000-0000AB0F0000}"/>
    <cellStyle name="20% - Accent4 2 5 2 2 2" xfId="4016" xr:uid="{00000000-0005-0000-0000-0000AC0F0000}"/>
    <cellStyle name="20% - Accent4 2 5 2 2 2 2" xfId="4017" xr:uid="{00000000-0005-0000-0000-0000AD0F0000}"/>
    <cellStyle name="20% - Accent4 2 5 2 2 2 2 2" xfId="4018" xr:uid="{00000000-0005-0000-0000-0000AE0F0000}"/>
    <cellStyle name="20% - Accent4 2 5 2 2 2 2 2 2" xfId="4019" xr:uid="{00000000-0005-0000-0000-0000AF0F0000}"/>
    <cellStyle name="20% - Accent4 2 5 2 2 2 2 3" xfId="4020" xr:uid="{00000000-0005-0000-0000-0000B00F0000}"/>
    <cellStyle name="20% - Accent4 2 5 2 2 2 3" xfId="4021" xr:uid="{00000000-0005-0000-0000-0000B10F0000}"/>
    <cellStyle name="20% - Accent4 2 5 2 2 2 3 2" xfId="4022" xr:uid="{00000000-0005-0000-0000-0000B20F0000}"/>
    <cellStyle name="20% - Accent4 2 5 2 2 2 4" xfId="4023" xr:uid="{00000000-0005-0000-0000-0000B30F0000}"/>
    <cellStyle name="20% - Accent4 2 5 2 2 3" xfId="4024" xr:uid="{00000000-0005-0000-0000-0000B40F0000}"/>
    <cellStyle name="20% - Accent4 2 5 2 2 3 2" xfId="4025" xr:uid="{00000000-0005-0000-0000-0000B50F0000}"/>
    <cellStyle name="20% - Accent4 2 5 2 2 3 2 2" xfId="4026" xr:uid="{00000000-0005-0000-0000-0000B60F0000}"/>
    <cellStyle name="20% - Accent4 2 5 2 2 3 3" xfId="4027" xr:uid="{00000000-0005-0000-0000-0000B70F0000}"/>
    <cellStyle name="20% - Accent4 2 5 2 2 4" xfId="4028" xr:uid="{00000000-0005-0000-0000-0000B80F0000}"/>
    <cellStyle name="20% - Accent4 2 5 2 2 4 2" xfId="4029" xr:uid="{00000000-0005-0000-0000-0000B90F0000}"/>
    <cellStyle name="20% - Accent4 2 5 2 2 5" xfId="4030" xr:uid="{00000000-0005-0000-0000-0000BA0F0000}"/>
    <cellStyle name="20% - Accent4 2 5 2 3" xfId="4031" xr:uid="{00000000-0005-0000-0000-0000BB0F0000}"/>
    <cellStyle name="20% - Accent4 2 5 2 3 2" xfId="4032" xr:uid="{00000000-0005-0000-0000-0000BC0F0000}"/>
    <cellStyle name="20% - Accent4 2 5 2 3 2 2" xfId="4033" xr:uid="{00000000-0005-0000-0000-0000BD0F0000}"/>
    <cellStyle name="20% - Accent4 2 5 2 3 2 2 2" xfId="4034" xr:uid="{00000000-0005-0000-0000-0000BE0F0000}"/>
    <cellStyle name="20% - Accent4 2 5 2 3 2 3" xfId="4035" xr:uid="{00000000-0005-0000-0000-0000BF0F0000}"/>
    <cellStyle name="20% - Accent4 2 5 2 3 3" xfId="4036" xr:uid="{00000000-0005-0000-0000-0000C00F0000}"/>
    <cellStyle name="20% - Accent4 2 5 2 3 3 2" xfId="4037" xr:uid="{00000000-0005-0000-0000-0000C10F0000}"/>
    <cellStyle name="20% - Accent4 2 5 2 3 4" xfId="4038" xr:uid="{00000000-0005-0000-0000-0000C20F0000}"/>
    <cellStyle name="20% - Accent4 2 5 2 4" xfId="4039" xr:uid="{00000000-0005-0000-0000-0000C30F0000}"/>
    <cellStyle name="20% - Accent4 2 5 2 4 2" xfId="4040" xr:uid="{00000000-0005-0000-0000-0000C40F0000}"/>
    <cellStyle name="20% - Accent4 2 5 2 4 2 2" xfId="4041" xr:uid="{00000000-0005-0000-0000-0000C50F0000}"/>
    <cellStyle name="20% - Accent4 2 5 2 4 3" xfId="4042" xr:uid="{00000000-0005-0000-0000-0000C60F0000}"/>
    <cellStyle name="20% - Accent4 2 5 2 5" xfId="4043" xr:uid="{00000000-0005-0000-0000-0000C70F0000}"/>
    <cellStyle name="20% - Accent4 2 5 2 5 2" xfId="4044" xr:uid="{00000000-0005-0000-0000-0000C80F0000}"/>
    <cellStyle name="20% - Accent4 2 5 2 6" xfId="4045" xr:uid="{00000000-0005-0000-0000-0000C90F0000}"/>
    <cellStyle name="20% - Accent4 2 5 3" xfId="4046" xr:uid="{00000000-0005-0000-0000-0000CA0F0000}"/>
    <cellStyle name="20% - Accent4 2 5 3 2" xfId="4047" xr:uid="{00000000-0005-0000-0000-0000CB0F0000}"/>
    <cellStyle name="20% - Accent4 2 5 3 2 2" xfId="4048" xr:uid="{00000000-0005-0000-0000-0000CC0F0000}"/>
    <cellStyle name="20% - Accent4 2 5 3 2 2 2" xfId="4049" xr:uid="{00000000-0005-0000-0000-0000CD0F0000}"/>
    <cellStyle name="20% - Accent4 2 5 3 2 2 2 2" xfId="4050" xr:uid="{00000000-0005-0000-0000-0000CE0F0000}"/>
    <cellStyle name="20% - Accent4 2 5 3 2 2 3" xfId="4051" xr:uid="{00000000-0005-0000-0000-0000CF0F0000}"/>
    <cellStyle name="20% - Accent4 2 5 3 2 3" xfId="4052" xr:uid="{00000000-0005-0000-0000-0000D00F0000}"/>
    <cellStyle name="20% - Accent4 2 5 3 2 3 2" xfId="4053" xr:uid="{00000000-0005-0000-0000-0000D10F0000}"/>
    <cellStyle name="20% - Accent4 2 5 3 2 4" xfId="4054" xr:uid="{00000000-0005-0000-0000-0000D20F0000}"/>
    <cellStyle name="20% - Accent4 2 5 3 3" xfId="4055" xr:uid="{00000000-0005-0000-0000-0000D30F0000}"/>
    <cellStyle name="20% - Accent4 2 5 3 3 2" xfId="4056" xr:uid="{00000000-0005-0000-0000-0000D40F0000}"/>
    <cellStyle name="20% - Accent4 2 5 3 3 2 2" xfId="4057" xr:uid="{00000000-0005-0000-0000-0000D50F0000}"/>
    <cellStyle name="20% - Accent4 2 5 3 3 3" xfId="4058" xr:uid="{00000000-0005-0000-0000-0000D60F0000}"/>
    <cellStyle name="20% - Accent4 2 5 3 4" xfId="4059" xr:uid="{00000000-0005-0000-0000-0000D70F0000}"/>
    <cellStyle name="20% - Accent4 2 5 3 4 2" xfId="4060" xr:uid="{00000000-0005-0000-0000-0000D80F0000}"/>
    <cellStyle name="20% - Accent4 2 5 3 5" xfId="4061" xr:uid="{00000000-0005-0000-0000-0000D90F0000}"/>
    <cellStyle name="20% - Accent4 2 5 4" xfId="4062" xr:uid="{00000000-0005-0000-0000-0000DA0F0000}"/>
    <cellStyle name="20% - Accent4 2 5 4 2" xfId="4063" xr:uid="{00000000-0005-0000-0000-0000DB0F0000}"/>
    <cellStyle name="20% - Accent4 2 5 4 2 2" xfId="4064" xr:uid="{00000000-0005-0000-0000-0000DC0F0000}"/>
    <cellStyle name="20% - Accent4 2 5 4 2 2 2" xfId="4065" xr:uid="{00000000-0005-0000-0000-0000DD0F0000}"/>
    <cellStyle name="20% - Accent4 2 5 4 2 3" xfId="4066" xr:uid="{00000000-0005-0000-0000-0000DE0F0000}"/>
    <cellStyle name="20% - Accent4 2 5 4 3" xfId="4067" xr:uid="{00000000-0005-0000-0000-0000DF0F0000}"/>
    <cellStyle name="20% - Accent4 2 5 4 3 2" xfId="4068" xr:uid="{00000000-0005-0000-0000-0000E00F0000}"/>
    <cellStyle name="20% - Accent4 2 5 4 4" xfId="4069" xr:uid="{00000000-0005-0000-0000-0000E10F0000}"/>
    <cellStyle name="20% - Accent4 2 5 5" xfId="4070" xr:uid="{00000000-0005-0000-0000-0000E20F0000}"/>
    <cellStyle name="20% - Accent4 2 5 5 2" xfId="4071" xr:uid="{00000000-0005-0000-0000-0000E30F0000}"/>
    <cellStyle name="20% - Accent4 2 5 5 2 2" xfId="4072" xr:uid="{00000000-0005-0000-0000-0000E40F0000}"/>
    <cellStyle name="20% - Accent4 2 5 5 3" xfId="4073" xr:uid="{00000000-0005-0000-0000-0000E50F0000}"/>
    <cellStyle name="20% - Accent4 2 5 6" xfId="4074" xr:uid="{00000000-0005-0000-0000-0000E60F0000}"/>
    <cellStyle name="20% - Accent4 2 5 6 2" xfId="4075" xr:uid="{00000000-0005-0000-0000-0000E70F0000}"/>
    <cellStyle name="20% - Accent4 2 5 7" xfId="4076" xr:uid="{00000000-0005-0000-0000-0000E80F0000}"/>
    <cellStyle name="20% - Accent4 2 6" xfId="4077" xr:uid="{00000000-0005-0000-0000-0000E90F0000}"/>
    <cellStyle name="20% - Accent4 2 6 2" xfId="4078" xr:uid="{00000000-0005-0000-0000-0000EA0F0000}"/>
    <cellStyle name="20% - Accent4 2 6 2 2" xfId="4079" xr:uid="{00000000-0005-0000-0000-0000EB0F0000}"/>
    <cellStyle name="20% - Accent4 2 6 2 2 2" xfId="4080" xr:uid="{00000000-0005-0000-0000-0000EC0F0000}"/>
    <cellStyle name="20% - Accent4 2 6 2 2 2 2" xfId="4081" xr:uid="{00000000-0005-0000-0000-0000ED0F0000}"/>
    <cellStyle name="20% - Accent4 2 6 2 2 2 2 2" xfId="4082" xr:uid="{00000000-0005-0000-0000-0000EE0F0000}"/>
    <cellStyle name="20% - Accent4 2 6 2 2 2 3" xfId="4083" xr:uid="{00000000-0005-0000-0000-0000EF0F0000}"/>
    <cellStyle name="20% - Accent4 2 6 2 2 3" xfId="4084" xr:uid="{00000000-0005-0000-0000-0000F00F0000}"/>
    <cellStyle name="20% - Accent4 2 6 2 2 3 2" xfId="4085" xr:uid="{00000000-0005-0000-0000-0000F10F0000}"/>
    <cellStyle name="20% - Accent4 2 6 2 2 4" xfId="4086" xr:uid="{00000000-0005-0000-0000-0000F20F0000}"/>
    <cellStyle name="20% - Accent4 2 6 2 3" xfId="4087" xr:uid="{00000000-0005-0000-0000-0000F30F0000}"/>
    <cellStyle name="20% - Accent4 2 6 2 3 2" xfId="4088" xr:uid="{00000000-0005-0000-0000-0000F40F0000}"/>
    <cellStyle name="20% - Accent4 2 6 2 3 2 2" xfId="4089" xr:uid="{00000000-0005-0000-0000-0000F50F0000}"/>
    <cellStyle name="20% - Accent4 2 6 2 3 3" xfId="4090" xr:uid="{00000000-0005-0000-0000-0000F60F0000}"/>
    <cellStyle name="20% - Accent4 2 6 2 4" xfId="4091" xr:uid="{00000000-0005-0000-0000-0000F70F0000}"/>
    <cellStyle name="20% - Accent4 2 6 2 4 2" xfId="4092" xr:uid="{00000000-0005-0000-0000-0000F80F0000}"/>
    <cellStyle name="20% - Accent4 2 6 2 5" xfId="4093" xr:uid="{00000000-0005-0000-0000-0000F90F0000}"/>
    <cellStyle name="20% - Accent4 2 6 3" xfId="4094" xr:uid="{00000000-0005-0000-0000-0000FA0F0000}"/>
    <cellStyle name="20% - Accent4 2 6 3 2" xfId="4095" xr:uid="{00000000-0005-0000-0000-0000FB0F0000}"/>
    <cellStyle name="20% - Accent4 2 6 3 2 2" xfId="4096" xr:uid="{00000000-0005-0000-0000-0000FC0F0000}"/>
    <cellStyle name="20% - Accent4 2 6 3 2 2 2" xfId="4097" xr:uid="{00000000-0005-0000-0000-0000FD0F0000}"/>
    <cellStyle name="20% - Accent4 2 6 3 2 3" xfId="4098" xr:uid="{00000000-0005-0000-0000-0000FE0F0000}"/>
    <cellStyle name="20% - Accent4 2 6 3 3" xfId="4099" xr:uid="{00000000-0005-0000-0000-0000FF0F0000}"/>
    <cellStyle name="20% - Accent4 2 6 3 3 2" xfId="4100" xr:uid="{00000000-0005-0000-0000-000000100000}"/>
    <cellStyle name="20% - Accent4 2 6 3 4" xfId="4101" xr:uid="{00000000-0005-0000-0000-000001100000}"/>
    <cellStyle name="20% - Accent4 2 6 4" xfId="4102" xr:uid="{00000000-0005-0000-0000-000002100000}"/>
    <cellStyle name="20% - Accent4 2 6 4 2" xfId="4103" xr:uid="{00000000-0005-0000-0000-000003100000}"/>
    <cellStyle name="20% - Accent4 2 6 4 2 2" xfId="4104" xr:uid="{00000000-0005-0000-0000-000004100000}"/>
    <cellStyle name="20% - Accent4 2 6 4 3" xfId="4105" xr:uid="{00000000-0005-0000-0000-000005100000}"/>
    <cellStyle name="20% - Accent4 2 6 5" xfId="4106" xr:uid="{00000000-0005-0000-0000-000006100000}"/>
    <cellStyle name="20% - Accent4 2 6 5 2" xfId="4107" xr:uid="{00000000-0005-0000-0000-000007100000}"/>
    <cellStyle name="20% - Accent4 2 6 6" xfId="4108" xr:uid="{00000000-0005-0000-0000-000008100000}"/>
    <cellStyle name="20% - Accent4 2 7" xfId="4109" xr:uid="{00000000-0005-0000-0000-000009100000}"/>
    <cellStyle name="20% - Accent4 2 7 2" xfId="4110" xr:uid="{00000000-0005-0000-0000-00000A100000}"/>
    <cellStyle name="20% - Accent4 2 7 2 2" xfId="4111" xr:uid="{00000000-0005-0000-0000-00000B100000}"/>
    <cellStyle name="20% - Accent4 2 7 2 2 2" xfId="4112" xr:uid="{00000000-0005-0000-0000-00000C100000}"/>
    <cellStyle name="20% - Accent4 2 7 2 2 2 2" xfId="4113" xr:uid="{00000000-0005-0000-0000-00000D100000}"/>
    <cellStyle name="20% - Accent4 2 7 2 2 3" xfId="4114" xr:uid="{00000000-0005-0000-0000-00000E100000}"/>
    <cellStyle name="20% - Accent4 2 7 2 3" xfId="4115" xr:uid="{00000000-0005-0000-0000-00000F100000}"/>
    <cellStyle name="20% - Accent4 2 7 2 3 2" xfId="4116" xr:uid="{00000000-0005-0000-0000-000010100000}"/>
    <cellStyle name="20% - Accent4 2 7 2 4" xfId="4117" xr:uid="{00000000-0005-0000-0000-000011100000}"/>
    <cellStyle name="20% - Accent4 2 7 3" xfId="4118" xr:uid="{00000000-0005-0000-0000-000012100000}"/>
    <cellStyle name="20% - Accent4 2 7 3 2" xfId="4119" xr:uid="{00000000-0005-0000-0000-000013100000}"/>
    <cellStyle name="20% - Accent4 2 7 3 2 2" xfId="4120" xr:uid="{00000000-0005-0000-0000-000014100000}"/>
    <cellStyle name="20% - Accent4 2 7 3 3" xfId="4121" xr:uid="{00000000-0005-0000-0000-000015100000}"/>
    <cellStyle name="20% - Accent4 2 7 4" xfId="4122" xr:uid="{00000000-0005-0000-0000-000016100000}"/>
    <cellStyle name="20% - Accent4 2 7 4 2" xfId="4123" xr:uid="{00000000-0005-0000-0000-000017100000}"/>
    <cellStyle name="20% - Accent4 2 7 5" xfId="4124" xr:uid="{00000000-0005-0000-0000-000018100000}"/>
    <cellStyle name="20% - Accent4 2 8" xfId="4125" xr:uid="{00000000-0005-0000-0000-000019100000}"/>
    <cellStyle name="20% - Accent4 2 8 2" xfId="4126" xr:uid="{00000000-0005-0000-0000-00001A100000}"/>
    <cellStyle name="20% - Accent4 2 8 2 2" xfId="4127" xr:uid="{00000000-0005-0000-0000-00001B100000}"/>
    <cellStyle name="20% - Accent4 2 8 2 2 2" xfId="4128" xr:uid="{00000000-0005-0000-0000-00001C100000}"/>
    <cellStyle name="20% - Accent4 2 8 2 3" xfId="4129" xr:uid="{00000000-0005-0000-0000-00001D100000}"/>
    <cellStyle name="20% - Accent4 2 8 3" xfId="4130" xr:uid="{00000000-0005-0000-0000-00001E100000}"/>
    <cellStyle name="20% - Accent4 2 8 3 2" xfId="4131" xr:uid="{00000000-0005-0000-0000-00001F100000}"/>
    <cellStyle name="20% - Accent4 2 8 4" xfId="4132" xr:uid="{00000000-0005-0000-0000-000020100000}"/>
    <cellStyle name="20% - Accent4 2 9" xfId="4133" xr:uid="{00000000-0005-0000-0000-000021100000}"/>
    <cellStyle name="20% - Accent4 2 9 2" xfId="4134" xr:uid="{00000000-0005-0000-0000-000022100000}"/>
    <cellStyle name="20% - Accent4 2 9 2 2" xfId="4135" xr:uid="{00000000-0005-0000-0000-000023100000}"/>
    <cellStyle name="20% - Accent4 2 9 3" xfId="4136" xr:uid="{00000000-0005-0000-0000-000024100000}"/>
    <cellStyle name="20% - Accent4 3" xfId="4137" xr:uid="{00000000-0005-0000-0000-000025100000}"/>
    <cellStyle name="20% - Accent4 4" xfId="4138" xr:uid="{00000000-0005-0000-0000-000026100000}"/>
    <cellStyle name="20% - Accent4 5" xfId="4139" xr:uid="{00000000-0005-0000-0000-000027100000}"/>
    <cellStyle name="20% - Accent4 6" xfId="4140" xr:uid="{00000000-0005-0000-0000-000028100000}"/>
    <cellStyle name="20% - Accent4 7" xfId="4141" xr:uid="{00000000-0005-0000-0000-000029100000}"/>
    <cellStyle name="20% - Accent4 8" xfId="4142" xr:uid="{00000000-0005-0000-0000-00002A100000}"/>
    <cellStyle name="20% - Accent4 9" xfId="4143" xr:uid="{00000000-0005-0000-0000-00002B100000}"/>
    <cellStyle name="20% - Accent5 10" xfId="4144" xr:uid="{00000000-0005-0000-0000-00002C100000}"/>
    <cellStyle name="20% - Accent5 11" xfId="4145" xr:uid="{00000000-0005-0000-0000-00002D100000}"/>
    <cellStyle name="20% - Accent5 12" xfId="4146" xr:uid="{00000000-0005-0000-0000-00002E100000}"/>
    <cellStyle name="20% - Accent5 13" xfId="4147" xr:uid="{00000000-0005-0000-0000-00002F100000}"/>
    <cellStyle name="20% - Accent5 2" xfId="4148" xr:uid="{00000000-0005-0000-0000-000030100000}"/>
    <cellStyle name="20% - Accent5 2 10" xfId="4149" xr:uid="{00000000-0005-0000-0000-000031100000}"/>
    <cellStyle name="20% - Accent5 2 10 2" xfId="4150" xr:uid="{00000000-0005-0000-0000-000032100000}"/>
    <cellStyle name="20% - Accent5 2 11" xfId="4151" xr:uid="{00000000-0005-0000-0000-000033100000}"/>
    <cellStyle name="20% - Accent5 2 2" xfId="4152" xr:uid="{00000000-0005-0000-0000-000034100000}"/>
    <cellStyle name="20% - Accent5 2 2 10" xfId="4153" xr:uid="{00000000-0005-0000-0000-000035100000}"/>
    <cellStyle name="20% - Accent5 2 2 2" xfId="4154" xr:uid="{00000000-0005-0000-0000-000036100000}"/>
    <cellStyle name="20% - Accent5 2 2 2 2" xfId="4155" xr:uid="{00000000-0005-0000-0000-000037100000}"/>
    <cellStyle name="20% - Accent5 2 2 2 2 2" xfId="4156" xr:uid="{00000000-0005-0000-0000-000038100000}"/>
    <cellStyle name="20% - Accent5 2 2 2 2 2 2" xfId="4157" xr:uid="{00000000-0005-0000-0000-000039100000}"/>
    <cellStyle name="20% - Accent5 2 2 2 2 2 2 2" xfId="4158" xr:uid="{00000000-0005-0000-0000-00003A100000}"/>
    <cellStyle name="20% - Accent5 2 2 2 2 2 2 2 2" xfId="4159" xr:uid="{00000000-0005-0000-0000-00003B100000}"/>
    <cellStyle name="20% - Accent5 2 2 2 2 2 2 2 2 2" xfId="4160" xr:uid="{00000000-0005-0000-0000-00003C100000}"/>
    <cellStyle name="20% - Accent5 2 2 2 2 2 2 2 2 2 2" xfId="4161" xr:uid="{00000000-0005-0000-0000-00003D100000}"/>
    <cellStyle name="20% - Accent5 2 2 2 2 2 2 2 2 2 2 2" xfId="4162" xr:uid="{00000000-0005-0000-0000-00003E100000}"/>
    <cellStyle name="20% - Accent5 2 2 2 2 2 2 2 2 2 3" xfId="4163" xr:uid="{00000000-0005-0000-0000-00003F100000}"/>
    <cellStyle name="20% - Accent5 2 2 2 2 2 2 2 2 3" xfId="4164" xr:uid="{00000000-0005-0000-0000-000040100000}"/>
    <cellStyle name="20% - Accent5 2 2 2 2 2 2 2 2 3 2" xfId="4165" xr:uid="{00000000-0005-0000-0000-000041100000}"/>
    <cellStyle name="20% - Accent5 2 2 2 2 2 2 2 2 4" xfId="4166" xr:uid="{00000000-0005-0000-0000-000042100000}"/>
    <cellStyle name="20% - Accent5 2 2 2 2 2 2 2 3" xfId="4167" xr:uid="{00000000-0005-0000-0000-000043100000}"/>
    <cellStyle name="20% - Accent5 2 2 2 2 2 2 2 3 2" xfId="4168" xr:uid="{00000000-0005-0000-0000-000044100000}"/>
    <cellStyle name="20% - Accent5 2 2 2 2 2 2 2 3 2 2" xfId="4169" xr:uid="{00000000-0005-0000-0000-000045100000}"/>
    <cellStyle name="20% - Accent5 2 2 2 2 2 2 2 3 3" xfId="4170" xr:uid="{00000000-0005-0000-0000-000046100000}"/>
    <cellStyle name="20% - Accent5 2 2 2 2 2 2 2 4" xfId="4171" xr:uid="{00000000-0005-0000-0000-000047100000}"/>
    <cellStyle name="20% - Accent5 2 2 2 2 2 2 2 4 2" xfId="4172" xr:uid="{00000000-0005-0000-0000-000048100000}"/>
    <cellStyle name="20% - Accent5 2 2 2 2 2 2 2 5" xfId="4173" xr:uid="{00000000-0005-0000-0000-000049100000}"/>
    <cellStyle name="20% - Accent5 2 2 2 2 2 2 3" xfId="4174" xr:uid="{00000000-0005-0000-0000-00004A100000}"/>
    <cellStyle name="20% - Accent5 2 2 2 2 2 2 3 2" xfId="4175" xr:uid="{00000000-0005-0000-0000-00004B100000}"/>
    <cellStyle name="20% - Accent5 2 2 2 2 2 2 3 2 2" xfId="4176" xr:uid="{00000000-0005-0000-0000-00004C100000}"/>
    <cellStyle name="20% - Accent5 2 2 2 2 2 2 3 2 2 2" xfId="4177" xr:uid="{00000000-0005-0000-0000-00004D100000}"/>
    <cellStyle name="20% - Accent5 2 2 2 2 2 2 3 2 3" xfId="4178" xr:uid="{00000000-0005-0000-0000-00004E100000}"/>
    <cellStyle name="20% - Accent5 2 2 2 2 2 2 3 3" xfId="4179" xr:uid="{00000000-0005-0000-0000-00004F100000}"/>
    <cellStyle name="20% - Accent5 2 2 2 2 2 2 3 3 2" xfId="4180" xr:uid="{00000000-0005-0000-0000-000050100000}"/>
    <cellStyle name="20% - Accent5 2 2 2 2 2 2 3 4" xfId="4181" xr:uid="{00000000-0005-0000-0000-000051100000}"/>
    <cellStyle name="20% - Accent5 2 2 2 2 2 2 4" xfId="4182" xr:uid="{00000000-0005-0000-0000-000052100000}"/>
    <cellStyle name="20% - Accent5 2 2 2 2 2 2 4 2" xfId="4183" xr:uid="{00000000-0005-0000-0000-000053100000}"/>
    <cellStyle name="20% - Accent5 2 2 2 2 2 2 4 2 2" xfId="4184" xr:uid="{00000000-0005-0000-0000-000054100000}"/>
    <cellStyle name="20% - Accent5 2 2 2 2 2 2 4 3" xfId="4185" xr:uid="{00000000-0005-0000-0000-000055100000}"/>
    <cellStyle name="20% - Accent5 2 2 2 2 2 2 5" xfId="4186" xr:uid="{00000000-0005-0000-0000-000056100000}"/>
    <cellStyle name="20% - Accent5 2 2 2 2 2 2 5 2" xfId="4187" xr:uid="{00000000-0005-0000-0000-000057100000}"/>
    <cellStyle name="20% - Accent5 2 2 2 2 2 2 6" xfId="4188" xr:uid="{00000000-0005-0000-0000-000058100000}"/>
    <cellStyle name="20% - Accent5 2 2 2 2 2 3" xfId="4189" xr:uid="{00000000-0005-0000-0000-000059100000}"/>
    <cellStyle name="20% - Accent5 2 2 2 2 2 3 2" xfId="4190" xr:uid="{00000000-0005-0000-0000-00005A100000}"/>
    <cellStyle name="20% - Accent5 2 2 2 2 2 3 2 2" xfId="4191" xr:uid="{00000000-0005-0000-0000-00005B100000}"/>
    <cellStyle name="20% - Accent5 2 2 2 2 2 3 2 2 2" xfId="4192" xr:uid="{00000000-0005-0000-0000-00005C100000}"/>
    <cellStyle name="20% - Accent5 2 2 2 2 2 3 2 2 2 2" xfId="4193" xr:uid="{00000000-0005-0000-0000-00005D100000}"/>
    <cellStyle name="20% - Accent5 2 2 2 2 2 3 2 2 3" xfId="4194" xr:uid="{00000000-0005-0000-0000-00005E100000}"/>
    <cellStyle name="20% - Accent5 2 2 2 2 2 3 2 3" xfId="4195" xr:uid="{00000000-0005-0000-0000-00005F100000}"/>
    <cellStyle name="20% - Accent5 2 2 2 2 2 3 2 3 2" xfId="4196" xr:uid="{00000000-0005-0000-0000-000060100000}"/>
    <cellStyle name="20% - Accent5 2 2 2 2 2 3 2 4" xfId="4197" xr:uid="{00000000-0005-0000-0000-000061100000}"/>
    <cellStyle name="20% - Accent5 2 2 2 2 2 3 3" xfId="4198" xr:uid="{00000000-0005-0000-0000-000062100000}"/>
    <cellStyle name="20% - Accent5 2 2 2 2 2 3 3 2" xfId="4199" xr:uid="{00000000-0005-0000-0000-000063100000}"/>
    <cellStyle name="20% - Accent5 2 2 2 2 2 3 3 2 2" xfId="4200" xr:uid="{00000000-0005-0000-0000-000064100000}"/>
    <cellStyle name="20% - Accent5 2 2 2 2 2 3 3 3" xfId="4201" xr:uid="{00000000-0005-0000-0000-000065100000}"/>
    <cellStyle name="20% - Accent5 2 2 2 2 2 3 4" xfId="4202" xr:uid="{00000000-0005-0000-0000-000066100000}"/>
    <cellStyle name="20% - Accent5 2 2 2 2 2 3 4 2" xfId="4203" xr:uid="{00000000-0005-0000-0000-000067100000}"/>
    <cellStyle name="20% - Accent5 2 2 2 2 2 3 5" xfId="4204" xr:uid="{00000000-0005-0000-0000-000068100000}"/>
    <cellStyle name="20% - Accent5 2 2 2 2 2 4" xfId="4205" xr:uid="{00000000-0005-0000-0000-000069100000}"/>
    <cellStyle name="20% - Accent5 2 2 2 2 2 4 2" xfId="4206" xr:uid="{00000000-0005-0000-0000-00006A100000}"/>
    <cellStyle name="20% - Accent5 2 2 2 2 2 4 2 2" xfId="4207" xr:uid="{00000000-0005-0000-0000-00006B100000}"/>
    <cellStyle name="20% - Accent5 2 2 2 2 2 4 2 2 2" xfId="4208" xr:uid="{00000000-0005-0000-0000-00006C100000}"/>
    <cellStyle name="20% - Accent5 2 2 2 2 2 4 2 3" xfId="4209" xr:uid="{00000000-0005-0000-0000-00006D100000}"/>
    <cellStyle name="20% - Accent5 2 2 2 2 2 4 3" xfId="4210" xr:uid="{00000000-0005-0000-0000-00006E100000}"/>
    <cellStyle name="20% - Accent5 2 2 2 2 2 4 3 2" xfId="4211" xr:uid="{00000000-0005-0000-0000-00006F100000}"/>
    <cellStyle name="20% - Accent5 2 2 2 2 2 4 4" xfId="4212" xr:uid="{00000000-0005-0000-0000-000070100000}"/>
    <cellStyle name="20% - Accent5 2 2 2 2 2 5" xfId="4213" xr:uid="{00000000-0005-0000-0000-000071100000}"/>
    <cellStyle name="20% - Accent5 2 2 2 2 2 5 2" xfId="4214" xr:uid="{00000000-0005-0000-0000-000072100000}"/>
    <cellStyle name="20% - Accent5 2 2 2 2 2 5 2 2" xfId="4215" xr:uid="{00000000-0005-0000-0000-000073100000}"/>
    <cellStyle name="20% - Accent5 2 2 2 2 2 5 3" xfId="4216" xr:uid="{00000000-0005-0000-0000-000074100000}"/>
    <cellStyle name="20% - Accent5 2 2 2 2 2 6" xfId="4217" xr:uid="{00000000-0005-0000-0000-000075100000}"/>
    <cellStyle name="20% - Accent5 2 2 2 2 2 6 2" xfId="4218" xr:uid="{00000000-0005-0000-0000-000076100000}"/>
    <cellStyle name="20% - Accent5 2 2 2 2 2 7" xfId="4219" xr:uid="{00000000-0005-0000-0000-000077100000}"/>
    <cellStyle name="20% - Accent5 2 2 2 2 3" xfId="4220" xr:uid="{00000000-0005-0000-0000-000078100000}"/>
    <cellStyle name="20% - Accent5 2 2 2 2 3 2" xfId="4221" xr:uid="{00000000-0005-0000-0000-000079100000}"/>
    <cellStyle name="20% - Accent5 2 2 2 2 3 2 2" xfId="4222" xr:uid="{00000000-0005-0000-0000-00007A100000}"/>
    <cellStyle name="20% - Accent5 2 2 2 2 3 2 2 2" xfId="4223" xr:uid="{00000000-0005-0000-0000-00007B100000}"/>
    <cellStyle name="20% - Accent5 2 2 2 2 3 2 2 2 2" xfId="4224" xr:uid="{00000000-0005-0000-0000-00007C100000}"/>
    <cellStyle name="20% - Accent5 2 2 2 2 3 2 2 2 2 2" xfId="4225" xr:uid="{00000000-0005-0000-0000-00007D100000}"/>
    <cellStyle name="20% - Accent5 2 2 2 2 3 2 2 2 3" xfId="4226" xr:uid="{00000000-0005-0000-0000-00007E100000}"/>
    <cellStyle name="20% - Accent5 2 2 2 2 3 2 2 3" xfId="4227" xr:uid="{00000000-0005-0000-0000-00007F100000}"/>
    <cellStyle name="20% - Accent5 2 2 2 2 3 2 2 3 2" xfId="4228" xr:uid="{00000000-0005-0000-0000-000080100000}"/>
    <cellStyle name="20% - Accent5 2 2 2 2 3 2 2 4" xfId="4229" xr:uid="{00000000-0005-0000-0000-000081100000}"/>
    <cellStyle name="20% - Accent5 2 2 2 2 3 2 3" xfId="4230" xr:uid="{00000000-0005-0000-0000-000082100000}"/>
    <cellStyle name="20% - Accent5 2 2 2 2 3 2 3 2" xfId="4231" xr:uid="{00000000-0005-0000-0000-000083100000}"/>
    <cellStyle name="20% - Accent5 2 2 2 2 3 2 3 2 2" xfId="4232" xr:uid="{00000000-0005-0000-0000-000084100000}"/>
    <cellStyle name="20% - Accent5 2 2 2 2 3 2 3 3" xfId="4233" xr:uid="{00000000-0005-0000-0000-000085100000}"/>
    <cellStyle name="20% - Accent5 2 2 2 2 3 2 4" xfId="4234" xr:uid="{00000000-0005-0000-0000-000086100000}"/>
    <cellStyle name="20% - Accent5 2 2 2 2 3 2 4 2" xfId="4235" xr:uid="{00000000-0005-0000-0000-000087100000}"/>
    <cellStyle name="20% - Accent5 2 2 2 2 3 2 5" xfId="4236" xr:uid="{00000000-0005-0000-0000-000088100000}"/>
    <cellStyle name="20% - Accent5 2 2 2 2 3 3" xfId="4237" xr:uid="{00000000-0005-0000-0000-000089100000}"/>
    <cellStyle name="20% - Accent5 2 2 2 2 3 3 2" xfId="4238" xr:uid="{00000000-0005-0000-0000-00008A100000}"/>
    <cellStyle name="20% - Accent5 2 2 2 2 3 3 2 2" xfId="4239" xr:uid="{00000000-0005-0000-0000-00008B100000}"/>
    <cellStyle name="20% - Accent5 2 2 2 2 3 3 2 2 2" xfId="4240" xr:uid="{00000000-0005-0000-0000-00008C100000}"/>
    <cellStyle name="20% - Accent5 2 2 2 2 3 3 2 3" xfId="4241" xr:uid="{00000000-0005-0000-0000-00008D100000}"/>
    <cellStyle name="20% - Accent5 2 2 2 2 3 3 3" xfId="4242" xr:uid="{00000000-0005-0000-0000-00008E100000}"/>
    <cellStyle name="20% - Accent5 2 2 2 2 3 3 3 2" xfId="4243" xr:uid="{00000000-0005-0000-0000-00008F100000}"/>
    <cellStyle name="20% - Accent5 2 2 2 2 3 3 4" xfId="4244" xr:uid="{00000000-0005-0000-0000-000090100000}"/>
    <cellStyle name="20% - Accent5 2 2 2 2 3 4" xfId="4245" xr:uid="{00000000-0005-0000-0000-000091100000}"/>
    <cellStyle name="20% - Accent5 2 2 2 2 3 4 2" xfId="4246" xr:uid="{00000000-0005-0000-0000-000092100000}"/>
    <cellStyle name="20% - Accent5 2 2 2 2 3 4 2 2" xfId="4247" xr:uid="{00000000-0005-0000-0000-000093100000}"/>
    <cellStyle name="20% - Accent5 2 2 2 2 3 4 3" xfId="4248" xr:uid="{00000000-0005-0000-0000-000094100000}"/>
    <cellStyle name="20% - Accent5 2 2 2 2 3 5" xfId="4249" xr:uid="{00000000-0005-0000-0000-000095100000}"/>
    <cellStyle name="20% - Accent5 2 2 2 2 3 5 2" xfId="4250" xr:uid="{00000000-0005-0000-0000-000096100000}"/>
    <cellStyle name="20% - Accent5 2 2 2 2 3 6" xfId="4251" xr:uid="{00000000-0005-0000-0000-000097100000}"/>
    <cellStyle name="20% - Accent5 2 2 2 2 4" xfId="4252" xr:uid="{00000000-0005-0000-0000-000098100000}"/>
    <cellStyle name="20% - Accent5 2 2 2 2 4 2" xfId="4253" xr:uid="{00000000-0005-0000-0000-000099100000}"/>
    <cellStyle name="20% - Accent5 2 2 2 2 4 2 2" xfId="4254" xr:uid="{00000000-0005-0000-0000-00009A100000}"/>
    <cellStyle name="20% - Accent5 2 2 2 2 4 2 2 2" xfId="4255" xr:uid="{00000000-0005-0000-0000-00009B100000}"/>
    <cellStyle name="20% - Accent5 2 2 2 2 4 2 2 2 2" xfId="4256" xr:uid="{00000000-0005-0000-0000-00009C100000}"/>
    <cellStyle name="20% - Accent5 2 2 2 2 4 2 2 3" xfId="4257" xr:uid="{00000000-0005-0000-0000-00009D100000}"/>
    <cellStyle name="20% - Accent5 2 2 2 2 4 2 3" xfId="4258" xr:uid="{00000000-0005-0000-0000-00009E100000}"/>
    <cellStyle name="20% - Accent5 2 2 2 2 4 2 3 2" xfId="4259" xr:uid="{00000000-0005-0000-0000-00009F100000}"/>
    <cellStyle name="20% - Accent5 2 2 2 2 4 2 4" xfId="4260" xr:uid="{00000000-0005-0000-0000-0000A0100000}"/>
    <cellStyle name="20% - Accent5 2 2 2 2 4 3" xfId="4261" xr:uid="{00000000-0005-0000-0000-0000A1100000}"/>
    <cellStyle name="20% - Accent5 2 2 2 2 4 3 2" xfId="4262" xr:uid="{00000000-0005-0000-0000-0000A2100000}"/>
    <cellStyle name="20% - Accent5 2 2 2 2 4 3 2 2" xfId="4263" xr:uid="{00000000-0005-0000-0000-0000A3100000}"/>
    <cellStyle name="20% - Accent5 2 2 2 2 4 3 3" xfId="4264" xr:uid="{00000000-0005-0000-0000-0000A4100000}"/>
    <cellStyle name="20% - Accent5 2 2 2 2 4 4" xfId="4265" xr:uid="{00000000-0005-0000-0000-0000A5100000}"/>
    <cellStyle name="20% - Accent5 2 2 2 2 4 4 2" xfId="4266" xr:uid="{00000000-0005-0000-0000-0000A6100000}"/>
    <cellStyle name="20% - Accent5 2 2 2 2 4 5" xfId="4267" xr:uid="{00000000-0005-0000-0000-0000A7100000}"/>
    <cellStyle name="20% - Accent5 2 2 2 2 5" xfId="4268" xr:uid="{00000000-0005-0000-0000-0000A8100000}"/>
    <cellStyle name="20% - Accent5 2 2 2 2 5 2" xfId="4269" xr:uid="{00000000-0005-0000-0000-0000A9100000}"/>
    <cellStyle name="20% - Accent5 2 2 2 2 5 2 2" xfId="4270" xr:uid="{00000000-0005-0000-0000-0000AA100000}"/>
    <cellStyle name="20% - Accent5 2 2 2 2 5 2 2 2" xfId="4271" xr:uid="{00000000-0005-0000-0000-0000AB100000}"/>
    <cellStyle name="20% - Accent5 2 2 2 2 5 2 3" xfId="4272" xr:uid="{00000000-0005-0000-0000-0000AC100000}"/>
    <cellStyle name="20% - Accent5 2 2 2 2 5 3" xfId="4273" xr:uid="{00000000-0005-0000-0000-0000AD100000}"/>
    <cellStyle name="20% - Accent5 2 2 2 2 5 3 2" xfId="4274" xr:uid="{00000000-0005-0000-0000-0000AE100000}"/>
    <cellStyle name="20% - Accent5 2 2 2 2 5 4" xfId="4275" xr:uid="{00000000-0005-0000-0000-0000AF100000}"/>
    <cellStyle name="20% - Accent5 2 2 2 2 6" xfId="4276" xr:uid="{00000000-0005-0000-0000-0000B0100000}"/>
    <cellStyle name="20% - Accent5 2 2 2 2 6 2" xfId="4277" xr:uid="{00000000-0005-0000-0000-0000B1100000}"/>
    <cellStyle name="20% - Accent5 2 2 2 2 6 2 2" xfId="4278" xr:uid="{00000000-0005-0000-0000-0000B2100000}"/>
    <cellStyle name="20% - Accent5 2 2 2 2 6 3" xfId="4279" xr:uid="{00000000-0005-0000-0000-0000B3100000}"/>
    <cellStyle name="20% - Accent5 2 2 2 2 7" xfId="4280" xr:uid="{00000000-0005-0000-0000-0000B4100000}"/>
    <cellStyle name="20% - Accent5 2 2 2 2 7 2" xfId="4281" xr:uid="{00000000-0005-0000-0000-0000B5100000}"/>
    <cellStyle name="20% - Accent5 2 2 2 2 8" xfId="4282" xr:uid="{00000000-0005-0000-0000-0000B6100000}"/>
    <cellStyle name="20% - Accent5 2 2 2 3" xfId="4283" xr:uid="{00000000-0005-0000-0000-0000B7100000}"/>
    <cellStyle name="20% - Accent5 2 2 2 3 2" xfId="4284" xr:uid="{00000000-0005-0000-0000-0000B8100000}"/>
    <cellStyle name="20% - Accent5 2 2 2 3 2 2" xfId="4285" xr:uid="{00000000-0005-0000-0000-0000B9100000}"/>
    <cellStyle name="20% - Accent5 2 2 2 3 2 2 2" xfId="4286" xr:uid="{00000000-0005-0000-0000-0000BA100000}"/>
    <cellStyle name="20% - Accent5 2 2 2 3 2 2 2 2" xfId="4287" xr:uid="{00000000-0005-0000-0000-0000BB100000}"/>
    <cellStyle name="20% - Accent5 2 2 2 3 2 2 2 2 2" xfId="4288" xr:uid="{00000000-0005-0000-0000-0000BC100000}"/>
    <cellStyle name="20% - Accent5 2 2 2 3 2 2 2 2 2 2" xfId="4289" xr:uid="{00000000-0005-0000-0000-0000BD100000}"/>
    <cellStyle name="20% - Accent5 2 2 2 3 2 2 2 2 3" xfId="4290" xr:uid="{00000000-0005-0000-0000-0000BE100000}"/>
    <cellStyle name="20% - Accent5 2 2 2 3 2 2 2 3" xfId="4291" xr:uid="{00000000-0005-0000-0000-0000BF100000}"/>
    <cellStyle name="20% - Accent5 2 2 2 3 2 2 2 3 2" xfId="4292" xr:uid="{00000000-0005-0000-0000-0000C0100000}"/>
    <cellStyle name="20% - Accent5 2 2 2 3 2 2 2 4" xfId="4293" xr:uid="{00000000-0005-0000-0000-0000C1100000}"/>
    <cellStyle name="20% - Accent5 2 2 2 3 2 2 3" xfId="4294" xr:uid="{00000000-0005-0000-0000-0000C2100000}"/>
    <cellStyle name="20% - Accent5 2 2 2 3 2 2 3 2" xfId="4295" xr:uid="{00000000-0005-0000-0000-0000C3100000}"/>
    <cellStyle name="20% - Accent5 2 2 2 3 2 2 3 2 2" xfId="4296" xr:uid="{00000000-0005-0000-0000-0000C4100000}"/>
    <cellStyle name="20% - Accent5 2 2 2 3 2 2 3 3" xfId="4297" xr:uid="{00000000-0005-0000-0000-0000C5100000}"/>
    <cellStyle name="20% - Accent5 2 2 2 3 2 2 4" xfId="4298" xr:uid="{00000000-0005-0000-0000-0000C6100000}"/>
    <cellStyle name="20% - Accent5 2 2 2 3 2 2 4 2" xfId="4299" xr:uid="{00000000-0005-0000-0000-0000C7100000}"/>
    <cellStyle name="20% - Accent5 2 2 2 3 2 2 5" xfId="4300" xr:uid="{00000000-0005-0000-0000-0000C8100000}"/>
    <cellStyle name="20% - Accent5 2 2 2 3 2 3" xfId="4301" xr:uid="{00000000-0005-0000-0000-0000C9100000}"/>
    <cellStyle name="20% - Accent5 2 2 2 3 2 3 2" xfId="4302" xr:uid="{00000000-0005-0000-0000-0000CA100000}"/>
    <cellStyle name="20% - Accent5 2 2 2 3 2 3 2 2" xfId="4303" xr:uid="{00000000-0005-0000-0000-0000CB100000}"/>
    <cellStyle name="20% - Accent5 2 2 2 3 2 3 2 2 2" xfId="4304" xr:uid="{00000000-0005-0000-0000-0000CC100000}"/>
    <cellStyle name="20% - Accent5 2 2 2 3 2 3 2 3" xfId="4305" xr:uid="{00000000-0005-0000-0000-0000CD100000}"/>
    <cellStyle name="20% - Accent5 2 2 2 3 2 3 3" xfId="4306" xr:uid="{00000000-0005-0000-0000-0000CE100000}"/>
    <cellStyle name="20% - Accent5 2 2 2 3 2 3 3 2" xfId="4307" xr:uid="{00000000-0005-0000-0000-0000CF100000}"/>
    <cellStyle name="20% - Accent5 2 2 2 3 2 3 4" xfId="4308" xr:uid="{00000000-0005-0000-0000-0000D0100000}"/>
    <cellStyle name="20% - Accent5 2 2 2 3 2 4" xfId="4309" xr:uid="{00000000-0005-0000-0000-0000D1100000}"/>
    <cellStyle name="20% - Accent5 2 2 2 3 2 4 2" xfId="4310" xr:uid="{00000000-0005-0000-0000-0000D2100000}"/>
    <cellStyle name="20% - Accent5 2 2 2 3 2 4 2 2" xfId="4311" xr:uid="{00000000-0005-0000-0000-0000D3100000}"/>
    <cellStyle name="20% - Accent5 2 2 2 3 2 4 3" xfId="4312" xr:uid="{00000000-0005-0000-0000-0000D4100000}"/>
    <cellStyle name="20% - Accent5 2 2 2 3 2 5" xfId="4313" xr:uid="{00000000-0005-0000-0000-0000D5100000}"/>
    <cellStyle name="20% - Accent5 2 2 2 3 2 5 2" xfId="4314" xr:uid="{00000000-0005-0000-0000-0000D6100000}"/>
    <cellStyle name="20% - Accent5 2 2 2 3 2 6" xfId="4315" xr:uid="{00000000-0005-0000-0000-0000D7100000}"/>
    <cellStyle name="20% - Accent5 2 2 2 3 3" xfId="4316" xr:uid="{00000000-0005-0000-0000-0000D8100000}"/>
    <cellStyle name="20% - Accent5 2 2 2 3 3 2" xfId="4317" xr:uid="{00000000-0005-0000-0000-0000D9100000}"/>
    <cellStyle name="20% - Accent5 2 2 2 3 3 2 2" xfId="4318" xr:uid="{00000000-0005-0000-0000-0000DA100000}"/>
    <cellStyle name="20% - Accent5 2 2 2 3 3 2 2 2" xfId="4319" xr:uid="{00000000-0005-0000-0000-0000DB100000}"/>
    <cellStyle name="20% - Accent5 2 2 2 3 3 2 2 2 2" xfId="4320" xr:uid="{00000000-0005-0000-0000-0000DC100000}"/>
    <cellStyle name="20% - Accent5 2 2 2 3 3 2 2 3" xfId="4321" xr:uid="{00000000-0005-0000-0000-0000DD100000}"/>
    <cellStyle name="20% - Accent5 2 2 2 3 3 2 3" xfId="4322" xr:uid="{00000000-0005-0000-0000-0000DE100000}"/>
    <cellStyle name="20% - Accent5 2 2 2 3 3 2 3 2" xfId="4323" xr:uid="{00000000-0005-0000-0000-0000DF100000}"/>
    <cellStyle name="20% - Accent5 2 2 2 3 3 2 4" xfId="4324" xr:uid="{00000000-0005-0000-0000-0000E0100000}"/>
    <cellStyle name="20% - Accent5 2 2 2 3 3 3" xfId="4325" xr:uid="{00000000-0005-0000-0000-0000E1100000}"/>
    <cellStyle name="20% - Accent5 2 2 2 3 3 3 2" xfId="4326" xr:uid="{00000000-0005-0000-0000-0000E2100000}"/>
    <cellStyle name="20% - Accent5 2 2 2 3 3 3 2 2" xfId="4327" xr:uid="{00000000-0005-0000-0000-0000E3100000}"/>
    <cellStyle name="20% - Accent5 2 2 2 3 3 3 3" xfId="4328" xr:uid="{00000000-0005-0000-0000-0000E4100000}"/>
    <cellStyle name="20% - Accent5 2 2 2 3 3 4" xfId="4329" xr:uid="{00000000-0005-0000-0000-0000E5100000}"/>
    <cellStyle name="20% - Accent5 2 2 2 3 3 4 2" xfId="4330" xr:uid="{00000000-0005-0000-0000-0000E6100000}"/>
    <cellStyle name="20% - Accent5 2 2 2 3 3 5" xfId="4331" xr:uid="{00000000-0005-0000-0000-0000E7100000}"/>
    <cellStyle name="20% - Accent5 2 2 2 3 4" xfId="4332" xr:uid="{00000000-0005-0000-0000-0000E8100000}"/>
    <cellStyle name="20% - Accent5 2 2 2 3 4 2" xfId="4333" xr:uid="{00000000-0005-0000-0000-0000E9100000}"/>
    <cellStyle name="20% - Accent5 2 2 2 3 4 2 2" xfId="4334" xr:uid="{00000000-0005-0000-0000-0000EA100000}"/>
    <cellStyle name="20% - Accent5 2 2 2 3 4 2 2 2" xfId="4335" xr:uid="{00000000-0005-0000-0000-0000EB100000}"/>
    <cellStyle name="20% - Accent5 2 2 2 3 4 2 3" xfId="4336" xr:uid="{00000000-0005-0000-0000-0000EC100000}"/>
    <cellStyle name="20% - Accent5 2 2 2 3 4 3" xfId="4337" xr:uid="{00000000-0005-0000-0000-0000ED100000}"/>
    <cellStyle name="20% - Accent5 2 2 2 3 4 3 2" xfId="4338" xr:uid="{00000000-0005-0000-0000-0000EE100000}"/>
    <cellStyle name="20% - Accent5 2 2 2 3 4 4" xfId="4339" xr:uid="{00000000-0005-0000-0000-0000EF100000}"/>
    <cellStyle name="20% - Accent5 2 2 2 3 5" xfId="4340" xr:uid="{00000000-0005-0000-0000-0000F0100000}"/>
    <cellStyle name="20% - Accent5 2 2 2 3 5 2" xfId="4341" xr:uid="{00000000-0005-0000-0000-0000F1100000}"/>
    <cellStyle name="20% - Accent5 2 2 2 3 5 2 2" xfId="4342" xr:uid="{00000000-0005-0000-0000-0000F2100000}"/>
    <cellStyle name="20% - Accent5 2 2 2 3 5 3" xfId="4343" xr:uid="{00000000-0005-0000-0000-0000F3100000}"/>
    <cellStyle name="20% - Accent5 2 2 2 3 6" xfId="4344" xr:uid="{00000000-0005-0000-0000-0000F4100000}"/>
    <cellStyle name="20% - Accent5 2 2 2 3 6 2" xfId="4345" xr:uid="{00000000-0005-0000-0000-0000F5100000}"/>
    <cellStyle name="20% - Accent5 2 2 2 3 7" xfId="4346" xr:uid="{00000000-0005-0000-0000-0000F6100000}"/>
    <cellStyle name="20% - Accent5 2 2 2 4" xfId="4347" xr:uid="{00000000-0005-0000-0000-0000F7100000}"/>
    <cellStyle name="20% - Accent5 2 2 2 4 2" xfId="4348" xr:uid="{00000000-0005-0000-0000-0000F8100000}"/>
    <cellStyle name="20% - Accent5 2 2 2 4 2 2" xfId="4349" xr:uid="{00000000-0005-0000-0000-0000F9100000}"/>
    <cellStyle name="20% - Accent5 2 2 2 4 2 2 2" xfId="4350" xr:uid="{00000000-0005-0000-0000-0000FA100000}"/>
    <cellStyle name="20% - Accent5 2 2 2 4 2 2 2 2" xfId="4351" xr:uid="{00000000-0005-0000-0000-0000FB100000}"/>
    <cellStyle name="20% - Accent5 2 2 2 4 2 2 2 2 2" xfId="4352" xr:uid="{00000000-0005-0000-0000-0000FC100000}"/>
    <cellStyle name="20% - Accent5 2 2 2 4 2 2 2 3" xfId="4353" xr:uid="{00000000-0005-0000-0000-0000FD100000}"/>
    <cellStyle name="20% - Accent5 2 2 2 4 2 2 3" xfId="4354" xr:uid="{00000000-0005-0000-0000-0000FE100000}"/>
    <cellStyle name="20% - Accent5 2 2 2 4 2 2 3 2" xfId="4355" xr:uid="{00000000-0005-0000-0000-0000FF100000}"/>
    <cellStyle name="20% - Accent5 2 2 2 4 2 2 4" xfId="4356" xr:uid="{00000000-0005-0000-0000-000000110000}"/>
    <cellStyle name="20% - Accent5 2 2 2 4 2 3" xfId="4357" xr:uid="{00000000-0005-0000-0000-000001110000}"/>
    <cellStyle name="20% - Accent5 2 2 2 4 2 3 2" xfId="4358" xr:uid="{00000000-0005-0000-0000-000002110000}"/>
    <cellStyle name="20% - Accent5 2 2 2 4 2 3 2 2" xfId="4359" xr:uid="{00000000-0005-0000-0000-000003110000}"/>
    <cellStyle name="20% - Accent5 2 2 2 4 2 3 3" xfId="4360" xr:uid="{00000000-0005-0000-0000-000004110000}"/>
    <cellStyle name="20% - Accent5 2 2 2 4 2 4" xfId="4361" xr:uid="{00000000-0005-0000-0000-000005110000}"/>
    <cellStyle name="20% - Accent5 2 2 2 4 2 4 2" xfId="4362" xr:uid="{00000000-0005-0000-0000-000006110000}"/>
    <cellStyle name="20% - Accent5 2 2 2 4 2 5" xfId="4363" xr:uid="{00000000-0005-0000-0000-000007110000}"/>
    <cellStyle name="20% - Accent5 2 2 2 4 3" xfId="4364" xr:uid="{00000000-0005-0000-0000-000008110000}"/>
    <cellStyle name="20% - Accent5 2 2 2 4 3 2" xfId="4365" xr:uid="{00000000-0005-0000-0000-000009110000}"/>
    <cellStyle name="20% - Accent5 2 2 2 4 3 2 2" xfId="4366" xr:uid="{00000000-0005-0000-0000-00000A110000}"/>
    <cellStyle name="20% - Accent5 2 2 2 4 3 2 2 2" xfId="4367" xr:uid="{00000000-0005-0000-0000-00000B110000}"/>
    <cellStyle name="20% - Accent5 2 2 2 4 3 2 3" xfId="4368" xr:uid="{00000000-0005-0000-0000-00000C110000}"/>
    <cellStyle name="20% - Accent5 2 2 2 4 3 3" xfId="4369" xr:uid="{00000000-0005-0000-0000-00000D110000}"/>
    <cellStyle name="20% - Accent5 2 2 2 4 3 3 2" xfId="4370" xr:uid="{00000000-0005-0000-0000-00000E110000}"/>
    <cellStyle name="20% - Accent5 2 2 2 4 3 4" xfId="4371" xr:uid="{00000000-0005-0000-0000-00000F110000}"/>
    <cellStyle name="20% - Accent5 2 2 2 4 4" xfId="4372" xr:uid="{00000000-0005-0000-0000-000010110000}"/>
    <cellStyle name="20% - Accent5 2 2 2 4 4 2" xfId="4373" xr:uid="{00000000-0005-0000-0000-000011110000}"/>
    <cellStyle name="20% - Accent5 2 2 2 4 4 2 2" xfId="4374" xr:uid="{00000000-0005-0000-0000-000012110000}"/>
    <cellStyle name="20% - Accent5 2 2 2 4 4 3" xfId="4375" xr:uid="{00000000-0005-0000-0000-000013110000}"/>
    <cellStyle name="20% - Accent5 2 2 2 4 5" xfId="4376" xr:uid="{00000000-0005-0000-0000-000014110000}"/>
    <cellStyle name="20% - Accent5 2 2 2 4 5 2" xfId="4377" xr:uid="{00000000-0005-0000-0000-000015110000}"/>
    <cellStyle name="20% - Accent5 2 2 2 4 6" xfId="4378" xr:uid="{00000000-0005-0000-0000-000016110000}"/>
    <cellStyle name="20% - Accent5 2 2 2 5" xfId="4379" xr:uid="{00000000-0005-0000-0000-000017110000}"/>
    <cellStyle name="20% - Accent5 2 2 2 5 2" xfId="4380" xr:uid="{00000000-0005-0000-0000-000018110000}"/>
    <cellStyle name="20% - Accent5 2 2 2 5 2 2" xfId="4381" xr:uid="{00000000-0005-0000-0000-000019110000}"/>
    <cellStyle name="20% - Accent5 2 2 2 5 2 2 2" xfId="4382" xr:uid="{00000000-0005-0000-0000-00001A110000}"/>
    <cellStyle name="20% - Accent5 2 2 2 5 2 2 2 2" xfId="4383" xr:uid="{00000000-0005-0000-0000-00001B110000}"/>
    <cellStyle name="20% - Accent5 2 2 2 5 2 2 3" xfId="4384" xr:uid="{00000000-0005-0000-0000-00001C110000}"/>
    <cellStyle name="20% - Accent5 2 2 2 5 2 3" xfId="4385" xr:uid="{00000000-0005-0000-0000-00001D110000}"/>
    <cellStyle name="20% - Accent5 2 2 2 5 2 3 2" xfId="4386" xr:uid="{00000000-0005-0000-0000-00001E110000}"/>
    <cellStyle name="20% - Accent5 2 2 2 5 2 4" xfId="4387" xr:uid="{00000000-0005-0000-0000-00001F110000}"/>
    <cellStyle name="20% - Accent5 2 2 2 5 3" xfId="4388" xr:uid="{00000000-0005-0000-0000-000020110000}"/>
    <cellStyle name="20% - Accent5 2 2 2 5 3 2" xfId="4389" xr:uid="{00000000-0005-0000-0000-000021110000}"/>
    <cellStyle name="20% - Accent5 2 2 2 5 3 2 2" xfId="4390" xr:uid="{00000000-0005-0000-0000-000022110000}"/>
    <cellStyle name="20% - Accent5 2 2 2 5 3 3" xfId="4391" xr:uid="{00000000-0005-0000-0000-000023110000}"/>
    <cellStyle name="20% - Accent5 2 2 2 5 4" xfId="4392" xr:uid="{00000000-0005-0000-0000-000024110000}"/>
    <cellStyle name="20% - Accent5 2 2 2 5 4 2" xfId="4393" xr:uid="{00000000-0005-0000-0000-000025110000}"/>
    <cellStyle name="20% - Accent5 2 2 2 5 5" xfId="4394" xr:uid="{00000000-0005-0000-0000-000026110000}"/>
    <cellStyle name="20% - Accent5 2 2 2 6" xfId="4395" xr:uid="{00000000-0005-0000-0000-000027110000}"/>
    <cellStyle name="20% - Accent5 2 2 2 6 2" xfId="4396" xr:uid="{00000000-0005-0000-0000-000028110000}"/>
    <cellStyle name="20% - Accent5 2 2 2 6 2 2" xfId="4397" xr:uid="{00000000-0005-0000-0000-000029110000}"/>
    <cellStyle name="20% - Accent5 2 2 2 6 2 2 2" xfId="4398" xr:uid="{00000000-0005-0000-0000-00002A110000}"/>
    <cellStyle name="20% - Accent5 2 2 2 6 2 3" xfId="4399" xr:uid="{00000000-0005-0000-0000-00002B110000}"/>
    <cellStyle name="20% - Accent5 2 2 2 6 3" xfId="4400" xr:uid="{00000000-0005-0000-0000-00002C110000}"/>
    <cellStyle name="20% - Accent5 2 2 2 6 3 2" xfId="4401" xr:uid="{00000000-0005-0000-0000-00002D110000}"/>
    <cellStyle name="20% - Accent5 2 2 2 6 4" xfId="4402" xr:uid="{00000000-0005-0000-0000-00002E110000}"/>
    <cellStyle name="20% - Accent5 2 2 2 7" xfId="4403" xr:uid="{00000000-0005-0000-0000-00002F110000}"/>
    <cellStyle name="20% - Accent5 2 2 2 7 2" xfId="4404" xr:uid="{00000000-0005-0000-0000-000030110000}"/>
    <cellStyle name="20% - Accent5 2 2 2 7 2 2" xfId="4405" xr:uid="{00000000-0005-0000-0000-000031110000}"/>
    <cellStyle name="20% - Accent5 2 2 2 7 3" xfId="4406" xr:uid="{00000000-0005-0000-0000-000032110000}"/>
    <cellStyle name="20% - Accent5 2 2 2 8" xfId="4407" xr:uid="{00000000-0005-0000-0000-000033110000}"/>
    <cellStyle name="20% - Accent5 2 2 2 8 2" xfId="4408" xr:uid="{00000000-0005-0000-0000-000034110000}"/>
    <cellStyle name="20% - Accent5 2 2 2 9" xfId="4409" xr:uid="{00000000-0005-0000-0000-000035110000}"/>
    <cellStyle name="20% - Accent5 2 2 3" xfId="4410" xr:uid="{00000000-0005-0000-0000-000036110000}"/>
    <cellStyle name="20% - Accent5 2 2 3 2" xfId="4411" xr:uid="{00000000-0005-0000-0000-000037110000}"/>
    <cellStyle name="20% - Accent5 2 2 3 2 2" xfId="4412" xr:uid="{00000000-0005-0000-0000-000038110000}"/>
    <cellStyle name="20% - Accent5 2 2 3 2 2 2" xfId="4413" xr:uid="{00000000-0005-0000-0000-000039110000}"/>
    <cellStyle name="20% - Accent5 2 2 3 2 2 2 2" xfId="4414" xr:uid="{00000000-0005-0000-0000-00003A110000}"/>
    <cellStyle name="20% - Accent5 2 2 3 2 2 2 2 2" xfId="4415" xr:uid="{00000000-0005-0000-0000-00003B110000}"/>
    <cellStyle name="20% - Accent5 2 2 3 2 2 2 2 2 2" xfId="4416" xr:uid="{00000000-0005-0000-0000-00003C110000}"/>
    <cellStyle name="20% - Accent5 2 2 3 2 2 2 2 2 2 2" xfId="4417" xr:uid="{00000000-0005-0000-0000-00003D110000}"/>
    <cellStyle name="20% - Accent5 2 2 3 2 2 2 2 2 3" xfId="4418" xr:uid="{00000000-0005-0000-0000-00003E110000}"/>
    <cellStyle name="20% - Accent5 2 2 3 2 2 2 2 3" xfId="4419" xr:uid="{00000000-0005-0000-0000-00003F110000}"/>
    <cellStyle name="20% - Accent5 2 2 3 2 2 2 2 3 2" xfId="4420" xr:uid="{00000000-0005-0000-0000-000040110000}"/>
    <cellStyle name="20% - Accent5 2 2 3 2 2 2 2 4" xfId="4421" xr:uid="{00000000-0005-0000-0000-000041110000}"/>
    <cellStyle name="20% - Accent5 2 2 3 2 2 2 3" xfId="4422" xr:uid="{00000000-0005-0000-0000-000042110000}"/>
    <cellStyle name="20% - Accent5 2 2 3 2 2 2 3 2" xfId="4423" xr:uid="{00000000-0005-0000-0000-000043110000}"/>
    <cellStyle name="20% - Accent5 2 2 3 2 2 2 3 2 2" xfId="4424" xr:uid="{00000000-0005-0000-0000-000044110000}"/>
    <cellStyle name="20% - Accent5 2 2 3 2 2 2 3 3" xfId="4425" xr:uid="{00000000-0005-0000-0000-000045110000}"/>
    <cellStyle name="20% - Accent5 2 2 3 2 2 2 4" xfId="4426" xr:uid="{00000000-0005-0000-0000-000046110000}"/>
    <cellStyle name="20% - Accent5 2 2 3 2 2 2 4 2" xfId="4427" xr:uid="{00000000-0005-0000-0000-000047110000}"/>
    <cellStyle name="20% - Accent5 2 2 3 2 2 2 5" xfId="4428" xr:uid="{00000000-0005-0000-0000-000048110000}"/>
    <cellStyle name="20% - Accent5 2 2 3 2 2 3" xfId="4429" xr:uid="{00000000-0005-0000-0000-000049110000}"/>
    <cellStyle name="20% - Accent5 2 2 3 2 2 3 2" xfId="4430" xr:uid="{00000000-0005-0000-0000-00004A110000}"/>
    <cellStyle name="20% - Accent5 2 2 3 2 2 3 2 2" xfId="4431" xr:uid="{00000000-0005-0000-0000-00004B110000}"/>
    <cellStyle name="20% - Accent5 2 2 3 2 2 3 2 2 2" xfId="4432" xr:uid="{00000000-0005-0000-0000-00004C110000}"/>
    <cellStyle name="20% - Accent5 2 2 3 2 2 3 2 3" xfId="4433" xr:uid="{00000000-0005-0000-0000-00004D110000}"/>
    <cellStyle name="20% - Accent5 2 2 3 2 2 3 3" xfId="4434" xr:uid="{00000000-0005-0000-0000-00004E110000}"/>
    <cellStyle name="20% - Accent5 2 2 3 2 2 3 3 2" xfId="4435" xr:uid="{00000000-0005-0000-0000-00004F110000}"/>
    <cellStyle name="20% - Accent5 2 2 3 2 2 3 4" xfId="4436" xr:uid="{00000000-0005-0000-0000-000050110000}"/>
    <cellStyle name="20% - Accent5 2 2 3 2 2 4" xfId="4437" xr:uid="{00000000-0005-0000-0000-000051110000}"/>
    <cellStyle name="20% - Accent5 2 2 3 2 2 4 2" xfId="4438" xr:uid="{00000000-0005-0000-0000-000052110000}"/>
    <cellStyle name="20% - Accent5 2 2 3 2 2 4 2 2" xfId="4439" xr:uid="{00000000-0005-0000-0000-000053110000}"/>
    <cellStyle name="20% - Accent5 2 2 3 2 2 4 3" xfId="4440" xr:uid="{00000000-0005-0000-0000-000054110000}"/>
    <cellStyle name="20% - Accent5 2 2 3 2 2 5" xfId="4441" xr:uid="{00000000-0005-0000-0000-000055110000}"/>
    <cellStyle name="20% - Accent5 2 2 3 2 2 5 2" xfId="4442" xr:uid="{00000000-0005-0000-0000-000056110000}"/>
    <cellStyle name="20% - Accent5 2 2 3 2 2 6" xfId="4443" xr:uid="{00000000-0005-0000-0000-000057110000}"/>
    <cellStyle name="20% - Accent5 2 2 3 2 3" xfId="4444" xr:uid="{00000000-0005-0000-0000-000058110000}"/>
    <cellStyle name="20% - Accent5 2 2 3 2 3 2" xfId="4445" xr:uid="{00000000-0005-0000-0000-000059110000}"/>
    <cellStyle name="20% - Accent5 2 2 3 2 3 2 2" xfId="4446" xr:uid="{00000000-0005-0000-0000-00005A110000}"/>
    <cellStyle name="20% - Accent5 2 2 3 2 3 2 2 2" xfId="4447" xr:uid="{00000000-0005-0000-0000-00005B110000}"/>
    <cellStyle name="20% - Accent5 2 2 3 2 3 2 2 2 2" xfId="4448" xr:uid="{00000000-0005-0000-0000-00005C110000}"/>
    <cellStyle name="20% - Accent5 2 2 3 2 3 2 2 3" xfId="4449" xr:uid="{00000000-0005-0000-0000-00005D110000}"/>
    <cellStyle name="20% - Accent5 2 2 3 2 3 2 3" xfId="4450" xr:uid="{00000000-0005-0000-0000-00005E110000}"/>
    <cellStyle name="20% - Accent5 2 2 3 2 3 2 3 2" xfId="4451" xr:uid="{00000000-0005-0000-0000-00005F110000}"/>
    <cellStyle name="20% - Accent5 2 2 3 2 3 2 4" xfId="4452" xr:uid="{00000000-0005-0000-0000-000060110000}"/>
    <cellStyle name="20% - Accent5 2 2 3 2 3 3" xfId="4453" xr:uid="{00000000-0005-0000-0000-000061110000}"/>
    <cellStyle name="20% - Accent5 2 2 3 2 3 3 2" xfId="4454" xr:uid="{00000000-0005-0000-0000-000062110000}"/>
    <cellStyle name="20% - Accent5 2 2 3 2 3 3 2 2" xfId="4455" xr:uid="{00000000-0005-0000-0000-000063110000}"/>
    <cellStyle name="20% - Accent5 2 2 3 2 3 3 3" xfId="4456" xr:uid="{00000000-0005-0000-0000-000064110000}"/>
    <cellStyle name="20% - Accent5 2 2 3 2 3 4" xfId="4457" xr:uid="{00000000-0005-0000-0000-000065110000}"/>
    <cellStyle name="20% - Accent5 2 2 3 2 3 4 2" xfId="4458" xr:uid="{00000000-0005-0000-0000-000066110000}"/>
    <cellStyle name="20% - Accent5 2 2 3 2 3 5" xfId="4459" xr:uid="{00000000-0005-0000-0000-000067110000}"/>
    <cellStyle name="20% - Accent5 2 2 3 2 4" xfId="4460" xr:uid="{00000000-0005-0000-0000-000068110000}"/>
    <cellStyle name="20% - Accent5 2 2 3 2 4 2" xfId="4461" xr:uid="{00000000-0005-0000-0000-000069110000}"/>
    <cellStyle name="20% - Accent5 2 2 3 2 4 2 2" xfId="4462" xr:uid="{00000000-0005-0000-0000-00006A110000}"/>
    <cellStyle name="20% - Accent5 2 2 3 2 4 2 2 2" xfId="4463" xr:uid="{00000000-0005-0000-0000-00006B110000}"/>
    <cellStyle name="20% - Accent5 2 2 3 2 4 2 3" xfId="4464" xr:uid="{00000000-0005-0000-0000-00006C110000}"/>
    <cellStyle name="20% - Accent5 2 2 3 2 4 3" xfId="4465" xr:uid="{00000000-0005-0000-0000-00006D110000}"/>
    <cellStyle name="20% - Accent5 2 2 3 2 4 3 2" xfId="4466" xr:uid="{00000000-0005-0000-0000-00006E110000}"/>
    <cellStyle name="20% - Accent5 2 2 3 2 4 4" xfId="4467" xr:uid="{00000000-0005-0000-0000-00006F110000}"/>
    <cellStyle name="20% - Accent5 2 2 3 2 5" xfId="4468" xr:uid="{00000000-0005-0000-0000-000070110000}"/>
    <cellStyle name="20% - Accent5 2 2 3 2 5 2" xfId="4469" xr:uid="{00000000-0005-0000-0000-000071110000}"/>
    <cellStyle name="20% - Accent5 2 2 3 2 5 2 2" xfId="4470" xr:uid="{00000000-0005-0000-0000-000072110000}"/>
    <cellStyle name="20% - Accent5 2 2 3 2 5 3" xfId="4471" xr:uid="{00000000-0005-0000-0000-000073110000}"/>
    <cellStyle name="20% - Accent5 2 2 3 2 6" xfId="4472" xr:uid="{00000000-0005-0000-0000-000074110000}"/>
    <cellStyle name="20% - Accent5 2 2 3 2 6 2" xfId="4473" xr:uid="{00000000-0005-0000-0000-000075110000}"/>
    <cellStyle name="20% - Accent5 2 2 3 2 7" xfId="4474" xr:uid="{00000000-0005-0000-0000-000076110000}"/>
    <cellStyle name="20% - Accent5 2 2 3 3" xfId="4475" xr:uid="{00000000-0005-0000-0000-000077110000}"/>
    <cellStyle name="20% - Accent5 2 2 3 3 2" xfId="4476" xr:uid="{00000000-0005-0000-0000-000078110000}"/>
    <cellStyle name="20% - Accent5 2 2 3 3 2 2" xfId="4477" xr:uid="{00000000-0005-0000-0000-000079110000}"/>
    <cellStyle name="20% - Accent5 2 2 3 3 2 2 2" xfId="4478" xr:uid="{00000000-0005-0000-0000-00007A110000}"/>
    <cellStyle name="20% - Accent5 2 2 3 3 2 2 2 2" xfId="4479" xr:uid="{00000000-0005-0000-0000-00007B110000}"/>
    <cellStyle name="20% - Accent5 2 2 3 3 2 2 2 2 2" xfId="4480" xr:uid="{00000000-0005-0000-0000-00007C110000}"/>
    <cellStyle name="20% - Accent5 2 2 3 3 2 2 2 3" xfId="4481" xr:uid="{00000000-0005-0000-0000-00007D110000}"/>
    <cellStyle name="20% - Accent5 2 2 3 3 2 2 3" xfId="4482" xr:uid="{00000000-0005-0000-0000-00007E110000}"/>
    <cellStyle name="20% - Accent5 2 2 3 3 2 2 3 2" xfId="4483" xr:uid="{00000000-0005-0000-0000-00007F110000}"/>
    <cellStyle name="20% - Accent5 2 2 3 3 2 2 4" xfId="4484" xr:uid="{00000000-0005-0000-0000-000080110000}"/>
    <cellStyle name="20% - Accent5 2 2 3 3 2 3" xfId="4485" xr:uid="{00000000-0005-0000-0000-000081110000}"/>
    <cellStyle name="20% - Accent5 2 2 3 3 2 3 2" xfId="4486" xr:uid="{00000000-0005-0000-0000-000082110000}"/>
    <cellStyle name="20% - Accent5 2 2 3 3 2 3 2 2" xfId="4487" xr:uid="{00000000-0005-0000-0000-000083110000}"/>
    <cellStyle name="20% - Accent5 2 2 3 3 2 3 3" xfId="4488" xr:uid="{00000000-0005-0000-0000-000084110000}"/>
    <cellStyle name="20% - Accent5 2 2 3 3 2 4" xfId="4489" xr:uid="{00000000-0005-0000-0000-000085110000}"/>
    <cellStyle name="20% - Accent5 2 2 3 3 2 4 2" xfId="4490" xr:uid="{00000000-0005-0000-0000-000086110000}"/>
    <cellStyle name="20% - Accent5 2 2 3 3 2 5" xfId="4491" xr:uid="{00000000-0005-0000-0000-000087110000}"/>
    <cellStyle name="20% - Accent5 2 2 3 3 3" xfId="4492" xr:uid="{00000000-0005-0000-0000-000088110000}"/>
    <cellStyle name="20% - Accent5 2 2 3 3 3 2" xfId="4493" xr:uid="{00000000-0005-0000-0000-000089110000}"/>
    <cellStyle name="20% - Accent5 2 2 3 3 3 2 2" xfId="4494" xr:uid="{00000000-0005-0000-0000-00008A110000}"/>
    <cellStyle name="20% - Accent5 2 2 3 3 3 2 2 2" xfId="4495" xr:uid="{00000000-0005-0000-0000-00008B110000}"/>
    <cellStyle name="20% - Accent5 2 2 3 3 3 2 3" xfId="4496" xr:uid="{00000000-0005-0000-0000-00008C110000}"/>
    <cellStyle name="20% - Accent5 2 2 3 3 3 3" xfId="4497" xr:uid="{00000000-0005-0000-0000-00008D110000}"/>
    <cellStyle name="20% - Accent5 2 2 3 3 3 3 2" xfId="4498" xr:uid="{00000000-0005-0000-0000-00008E110000}"/>
    <cellStyle name="20% - Accent5 2 2 3 3 3 4" xfId="4499" xr:uid="{00000000-0005-0000-0000-00008F110000}"/>
    <cellStyle name="20% - Accent5 2 2 3 3 4" xfId="4500" xr:uid="{00000000-0005-0000-0000-000090110000}"/>
    <cellStyle name="20% - Accent5 2 2 3 3 4 2" xfId="4501" xr:uid="{00000000-0005-0000-0000-000091110000}"/>
    <cellStyle name="20% - Accent5 2 2 3 3 4 2 2" xfId="4502" xr:uid="{00000000-0005-0000-0000-000092110000}"/>
    <cellStyle name="20% - Accent5 2 2 3 3 4 3" xfId="4503" xr:uid="{00000000-0005-0000-0000-000093110000}"/>
    <cellStyle name="20% - Accent5 2 2 3 3 5" xfId="4504" xr:uid="{00000000-0005-0000-0000-000094110000}"/>
    <cellStyle name="20% - Accent5 2 2 3 3 5 2" xfId="4505" xr:uid="{00000000-0005-0000-0000-000095110000}"/>
    <cellStyle name="20% - Accent5 2 2 3 3 6" xfId="4506" xr:uid="{00000000-0005-0000-0000-000096110000}"/>
    <cellStyle name="20% - Accent5 2 2 3 4" xfId="4507" xr:uid="{00000000-0005-0000-0000-000097110000}"/>
    <cellStyle name="20% - Accent5 2 2 3 4 2" xfId="4508" xr:uid="{00000000-0005-0000-0000-000098110000}"/>
    <cellStyle name="20% - Accent5 2 2 3 4 2 2" xfId="4509" xr:uid="{00000000-0005-0000-0000-000099110000}"/>
    <cellStyle name="20% - Accent5 2 2 3 4 2 2 2" xfId="4510" xr:uid="{00000000-0005-0000-0000-00009A110000}"/>
    <cellStyle name="20% - Accent5 2 2 3 4 2 2 2 2" xfId="4511" xr:uid="{00000000-0005-0000-0000-00009B110000}"/>
    <cellStyle name="20% - Accent5 2 2 3 4 2 2 3" xfId="4512" xr:uid="{00000000-0005-0000-0000-00009C110000}"/>
    <cellStyle name="20% - Accent5 2 2 3 4 2 3" xfId="4513" xr:uid="{00000000-0005-0000-0000-00009D110000}"/>
    <cellStyle name="20% - Accent5 2 2 3 4 2 3 2" xfId="4514" xr:uid="{00000000-0005-0000-0000-00009E110000}"/>
    <cellStyle name="20% - Accent5 2 2 3 4 2 4" xfId="4515" xr:uid="{00000000-0005-0000-0000-00009F110000}"/>
    <cellStyle name="20% - Accent5 2 2 3 4 3" xfId="4516" xr:uid="{00000000-0005-0000-0000-0000A0110000}"/>
    <cellStyle name="20% - Accent5 2 2 3 4 3 2" xfId="4517" xr:uid="{00000000-0005-0000-0000-0000A1110000}"/>
    <cellStyle name="20% - Accent5 2 2 3 4 3 2 2" xfId="4518" xr:uid="{00000000-0005-0000-0000-0000A2110000}"/>
    <cellStyle name="20% - Accent5 2 2 3 4 3 3" xfId="4519" xr:uid="{00000000-0005-0000-0000-0000A3110000}"/>
    <cellStyle name="20% - Accent5 2 2 3 4 4" xfId="4520" xr:uid="{00000000-0005-0000-0000-0000A4110000}"/>
    <cellStyle name="20% - Accent5 2 2 3 4 4 2" xfId="4521" xr:uid="{00000000-0005-0000-0000-0000A5110000}"/>
    <cellStyle name="20% - Accent5 2 2 3 4 5" xfId="4522" xr:uid="{00000000-0005-0000-0000-0000A6110000}"/>
    <cellStyle name="20% - Accent5 2 2 3 5" xfId="4523" xr:uid="{00000000-0005-0000-0000-0000A7110000}"/>
    <cellStyle name="20% - Accent5 2 2 3 5 2" xfId="4524" xr:uid="{00000000-0005-0000-0000-0000A8110000}"/>
    <cellStyle name="20% - Accent5 2 2 3 5 2 2" xfId="4525" xr:uid="{00000000-0005-0000-0000-0000A9110000}"/>
    <cellStyle name="20% - Accent5 2 2 3 5 2 2 2" xfId="4526" xr:uid="{00000000-0005-0000-0000-0000AA110000}"/>
    <cellStyle name="20% - Accent5 2 2 3 5 2 3" xfId="4527" xr:uid="{00000000-0005-0000-0000-0000AB110000}"/>
    <cellStyle name="20% - Accent5 2 2 3 5 3" xfId="4528" xr:uid="{00000000-0005-0000-0000-0000AC110000}"/>
    <cellStyle name="20% - Accent5 2 2 3 5 3 2" xfId="4529" xr:uid="{00000000-0005-0000-0000-0000AD110000}"/>
    <cellStyle name="20% - Accent5 2 2 3 5 4" xfId="4530" xr:uid="{00000000-0005-0000-0000-0000AE110000}"/>
    <cellStyle name="20% - Accent5 2 2 3 6" xfId="4531" xr:uid="{00000000-0005-0000-0000-0000AF110000}"/>
    <cellStyle name="20% - Accent5 2 2 3 6 2" xfId="4532" xr:uid="{00000000-0005-0000-0000-0000B0110000}"/>
    <cellStyle name="20% - Accent5 2 2 3 6 2 2" xfId="4533" xr:uid="{00000000-0005-0000-0000-0000B1110000}"/>
    <cellStyle name="20% - Accent5 2 2 3 6 3" xfId="4534" xr:uid="{00000000-0005-0000-0000-0000B2110000}"/>
    <cellStyle name="20% - Accent5 2 2 3 7" xfId="4535" xr:uid="{00000000-0005-0000-0000-0000B3110000}"/>
    <cellStyle name="20% - Accent5 2 2 3 7 2" xfId="4536" xr:uid="{00000000-0005-0000-0000-0000B4110000}"/>
    <cellStyle name="20% - Accent5 2 2 3 8" xfId="4537" xr:uid="{00000000-0005-0000-0000-0000B5110000}"/>
    <cellStyle name="20% - Accent5 2 2 4" xfId="4538" xr:uid="{00000000-0005-0000-0000-0000B6110000}"/>
    <cellStyle name="20% - Accent5 2 2 4 2" xfId="4539" xr:uid="{00000000-0005-0000-0000-0000B7110000}"/>
    <cellStyle name="20% - Accent5 2 2 4 2 2" xfId="4540" xr:uid="{00000000-0005-0000-0000-0000B8110000}"/>
    <cellStyle name="20% - Accent5 2 2 4 2 2 2" xfId="4541" xr:uid="{00000000-0005-0000-0000-0000B9110000}"/>
    <cellStyle name="20% - Accent5 2 2 4 2 2 2 2" xfId="4542" xr:uid="{00000000-0005-0000-0000-0000BA110000}"/>
    <cellStyle name="20% - Accent5 2 2 4 2 2 2 2 2" xfId="4543" xr:uid="{00000000-0005-0000-0000-0000BB110000}"/>
    <cellStyle name="20% - Accent5 2 2 4 2 2 2 2 2 2" xfId="4544" xr:uid="{00000000-0005-0000-0000-0000BC110000}"/>
    <cellStyle name="20% - Accent5 2 2 4 2 2 2 2 3" xfId="4545" xr:uid="{00000000-0005-0000-0000-0000BD110000}"/>
    <cellStyle name="20% - Accent5 2 2 4 2 2 2 3" xfId="4546" xr:uid="{00000000-0005-0000-0000-0000BE110000}"/>
    <cellStyle name="20% - Accent5 2 2 4 2 2 2 3 2" xfId="4547" xr:uid="{00000000-0005-0000-0000-0000BF110000}"/>
    <cellStyle name="20% - Accent5 2 2 4 2 2 2 4" xfId="4548" xr:uid="{00000000-0005-0000-0000-0000C0110000}"/>
    <cellStyle name="20% - Accent5 2 2 4 2 2 3" xfId="4549" xr:uid="{00000000-0005-0000-0000-0000C1110000}"/>
    <cellStyle name="20% - Accent5 2 2 4 2 2 3 2" xfId="4550" xr:uid="{00000000-0005-0000-0000-0000C2110000}"/>
    <cellStyle name="20% - Accent5 2 2 4 2 2 3 2 2" xfId="4551" xr:uid="{00000000-0005-0000-0000-0000C3110000}"/>
    <cellStyle name="20% - Accent5 2 2 4 2 2 3 3" xfId="4552" xr:uid="{00000000-0005-0000-0000-0000C4110000}"/>
    <cellStyle name="20% - Accent5 2 2 4 2 2 4" xfId="4553" xr:uid="{00000000-0005-0000-0000-0000C5110000}"/>
    <cellStyle name="20% - Accent5 2 2 4 2 2 4 2" xfId="4554" xr:uid="{00000000-0005-0000-0000-0000C6110000}"/>
    <cellStyle name="20% - Accent5 2 2 4 2 2 5" xfId="4555" xr:uid="{00000000-0005-0000-0000-0000C7110000}"/>
    <cellStyle name="20% - Accent5 2 2 4 2 3" xfId="4556" xr:uid="{00000000-0005-0000-0000-0000C8110000}"/>
    <cellStyle name="20% - Accent5 2 2 4 2 3 2" xfId="4557" xr:uid="{00000000-0005-0000-0000-0000C9110000}"/>
    <cellStyle name="20% - Accent5 2 2 4 2 3 2 2" xfId="4558" xr:uid="{00000000-0005-0000-0000-0000CA110000}"/>
    <cellStyle name="20% - Accent5 2 2 4 2 3 2 2 2" xfId="4559" xr:uid="{00000000-0005-0000-0000-0000CB110000}"/>
    <cellStyle name="20% - Accent5 2 2 4 2 3 2 3" xfId="4560" xr:uid="{00000000-0005-0000-0000-0000CC110000}"/>
    <cellStyle name="20% - Accent5 2 2 4 2 3 3" xfId="4561" xr:uid="{00000000-0005-0000-0000-0000CD110000}"/>
    <cellStyle name="20% - Accent5 2 2 4 2 3 3 2" xfId="4562" xr:uid="{00000000-0005-0000-0000-0000CE110000}"/>
    <cellStyle name="20% - Accent5 2 2 4 2 3 4" xfId="4563" xr:uid="{00000000-0005-0000-0000-0000CF110000}"/>
    <cellStyle name="20% - Accent5 2 2 4 2 4" xfId="4564" xr:uid="{00000000-0005-0000-0000-0000D0110000}"/>
    <cellStyle name="20% - Accent5 2 2 4 2 4 2" xfId="4565" xr:uid="{00000000-0005-0000-0000-0000D1110000}"/>
    <cellStyle name="20% - Accent5 2 2 4 2 4 2 2" xfId="4566" xr:uid="{00000000-0005-0000-0000-0000D2110000}"/>
    <cellStyle name="20% - Accent5 2 2 4 2 4 3" xfId="4567" xr:uid="{00000000-0005-0000-0000-0000D3110000}"/>
    <cellStyle name="20% - Accent5 2 2 4 2 5" xfId="4568" xr:uid="{00000000-0005-0000-0000-0000D4110000}"/>
    <cellStyle name="20% - Accent5 2 2 4 2 5 2" xfId="4569" xr:uid="{00000000-0005-0000-0000-0000D5110000}"/>
    <cellStyle name="20% - Accent5 2 2 4 2 6" xfId="4570" xr:uid="{00000000-0005-0000-0000-0000D6110000}"/>
    <cellStyle name="20% - Accent5 2 2 4 3" xfId="4571" xr:uid="{00000000-0005-0000-0000-0000D7110000}"/>
    <cellStyle name="20% - Accent5 2 2 4 3 2" xfId="4572" xr:uid="{00000000-0005-0000-0000-0000D8110000}"/>
    <cellStyle name="20% - Accent5 2 2 4 3 2 2" xfId="4573" xr:uid="{00000000-0005-0000-0000-0000D9110000}"/>
    <cellStyle name="20% - Accent5 2 2 4 3 2 2 2" xfId="4574" xr:uid="{00000000-0005-0000-0000-0000DA110000}"/>
    <cellStyle name="20% - Accent5 2 2 4 3 2 2 2 2" xfId="4575" xr:uid="{00000000-0005-0000-0000-0000DB110000}"/>
    <cellStyle name="20% - Accent5 2 2 4 3 2 2 3" xfId="4576" xr:uid="{00000000-0005-0000-0000-0000DC110000}"/>
    <cellStyle name="20% - Accent5 2 2 4 3 2 3" xfId="4577" xr:uid="{00000000-0005-0000-0000-0000DD110000}"/>
    <cellStyle name="20% - Accent5 2 2 4 3 2 3 2" xfId="4578" xr:uid="{00000000-0005-0000-0000-0000DE110000}"/>
    <cellStyle name="20% - Accent5 2 2 4 3 2 4" xfId="4579" xr:uid="{00000000-0005-0000-0000-0000DF110000}"/>
    <cellStyle name="20% - Accent5 2 2 4 3 3" xfId="4580" xr:uid="{00000000-0005-0000-0000-0000E0110000}"/>
    <cellStyle name="20% - Accent5 2 2 4 3 3 2" xfId="4581" xr:uid="{00000000-0005-0000-0000-0000E1110000}"/>
    <cellStyle name="20% - Accent5 2 2 4 3 3 2 2" xfId="4582" xr:uid="{00000000-0005-0000-0000-0000E2110000}"/>
    <cellStyle name="20% - Accent5 2 2 4 3 3 3" xfId="4583" xr:uid="{00000000-0005-0000-0000-0000E3110000}"/>
    <cellStyle name="20% - Accent5 2 2 4 3 4" xfId="4584" xr:uid="{00000000-0005-0000-0000-0000E4110000}"/>
    <cellStyle name="20% - Accent5 2 2 4 3 4 2" xfId="4585" xr:uid="{00000000-0005-0000-0000-0000E5110000}"/>
    <cellStyle name="20% - Accent5 2 2 4 3 5" xfId="4586" xr:uid="{00000000-0005-0000-0000-0000E6110000}"/>
    <cellStyle name="20% - Accent5 2 2 4 4" xfId="4587" xr:uid="{00000000-0005-0000-0000-0000E7110000}"/>
    <cellStyle name="20% - Accent5 2 2 4 4 2" xfId="4588" xr:uid="{00000000-0005-0000-0000-0000E8110000}"/>
    <cellStyle name="20% - Accent5 2 2 4 4 2 2" xfId="4589" xr:uid="{00000000-0005-0000-0000-0000E9110000}"/>
    <cellStyle name="20% - Accent5 2 2 4 4 2 2 2" xfId="4590" xr:uid="{00000000-0005-0000-0000-0000EA110000}"/>
    <cellStyle name="20% - Accent5 2 2 4 4 2 3" xfId="4591" xr:uid="{00000000-0005-0000-0000-0000EB110000}"/>
    <cellStyle name="20% - Accent5 2 2 4 4 3" xfId="4592" xr:uid="{00000000-0005-0000-0000-0000EC110000}"/>
    <cellStyle name="20% - Accent5 2 2 4 4 3 2" xfId="4593" xr:uid="{00000000-0005-0000-0000-0000ED110000}"/>
    <cellStyle name="20% - Accent5 2 2 4 4 4" xfId="4594" xr:uid="{00000000-0005-0000-0000-0000EE110000}"/>
    <cellStyle name="20% - Accent5 2 2 4 5" xfId="4595" xr:uid="{00000000-0005-0000-0000-0000EF110000}"/>
    <cellStyle name="20% - Accent5 2 2 4 5 2" xfId="4596" xr:uid="{00000000-0005-0000-0000-0000F0110000}"/>
    <cellStyle name="20% - Accent5 2 2 4 5 2 2" xfId="4597" xr:uid="{00000000-0005-0000-0000-0000F1110000}"/>
    <cellStyle name="20% - Accent5 2 2 4 5 3" xfId="4598" xr:uid="{00000000-0005-0000-0000-0000F2110000}"/>
    <cellStyle name="20% - Accent5 2 2 4 6" xfId="4599" xr:uid="{00000000-0005-0000-0000-0000F3110000}"/>
    <cellStyle name="20% - Accent5 2 2 4 6 2" xfId="4600" xr:uid="{00000000-0005-0000-0000-0000F4110000}"/>
    <cellStyle name="20% - Accent5 2 2 4 7" xfId="4601" xr:uid="{00000000-0005-0000-0000-0000F5110000}"/>
    <cellStyle name="20% - Accent5 2 2 5" xfId="4602" xr:uid="{00000000-0005-0000-0000-0000F6110000}"/>
    <cellStyle name="20% - Accent5 2 2 5 2" xfId="4603" xr:uid="{00000000-0005-0000-0000-0000F7110000}"/>
    <cellStyle name="20% - Accent5 2 2 5 2 2" xfId="4604" xr:uid="{00000000-0005-0000-0000-0000F8110000}"/>
    <cellStyle name="20% - Accent5 2 2 5 2 2 2" xfId="4605" xr:uid="{00000000-0005-0000-0000-0000F9110000}"/>
    <cellStyle name="20% - Accent5 2 2 5 2 2 2 2" xfId="4606" xr:uid="{00000000-0005-0000-0000-0000FA110000}"/>
    <cellStyle name="20% - Accent5 2 2 5 2 2 2 2 2" xfId="4607" xr:uid="{00000000-0005-0000-0000-0000FB110000}"/>
    <cellStyle name="20% - Accent5 2 2 5 2 2 2 3" xfId="4608" xr:uid="{00000000-0005-0000-0000-0000FC110000}"/>
    <cellStyle name="20% - Accent5 2 2 5 2 2 3" xfId="4609" xr:uid="{00000000-0005-0000-0000-0000FD110000}"/>
    <cellStyle name="20% - Accent5 2 2 5 2 2 3 2" xfId="4610" xr:uid="{00000000-0005-0000-0000-0000FE110000}"/>
    <cellStyle name="20% - Accent5 2 2 5 2 2 4" xfId="4611" xr:uid="{00000000-0005-0000-0000-0000FF110000}"/>
    <cellStyle name="20% - Accent5 2 2 5 2 3" xfId="4612" xr:uid="{00000000-0005-0000-0000-000000120000}"/>
    <cellStyle name="20% - Accent5 2 2 5 2 3 2" xfId="4613" xr:uid="{00000000-0005-0000-0000-000001120000}"/>
    <cellStyle name="20% - Accent5 2 2 5 2 3 2 2" xfId="4614" xr:uid="{00000000-0005-0000-0000-000002120000}"/>
    <cellStyle name="20% - Accent5 2 2 5 2 3 3" xfId="4615" xr:uid="{00000000-0005-0000-0000-000003120000}"/>
    <cellStyle name="20% - Accent5 2 2 5 2 4" xfId="4616" xr:uid="{00000000-0005-0000-0000-000004120000}"/>
    <cellStyle name="20% - Accent5 2 2 5 2 4 2" xfId="4617" xr:uid="{00000000-0005-0000-0000-000005120000}"/>
    <cellStyle name="20% - Accent5 2 2 5 2 5" xfId="4618" xr:uid="{00000000-0005-0000-0000-000006120000}"/>
    <cellStyle name="20% - Accent5 2 2 5 3" xfId="4619" xr:uid="{00000000-0005-0000-0000-000007120000}"/>
    <cellStyle name="20% - Accent5 2 2 5 3 2" xfId="4620" xr:uid="{00000000-0005-0000-0000-000008120000}"/>
    <cellStyle name="20% - Accent5 2 2 5 3 2 2" xfId="4621" xr:uid="{00000000-0005-0000-0000-000009120000}"/>
    <cellStyle name="20% - Accent5 2 2 5 3 2 2 2" xfId="4622" xr:uid="{00000000-0005-0000-0000-00000A120000}"/>
    <cellStyle name="20% - Accent5 2 2 5 3 2 3" xfId="4623" xr:uid="{00000000-0005-0000-0000-00000B120000}"/>
    <cellStyle name="20% - Accent5 2 2 5 3 3" xfId="4624" xr:uid="{00000000-0005-0000-0000-00000C120000}"/>
    <cellStyle name="20% - Accent5 2 2 5 3 3 2" xfId="4625" xr:uid="{00000000-0005-0000-0000-00000D120000}"/>
    <cellStyle name="20% - Accent5 2 2 5 3 4" xfId="4626" xr:uid="{00000000-0005-0000-0000-00000E120000}"/>
    <cellStyle name="20% - Accent5 2 2 5 4" xfId="4627" xr:uid="{00000000-0005-0000-0000-00000F120000}"/>
    <cellStyle name="20% - Accent5 2 2 5 4 2" xfId="4628" xr:uid="{00000000-0005-0000-0000-000010120000}"/>
    <cellStyle name="20% - Accent5 2 2 5 4 2 2" xfId="4629" xr:uid="{00000000-0005-0000-0000-000011120000}"/>
    <cellStyle name="20% - Accent5 2 2 5 4 3" xfId="4630" xr:uid="{00000000-0005-0000-0000-000012120000}"/>
    <cellStyle name="20% - Accent5 2 2 5 5" xfId="4631" xr:uid="{00000000-0005-0000-0000-000013120000}"/>
    <cellStyle name="20% - Accent5 2 2 5 5 2" xfId="4632" xr:uid="{00000000-0005-0000-0000-000014120000}"/>
    <cellStyle name="20% - Accent5 2 2 5 6" xfId="4633" xr:uid="{00000000-0005-0000-0000-000015120000}"/>
    <cellStyle name="20% - Accent5 2 2 6" xfId="4634" xr:uid="{00000000-0005-0000-0000-000016120000}"/>
    <cellStyle name="20% - Accent5 2 2 6 2" xfId="4635" xr:uid="{00000000-0005-0000-0000-000017120000}"/>
    <cellStyle name="20% - Accent5 2 2 6 2 2" xfId="4636" xr:uid="{00000000-0005-0000-0000-000018120000}"/>
    <cellStyle name="20% - Accent5 2 2 6 2 2 2" xfId="4637" xr:uid="{00000000-0005-0000-0000-000019120000}"/>
    <cellStyle name="20% - Accent5 2 2 6 2 2 2 2" xfId="4638" xr:uid="{00000000-0005-0000-0000-00001A120000}"/>
    <cellStyle name="20% - Accent5 2 2 6 2 2 3" xfId="4639" xr:uid="{00000000-0005-0000-0000-00001B120000}"/>
    <cellStyle name="20% - Accent5 2 2 6 2 3" xfId="4640" xr:uid="{00000000-0005-0000-0000-00001C120000}"/>
    <cellStyle name="20% - Accent5 2 2 6 2 3 2" xfId="4641" xr:uid="{00000000-0005-0000-0000-00001D120000}"/>
    <cellStyle name="20% - Accent5 2 2 6 2 4" xfId="4642" xr:uid="{00000000-0005-0000-0000-00001E120000}"/>
    <cellStyle name="20% - Accent5 2 2 6 3" xfId="4643" xr:uid="{00000000-0005-0000-0000-00001F120000}"/>
    <cellStyle name="20% - Accent5 2 2 6 3 2" xfId="4644" xr:uid="{00000000-0005-0000-0000-000020120000}"/>
    <cellStyle name="20% - Accent5 2 2 6 3 2 2" xfId="4645" xr:uid="{00000000-0005-0000-0000-000021120000}"/>
    <cellStyle name="20% - Accent5 2 2 6 3 3" xfId="4646" xr:uid="{00000000-0005-0000-0000-000022120000}"/>
    <cellStyle name="20% - Accent5 2 2 6 4" xfId="4647" xr:uid="{00000000-0005-0000-0000-000023120000}"/>
    <cellStyle name="20% - Accent5 2 2 6 4 2" xfId="4648" xr:uid="{00000000-0005-0000-0000-000024120000}"/>
    <cellStyle name="20% - Accent5 2 2 6 5" xfId="4649" xr:uid="{00000000-0005-0000-0000-000025120000}"/>
    <cellStyle name="20% - Accent5 2 2 7" xfId="4650" xr:uid="{00000000-0005-0000-0000-000026120000}"/>
    <cellStyle name="20% - Accent5 2 2 7 2" xfId="4651" xr:uid="{00000000-0005-0000-0000-000027120000}"/>
    <cellStyle name="20% - Accent5 2 2 7 2 2" xfId="4652" xr:uid="{00000000-0005-0000-0000-000028120000}"/>
    <cellStyle name="20% - Accent5 2 2 7 2 2 2" xfId="4653" xr:uid="{00000000-0005-0000-0000-000029120000}"/>
    <cellStyle name="20% - Accent5 2 2 7 2 3" xfId="4654" xr:uid="{00000000-0005-0000-0000-00002A120000}"/>
    <cellStyle name="20% - Accent5 2 2 7 3" xfId="4655" xr:uid="{00000000-0005-0000-0000-00002B120000}"/>
    <cellStyle name="20% - Accent5 2 2 7 3 2" xfId="4656" xr:uid="{00000000-0005-0000-0000-00002C120000}"/>
    <cellStyle name="20% - Accent5 2 2 7 4" xfId="4657" xr:uid="{00000000-0005-0000-0000-00002D120000}"/>
    <cellStyle name="20% - Accent5 2 2 8" xfId="4658" xr:uid="{00000000-0005-0000-0000-00002E120000}"/>
    <cellStyle name="20% - Accent5 2 2 8 2" xfId="4659" xr:uid="{00000000-0005-0000-0000-00002F120000}"/>
    <cellStyle name="20% - Accent5 2 2 8 2 2" xfId="4660" xr:uid="{00000000-0005-0000-0000-000030120000}"/>
    <cellStyle name="20% - Accent5 2 2 8 3" xfId="4661" xr:uid="{00000000-0005-0000-0000-000031120000}"/>
    <cellStyle name="20% - Accent5 2 2 9" xfId="4662" xr:uid="{00000000-0005-0000-0000-000032120000}"/>
    <cellStyle name="20% - Accent5 2 2 9 2" xfId="4663" xr:uid="{00000000-0005-0000-0000-000033120000}"/>
    <cellStyle name="20% - Accent5 2 3" xfId="4664" xr:uid="{00000000-0005-0000-0000-000034120000}"/>
    <cellStyle name="20% - Accent5 2 3 2" xfId="4665" xr:uid="{00000000-0005-0000-0000-000035120000}"/>
    <cellStyle name="20% - Accent5 2 3 2 2" xfId="4666" xr:uid="{00000000-0005-0000-0000-000036120000}"/>
    <cellStyle name="20% - Accent5 2 3 2 2 2" xfId="4667" xr:uid="{00000000-0005-0000-0000-000037120000}"/>
    <cellStyle name="20% - Accent5 2 3 2 2 2 2" xfId="4668" xr:uid="{00000000-0005-0000-0000-000038120000}"/>
    <cellStyle name="20% - Accent5 2 3 2 2 2 2 2" xfId="4669" xr:uid="{00000000-0005-0000-0000-000039120000}"/>
    <cellStyle name="20% - Accent5 2 3 2 2 2 2 2 2" xfId="4670" xr:uid="{00000000-0005-0000-0000-00003A120000}"/>
    <cellStyle name="20% - Accent5 2 3 2 2 2 2 2 2 2" xfId="4671" xr:uid="{00000000-0005-0000-0000-00003B120000}"/>
    <cellStyle name="20% - Accent5 2 3 2 2 2 2 2 2 2 2" xfId="4672" xr:uid="{00000000-0005-0000-0000-00003C120000}"/>
    <cellStyle name="20% - Accent5 2 3 2 2 2 2 2 2 3" xfId="4673" xr:uid="{00000000-0005-0000-0000-00003D120000}"/>
    <cellStyle name="20% - Accent5 2 3 2 2 2 2 2 3" xfId="4674" xr:uid="{00000000-0005-0000-0000-00003E120000}"/>
    <cellStyle name="20% - Accent5 2 3 2 2 2 2 2 3 2" xfId="4675" xr:uid="{00000000-0005-0000-0000-00003F120000}"/>
    <cellStyle name="20% - Accent5 2 3 2 2 2 2 2 4" xfId="4676" xr:uid="{00000000-0005-0000-0000-000040120000}"/>
    <cellStyle name="20% - Accent5 2 3 2 2 2 2 3" xfId="4677" xr:uid="{00000000-0005-0000-0000-000041120000}"/>
    <cellStyle name="20% - Accent5 2 3 2 2 2 2 3 2" xfId="4678" xr:uid="{00000000-0005-0000-0000-000042120000}"/>
    <cellStyle name="20% - Accent5 2 3 2 2 2 2 3 2 2" xfId="4679" xr:uid="{00000000-0005-0000-0000-000043120000}"/>
    <cellStyle name="20% - Accent5 2 3 2 2 2 2 3 3" xfId="4680" xr:uid="{00000000-0005-0000-0000-000044120000}"/>
    <cellStyle name="20% - Accent5 2 3 2 2 2 2 4" xfId="4681" xr:uid="{00000000-0005-0000-0000-000045120000}"/>
    <cellStyle name="20% - Accent5 2 3 2 2 2 2 4 2" xfId="4682" xr:uid="{00000000-0005-0000-0000-000046120000}"/>
    <cellStyle name="20% - Accent5 2 3 2 2 2 2 5" xfId="4683" xr:uid="{00000000-0005-0000-0000-000047120000}"/>
    <cellStyle name="20% - Accent5 2 3 2 2 2 3" xfId="4684" xr:uid="{00000000-0005-0000-0000-000048120000}"/>
    <cellStyle name="20% - Accent5 2 3 2 2 2 3 2" xfId="4685" xr:uid="{00000000-0005-0000-0000-000049120000}"/>
    <cellStyle name="20% - Accent5 2 3 2 2 2 3 2 2" xfId="4686" xr:uid="{00000000-0005-0000-0000-00004A120000}"/>
    <cellStyle name="20% - Accent5 2 3 2 2 2 3 2 2 2" xfId="4687" xr:uid="{00000000-0005-0000-0000-00004B120000}"/>
    <cellStyle name="20% - Accent5 2 3 2 2 2 3 2 3" xfId="4688" xr:uid="{00000000-0005-0000-0000-00004C120000}"/>
    <cellStyle name="20% - Accent5 2 3 2 2 2 3 3" xfId="4689" xr:uid="{00000000-0005-0000-0000-00004D120000}"/>
    <cellStyle name="20% - Accent5 2 3 2 2 2 3 3 2" xfId="4690" xr:uid="{00000000-0005-0000-0000-00004E120000}"/>
    <cellStyle name="20% - Accent5 2 3 2 2 2 3 4" xfId="4691" xr:uid="{00000000-0005-0000-0000-00004F120000}"/>
    <cellStyle name="20% - Accent5 2 3 2 2 2 4" xfId="4692" xr:uid="{00000000-0005-0000-0000-000050120000}"/>
    <cellStyle name="20% - Accent5 2 3 2 2 2 4 2" xfId="4693" xr:uid="{00000000-0005-0000-0000-000051120000}"/>
    <cellStyle name="20% - Accent5 2 3 2 2 2 4 2 2" xfId="4694" xr:uid="{00000000-0005-0000-0000-000052120000}"/>
    <cellStyle name="20% - Accent5 2 3 2 2 2 4 3" xfId="4695" xr:uid="{00000000-0005-0000-0000-000053120000}"/>
    <cellStyle name="20% - Accent5 2 3 2 2 2 5" xfId="4696" xr:uid="{00000000-0005-0000-0000-000054120000}"/>
    <cellStyle name="20% - Accent5 2 3 2 2 2 5 2" xfId="4697" xr:uid="{00000000-0005-0000-0000-000055120000}"/>
    <cellStyle name="20% - Accent5 2 3 2 2 2 6" xfId="4698" xr:uid="{00000000-0005-0000-0000-000056120000}"/>
    <cellStyle name="20% - Accent5 2 3 2 2 3" xfId="4699" xr:uid="{00000000-0005-0000-0000-000057120000}"/>
    <cellStyle name="20% - Accent5 2 3 2 2 3 2" xfId="4700" xr:uid="{00000000-0005-0000-0000-000058120000}"/>
    <cellStyle name="20% - Accent5 2 3 2 2 3 2 2" xfId="4701" xr:uid="{00000000-0005-0000-0000-000059120000}"/>
    <cellStyle name="20% - Accent5 2 3 2 2 3 2 2 2" xfId="4702" xr:uid="{00000000-0005-0000-0000-00005A120000}"/>
    <cellStyle name="20% - Accent5 2 3 2 2 3 2 2 2 2" xfId="4703" xr:uid="{00000000-0005-0000-0000-00005B120000}"/>
    <cellStyle name="20% - Accent5 2 3 2 2 3 2 2 3" xfId="4704" xr:uid="{00000000-0005-0000-0000-00005C120000}"/>
    <cellStyle name="20% - Accent5 2 3 2 2 3 2 3" xfId="4705" xr:uid="{00000000-0005-0000-0000-00005D120000}"/>
    <cellStyle name="20% - Accent5 2 3 2 2 3 2 3 2" xfId="4706" xr:uid="{00000000-0005-0000-0000-00005E120000}"/>
    <cellStyle name="20% - Accent5 2 3 2 2 3 2 4" xfId="4707" xr:uid="{00000000-0005-0000-0000-00005F120000}"/>
    <cellStyle name="20% - Accent5 2 3 2 2 3 3" xfId="4708" xr:uid="{00000000-0005-0000-0000-000060120000}"/>
    <cellStyle name="20% - Accent5 2 3 2 2 3 3 2" xfId="4709" xr:uid="{00000000-0005-0000-0000-000061120000}"/>
    <cellStyle name="20% - Accent5 2 3 2 2 3 3 2 2" xfId="4710" xr:uid="{00000000-0005-0000-0000-000062120000}"/>
    <cellStyle name="20% - Accent5 2 3 2 2 3 3 3" xfId="4711" xr:uid="{00000000-0005-0000-0000-000063120000}"/>
    <cellStyle name="20% - Accent5 2 3 2 2 3 4" xfId="4712" xr:uid="{00000000-0005-0000-0000-000064120000}"/>
    <cellStyle name="20% - Accent5 2 3 2 2 3 4 2" xfId="4713" xr:uid="{00000000-0005-0000-0000-000065120000}"/>
    <cellStyle name="20% - Accent5 2 3 2 2 3 5" xfId="4714" xr:uid="{00000000-0005-0000-0000-000066120000}"/>
    <cellStyle name="20% - Accent5 2 3 2 2 4" xfId="4715" xr:uid="{00000000-0005-0000-0000-000067120000}"/>
    <cellStyle name="20% - Accent5 2 3 2 2 4 2" xfId="4716" xr:uid="{00000000-0005-0000-0000-000068120000}"/>
    <cellStyle name="20% - Accent5 2 3 2 2 4 2 2" xfId="4717" xr:uid="{00000000-0005-0000-0000-000069120000}"/>
    <cellStyle name="20% - Accent5 2 3 2 2 4 2 2 2" xfId="4718" xr:uid="{00000000-0005-0000-0000-00006A120000}"/>
    <cellStyle name="20% - Accent5 2 3 2 2 4 2 3" xfId="4719" xr:uid="{00000000-0005-0000-0000-00006B120000}"/>
    <cellStyle name="20% - Accent5 2 3 2 2 4 3" xfId="4720" xr:uid="{00000000-0005-0000-0000-00006C120000}"/>
    <cellStyle name="20% - Accent5 2 3 2 2 4 3 2" xfId="4721" xr:uid="{00000000-0005-0000-0000-00006D120000}"/>
    <cellStyle name="20% - Accent5 2 3 2 2 4 4" xfId="4722" xr:uid="{00000000-0005-0000-0000-00006E120000}"/>
    <cellStyle name="20% - Accent5 2 3 2 2 5" xfId="4723" xr:uid="{00000000-0005-0000-0000-00006F120000}"/>
    <cellStyle name="20% - Accent5 2 3 2 2 5 2" xfId="4724" xr:uid="{00000000-0005-0000-0000-000070120000}"/>
    <cellStyle name="20% - Accent5 2 3 2 2 5 2 2" xfId="4725" xr:uid="{00000000-0005-0000-0000-000071120000}"/>
    <cellStyle name="20% - Accent5 2 3 2 2 5 3" xfId="4726" xr:uid="{00000000-0005-0000-0000-000072120000}"/>
    <cellStyle name="20% - Accent5 2 3 2 2 6" xfId="4727" xr:uid="{00000000-0005-0000-0000-000073120000}"/>
    <cellStyle name="20% - Accent5 2 3 2 2 6 2" xfId="4728" xr:uid="{00000000-0005-0000-0000-000074120000}"/>
    <cellStyle name="20% - Accent5 2 3 2 2 7" xfId="4729" xr:uid="{00000000-0005-0000-0000-000075120000}"/>
    <cellStyle name="20% - Accent5 2 3 2 3" xfId="4730" xr:uid="{00000000-0005-0000-0000-000076120000}"/>
    <cellStyle name="20% - Accent5 2 3 2 3 2" xfId="4731" xr:uid="{00000000-0005-0000-0000-000077120000}"/>
    <cellStyle name="20% - Accent5 2 3 2 3 2 2" xfId="4732" xr:uid="{00000000-0005-0000-0000-000078120000}"/>
    <cellStyle name="20% - Accent5 2 3 2 3 2 2 2" xfId="4733" xr:uid="{00000000-0005-0000-0000-000079120000}"/>
    <cellStyle name="20% - Accent5 2 3 2 3 2 2 2 2" xfId="4734" xr:uid="{00000000-0005-0000-0000-00007A120000}"/>
    <cellStyle name="20% - Accent5 2 3 2 3 2 2 2 2 2" xfId="4735" xr:uid="{00000000-0005-0000-0000-00007B120000}"/>
    <cellStyle name="20% - Accent5 2 3 2 3 2 2 2 3" xfId="4736" xr:uid="{00000000-0005-0000-0000-00007C120000}"/>
    <cellStyle name="20% - Accent5 2 3 2 3 2 2 3" xfId="4737" xr:uid="{00000000-0005-0000-0000-00007D120000}"/>
    <cellStyle name="20% - Accent5 2 3 2 3 2 2 3 2" xfId="4738" xr:uid="{00000000-0005-0000-0000-00007E120000}"/>
    <cellStyle name="20% - Accent5 2 3 2 3 2 2 4" xfId="4739" xr:uid="{00000000-0005-0000-0000-00007F120000}"/>
    <cellStyle name="20% - Accent5 2 3 2 3 2 3" xfId="4740" xr:uid="{00000000-0005-0000-0000-000080120000}"/>
    <cellStyle name="20% - Accent5 2 3 2 3 2 3 2" xfId="4741" xr:uid="{00000000-0005-0000-0000-000081120000}"/>
    <cellStyle name="20% - Accent5 2 3 2 3 2 3 2 2" xfId="4742" xr:uid="{00000000-0005-0000-0000-000082120000}"/>
    <cellStyle name="20% - Accent5 2 3 2 3 2 3 3" xfId="4743" xr:uid="{00000000-0005-0000-0000-000083120000}"/>
    <cellStyle name="20% - Accent5 2 3 2 3 2 4" xfId="4744" xr:uid="{00000000-0005-0000-0000-000084120000}"/>
    <cellStyle name="20% - Accent5 2 3 2 3 2 4 2" xfId="4745" xr:uid="{00000000-0005-0000-0000-000085120000}"/>
    <cellStyle name="20% - Accent5 2 3 2 3 2 5" xfId="4746" xr:uid="{00000000-0005-0000-0000-000086120000}"/>
    <cellStyle name="20% - Accent5 2 3 2 3 3" xfId="4747" xr:uid="{00000000-0005-0000-0000-000087120000}"/>
    <cellStyle name="20% - Accent5 2 3 2 3 3 2" xfId="4748" xr:uid="{00000000-0005-0000-0000-000088120000}"/>
    <cellStyle name="20% - Accent5 2 3 2 3 3 2 2" xfId="4749" xr:uid="{00000000-0005-0000-0000-000089120000}"/>
    <cellStyle name="20% - Accent5 2 3 2 3 3 2 2 2" xfId="4750" xr:uid="{00000000-0005-0000-0000-00008A120000}"/>
    <cellStyle name="20% - Accent5 2 3 2 3 3 2 3" xfId="4751" xr:uid="{00000000-0005-0000-0000-00008B120000}"/>
    <cellStyle name="20% - Accent5 2 3 2 3 3 3" xfId="4752" xr:uid="{00000000-0005-0000-0000-00008C120000}"/>
    <cellStyle name="20% - Accent5 2 3 2 3 3 3 2" xfId="4753" xr:uid="{00000000-0005-0000-0000-00008D120000}"/>
    <cellStyle name="20% - Accent5 2 3 2 3 3 4" xfId="4754" xr:uid="{00000000-0005-0000-0000-00008E120000}"/>
    <cellStyle name="20% - Accent5 2 3 2 3 4" xfId="4755" xr:uid="{00000000-0005-0000-0000-00008F120000}"/>
    <cellStyle name="20% - Accent5 2 3 2 3 4 2" xfId="4756" xr:uid="{00000000-0005-0000-0000-000090120000}"/>
    <cellStyle name="20% - Accent5 2 3 2 3 4 2 2" xfId="4757" xr:uid="{00000000-0005-0000-0000-000091120000}"/>
    <cellStyle name="20% - Accent5 2 3 2 3 4 3" xfId="4758" xr:uid="{00000000-0005-0000-0000-000092120000}"/>
    <cellStyle name="20% - Accent5 2 3 2 3 5" xfId="4759" xr:uid="{00000000-0005-0000-0000-000093120000}"/>
    <cellStyle name="20% - Accent5 2 3 2 3 5 2" xfId="4760" xr:uid="{00000000-0005-0000-0000-000094120000}"/>
    <cellStyle name="20% - Accent5 2 3 2 3 6" xfId="4761" xr:uid="{00000000-0005-0000-0000-000095120000}"/>
    <cellStyle name="20% - Accent5 2 3 2 4" xfId="4762" xr:uid="{00000000-0005-0000-0000-000096120000}"/>
    <cellStyle name="20% - Accent5 2 3 2 4 2" xfId="4763" xr:uid="{00000000-0005-0000-0000-000097120000}"/>
    <cellStyle name="20% - Accent5 2 3 2 4 2 2" xfId="4764" xr:uid="{00000000-0005-0000-0000-000098120000}"/>
    <cellStyle name="20% - Accent5 2 3 2 4 2 2 2" xfId="4765" xr:uid="{00000000-0005-0000-0000-000099120000}"/>
    <cellStyle name="20% - Accent5 2 3 2 4 2 2 2 2" xfId="4766" xr:uid="{00000000-0005-0000-0000-00009A120000}"/>
    <cellStyle name="20% - Accent5 2 3 2 4 2 2 3" xfId="4767" xr:uid="{00000000-0005-0000-0000-00009B120000}"/>
    <cellStyle name="20% - Accent5 2 3 2 4 2 3" xfId="4768" xr:uid="{00000000-0005-0000-0000-00009C120000}"/>
    <cellStyle name="20% - Accent5 2 3 2 4 2 3 2" xfId="4769" xr:uid="{00000000-0005-0000-0000-00009D120000}"/>
    <cellStyle name="20% - Accent5 2 3 2 4 2 4" xfId="4770" xr:uid="{00000000-0005-0000-0000-00009E120000}"/>
    <cellStyle name="20% - Accent5 2 3 2 4 3" xfId="4771" xr:uid="{00000000-0005-0000-0000-00009F120000}"/>
    <cellStyle name="20% - Accent5 2 3 2 4 3 2" xfId="4772" xr:uid="{00000000-0005-0000-0000-0000A0120000}"/>
    <cellStyle name="20% - Accent5 2 3 2 4 3 2 2" xfId="4773" xr:uid="{00000000-0005-0000-0000-0000A1120000}"/>
    <cellStyle name="20% - Accent5 2 3 2 4 3 3" xfId="4774" xr:uid="{00000000-0005-0000-0000-0000A2120000}"/>
    <cellStyle name="20% - Accent5 2 3 2 4 4" xfId="4775" xr:uid="{00000000-0005-0000-0000-0000A3120000}"/>
    <cellStyle name="20% - Accent5 2 3 2 4 4 2" xfId="4776" xr:uid="{00000000-0005-0000-0000-0000A4120000}"/>
    <cellStyle name="20% - Accent5 2 3 2 4 5" xfId="4777" xr:uid="{00000000-0005-0000-0000-0000A5120000}"/>
    <cellStyle name="20% - Accent5 2 3 2 5" xfId="4778" xr:uid="{00000000-0005-0000-0000-0000A6120000}"/>
    <cellStyle name="20% - Accent5 2 3 2 5 2" xfId="4779" xr:uid="{00000000-0005-0000-0000-0000A7120000}"/>
    <cellStyle name="20% - Accent5 2 3 2 5 2 2" xfId="4780" xr:uid="{00000000-0005-0000-0000-0000A8120000}"/>
    <cellStyle name="20% - Accent5 2 3 2 5 2 2 2" xfId="4781" xr:uid="{00000000-0005-0000-0000-0000A9120000}"/>
    <cellStyle name="20% - Accent5 2 3 2 5 2 3" xfId="4782" xr:uid="{00000000-0005-0000-0000-0000AA120000}"/>
    <cellStyle name="20% - Accent5 2 3 2 5 3" xfId="4783" xr:uid="{00000000-0005-0000-0000-0000AB120000}"/>
    <cellStyle name="20% - Accent5 2 3 2 5 3 2" xfId="4784" xr:uid="{00000000-0005-0000-0000-0000AC120000}"/>
    <cellStyle name="20% - Accent5 2 3 2 5 4" xfId="4785" xr:uid="{00000000-0005-0000-0000-0000AD120000}"/>
    <cellStyle name="20% - Accent5 2 3 2 6" xfId="4786" xr:uid="{00000000-0005-0000-0000-0000AE120000}"/>
    <cellStyle name="20% - Accent5 2 3 2 6 2" xfId="4787" xr:uid="{00000000-0005-0000-0000-0000AF120000}"/>
    <cellStyle name="20% - Accent5 2 3 2 6 2 2" xfId="4788" xr:uid="{00000000-0005-0000-0000-0000B0120000}"/>
    <cellStyle name="20% - Accent5 2 3 2 6 3" xfId="4789" xr:uid="{00000000-0005-0000-0000-0000B1120000}"/>
    <cellStyle name="20% - Accent5 2 3 2 7" xfId="4790" xr:uid="{00000000-0005-0000-0000-0000B2120000}"/>
    <cellStyle name="20% - Accent5 2 3 2 7 2" xfId="4791" xr:uid="{00000000-0005-0000-0000-0000B3120000}"/>
    <cellStyle name="20% - Accent5 2 3 2 8" xfId="4792" xr:uid="{00000000-0005-0000-0000-0000B4120000}"/>
    <cellStyle name="20% - Accent5 2 3 3" xfId="4793" xr:uid="{00000000-0005-0000-0000-0000B5120000}"/>
    <cellStyle name="20% - Accent5 2 3 3 2" xfId="4794" xr:uid="{00000000-0005-0000-0000-0000B6120000}"/>
    <cellStyle name="20% - Accent5 2 3 3 2 2" xfId="4795" xr:uid="{00000000-0005-0000-0000-0000B7120000}"/>
    <cellStyle name="20% - Accent5 2 3 3 2 2 2" xfId="4796" xr:uid="{00000000-0005-0000-0000-0000B8120000}"/>
    <cellStyle name="20% - Accent5 2 3 3 2 2 2 2" xfId="4797" xr:uid="{00000000-0005-0000-0000-0000B9120000}"/>
    <cellStyle name="20% - Accent5 2 3 3 2 2 2 2 2" xfId="4798" xr:uid="{00000000-0005-0000-0000-0000BA120000}"/>
    <cellStyle name="20% - Accent5 2 3 3 2 2 2 2 2 2" xfId="4799" xr:uid="{00000000-0005-0000-0000-0000BB120000}"/>
    <cellStyle name="20% - Accent5 2 3 3 2 2 2 2 3" xfId="4800" xr:uid="{00000000-0005-0000-0000-0000BC120000}"/>
    <cellStyle name="20% - Accent5 2 3 3 2 2 2 3" xfId="4801" xr:uid="{00000000-0005-0000-0000-0000BD120000}"/>
    <cellStyle name="20% - Accent5 2 3 3 2 2 2 3 2" xfId="4802" xr:uid="{00000000-0005-0000-0000-0000BE120000}"/>
    <cellStyle name="20% - Accent5 2 3 3 2 2 2 4" xfId="4803" xr:uid="{00000000-0005-0000-0000-0000BF120000}"/>
    <cellStyle name="20% - Accent5 2 3 3 2 2 3" xfId="4804" xr:uid="{00000000-0005-0000-0000-0000C0120000}"/>
    <cellStyle name="20% - Accent5 2 3 3 2 2 3 2" xfId="4805" xr:uid="{00000000-0005-0000-0000-0000C1120000}"/>
    <cellStyle name="20% - Accent5 2 3 3 2 2 3 2 2" xfId="4806" xr:uid="{00000000-0005-0000-0000-0000C2120000}"/>
    <cellStyle name="20% - Accent5 2 3 3 2 2 3 3" xfId="4807" xr:uid="{00000000-0005-0000-0000-0000C3120000}"/>
    <cellStyle name="20% - Accent5 2 3 3 2 2 4" xfId="4808" xr:uid="{00000000-0005-0000-0000-0000C4120000}"/>
    <cellStyle name="20% - Accent5 2 3 3 2 2 4 2" xfId="4809" xr:uid="{00000000-0005-0000-0000-0000C5120000}"/>
    <cellStyle name="20% - Accent5 2 3 3 2 2 5" xfId="4810" xr:uid="{00000000-0005-0000-0000-0000C6120000}"/>
    <cellStyle name="20% - Accent5 2 3 3 2 3" xfId="4811" xr:uid="{00000000-0005-0000-0000-0000C7120000}"/>
    <cellStyle name="20% - Accent5 2 3 3 2 3 2" xfId="4812" xr:uid="{00000000-0005-0000-0000-0000C8120000}"/>
    <cellStyle name="20% - Accent5 2 3 3 2 3 2 2" xfId="4813" xr:uid="{00000000-0005-0000-0000-0000C9120000}"/>
    <cellStyle name="20% - Accent5 2 3 3 2 3 2 2 2" xfId="4814" xr:uid="{00000000-0005-0000-0000-0000CA120000}"/>
    <cellStyle name="20% - Accent5 2 3 3 2 3 2 3" xfId="4815" xr:uid="{00000000-0005-0000-0000-0000CB120000}"/>
    <cellStyle name="20% - Accent5 2 3 3 2 3 3" xfId="4816" xr:uid="{00000000-0005-0000-0000-0000CC120000}"/>
    <cellStyle name="20% - Accent5 2 3 3 2 3 3 2" xfId="4817" xr:uid="{00000000-0005-0000-0000-0000CD120000}"/>
    <cellStyle name="20% - Accent5 2 3 3 2 3 4" xfId="4818" xr:uid="{00000000-0005-0000-0000-0000CE120000}"/>
    <cellStyle name="20% - Accent5 2 3 3 2 4" xfId="4819" xr:uid="{00000000-0005-0000-0000-0000CF120000}"/>
    <cellStyle name="20% - Accent5 2 3 3 2 4 2" xfId="4820" xr:uid="{00000000-0005-0000-0000-0000D0120000}"/>
    <cellStyle name="20% - Accent5 2 3 3 2 4 2 2" xfId="4821" xr:uid="{00000000-0005-0000-0000-0000D1120000}"/>
    <cellStyle name="20% - Accent5 2 3 3 2 4 3" xfId="4822" xr:uid="{00000000-0005-0000-0000-0000D2120000}"/>
    <cellStyle name="20% - Accent5 2 3 3 2 5" xfId="4823" xr:uid="{00000000-0005-0000-0000-0000D3120000}"/>
    <cellStyle name="20% - Accent5 2 3 3 2 5 2" xfId="4824" xr:uid="{00000000-0005-0000-0000-0000D4120000}"/>
    <cellStyle name="20% - Accent5 2 3 3 2 6" xfId="4825" xr:uid="{00000000-0005-0000-0000-0000D5120000}"/>
    <cellStyle name="20% - Accent5 2 3 3 3" xfId="4826" xr:uid="{00000000-0005-0000-0000-0000D6120000}"/>
    <cellStyle name="20% - Accent5 2 3 3 3 2" xfId="4827" xr:uid="{00000000-0005-0000-0000-0000D7120000}"/>
    <cellStyle name="20% - Accent5 2 3 3 3 2 2" xfId="4828" xr:uid="{00000000-0005-0000-0000-0000D8120000}"/>
    <cellStyle name="20% - Accent5 2 3 3 3 2 2 2" xfId="4829" xr:uid="{00000000-0005-0000-0000-0000D9120000}"/>
    <cellStyle name="20% - Accent5 2 3 3 3 2 2 2 2" xfId="4830" xr:uid="{00000000-0005-0000-0000-0000DA120000}"/>
    <cellStyle name="20% - Accent5 2 3 3 3 2 2 3" xfId="4831" xr:uid="{00000000-0005-0000-0000-0000DB120000}"/>
    <cellStyle name="20% - Accent5 2 3 3 3 2 3" xfId="4832" xr:uid="{00000000-0005-0000-0000-0000DC120000}"/>
    <cellStyle name="20% - Accent5 2 3 3 3 2 3 2" xfId="4833" xr:uid="{00000000-0005-0000-0000-0000DD120000}"/>
    <cellStyle name="20% - Accent5 2 3 3 3 2 4" xfId="4834" xr:uid="{00000000-0005-0000-0000-0000DE120000}"/>
    <cellStyle name="20% - Accent5 2 3 3 3 3" xfId="4835" xr:uid="{00000000-0005-0000-0000-0000DF120000}"/>
    <cellStyle name="20% - Accent5 2 3 3 3 3 2" xfId="4836" xr:uid="{00000000-0005-0000-0000-0000E0120000}"/>
    <cellStyle name="20% - Accent5 2 3 3 3 3 2 2" xfId="4837" xr:uid="{00000000-0005-0000-0000-0000E1120000}"/>
    <cellStyle name="20% - Accent5 2 3 3 3 3 3" xfId="4838" xr:uid="{00000000-0005-0000-0000-0000E2120000}"/>
    <cellStyle name="20% - Accent5 2 3 3 3 4" xfId="4839" xr:uid="{00000000-0005-0000-0000-0000E3120000}"/>
    <cellStyle name="20% - Accent5 2 3 3 3 4 2" xfId="4840" xr:uid="{00000000-0005-0000-0000-0000E4120000}"/>
    <cellStyle name="20% - Accent5 2 3 3 3 5" xfId="4841" xr:uid="{00000000-0005-0000-0000-0000E5120000}"/>
    <cellStyle name="20% - Accent5 2 3 3 4" xfId="4842" xr:uid="{00000000-0005-0000-0000-0000E6120000}"/>
    <cellStyle name="20% - Accent5 2 3 3 4 2" xfId="4843" xr:uid="{00000000-0005-0000-0000-0000E7120000}"/>
    <cellStyle name="20% - Accent5 2 3 3 4 2 2" xfId="4844" xr:uid="{00000000-0005-0000-0000-0000E8120000}"/>
    <cellStyle name="20% - Accent5 2 3 3 4 2 2 2" xfId="4845" xr:uid="{00000000-0005-0000-0000-0000E9120000}"/>
    <cellStyle name="20% - Accent5 2 3 3 4 2 3" xfId="4846" xr:uid="{00000000-0005-0000-0000-0000EA120000}"/>
    <cellStyle name="20% - Accent5 2 3 3 4 3" xfId="4847" xr:uid="{00000000-0005-0000-0000-0000EB120000}"/>
    <cellStyle name="20% - Accent5 2 3 3 4 3 2" xfId="4848" xr:uid="{00000000-0005-0000-0000-0000EC120000}"/>
    <cellStyle name="20% - Accent5 2 3 3 4 4" xfId="4849" xr:uid="{00000000-0005-0000-0000-0000ED120000}"/>
    <cellStyle name="20% - Accent5 2 3 3 5" xfId="4850" xr:uid="{00000000-0005-0000-0000-0000EE120000}"/>
    <cellStyle name="20% - Accent5 2 3 3 5 2" xfId="4851" xr:uid="{00000000-0005-0000-0000-0000EF120000}"/>
    <cellStyle name="20% - Accent5 2 3 3 5 2 2" xfId="4852" xr:uid="{00000000-0005-0000-0000-0000F0120000}"/>
    <cellStyle name="20% - Accent5 2 3 3 5 3" xfId="4853" xr:uid="{00000000-0005-0000-0000-0000F1120000}"/>
    <cellStyle name="20% - Accent5 2 3 3 6" xfId="4854" xr:uid="{00000000-0005-0000-0000-0000F2120000}"/>
    <cellStyle name="20% - Accent5 2 3 3 6 2" xfId="4855" xr:uid="{00000000-0005-0000-0000-0000F3120000}"/>
    <cellStyle name="20% - Accent5 2 3 3 7" xfId="4856" xr:uid="{00000000-0005-0000-0000-0000F4120000}"/>
    <cellStyle name="20% - Accent5 2 3 4" xfId="4857" xr:uid="{00000000-0005-0000-0000-0000F5120000}"/>
    <cellStyle name="20% - Accent5 2 3 4 2" xfId="4858" xr:uid="{00000000-0005-0000-0000-0000F6120000}"/>
    <cellStyle name="20% - Accent5 2 3 4 2 2" xfId="4859" xr:uid="{00000000-0005-0000-0000-0000F7120000}"/>
    <cellStyle name="20% - Accent5 2 3 4 2 2 2" xfId="4860" xr:uid="{00000000-0005-0000-0000-0000F8120000}"/>
    <cellStyle name="20% - Accent5 2 3 4 2 2 2 2" xfId="4861" xr:uid="{00000000-0005-0000-0000-0000F9120000}"/>
    <cellStyle name="20% - Accent5 2 3 4 2 2 2 2 2" xfId="4862" xr:uid="{00000000-0005-0000-0000-0000FA120000}"/>
    <cellStyle name="20% - Accent5 2 3 4 2 2 2 3" xfId="4863" xr:uid="{00000000-0005-0000-0000-0000FB120000}"/>
    <cellStyle name="20% - Accent5 2 3 4 2 2 3" xfId="4864" xr:uid="{00000000-0005-0000-0000-0000FC120000}"/>
    <cellStyle name="20% - Accent5 2 3 4 2 2 3 2" xfId="4865" xr:uid="{00000000-0005-0000-0000-0000FD120000}"/>
    <cellStyle name="20% - Accent5 2 3 4 2 2 4" xfId="4866" xr:uid="{00000000-0005-0000-0000-0000FE120000}"/>
    <cellStyle name="20% - Accent5 2 3 4 2 3" xfId="4867" xr:uid="{00000000-0005-0000-0000-0000FF120000}"/>
    <cellStyle name="20% - Accent5 2 3 4 2 3 2" xfId="4868" xr:uid="{00000000-0005-0000-0000-000000130000}"/>
    <cellStyle name="20% - Accent5 2 3 4 2 3 2 2" xfId="4869" xr:uid="{00000000-0005-0000-0000-000001130000}"/>
    <cellStyle name="20% - Accent5 2 3 4 2 3 3" xfId="4870" xr:uid="{00000000-0005-0000-0000-000002130000}"/>
    <cellStyle name="20% - Accent5 2 3 4 2 4" xfId="4871" xr:uid="{00000000-0005-0000-0000-000003130000}"/>
    <cellStyle name="20% - Accent5 2 3 4 2 4 2" xfId="4872" xr:uid="{00000000-0005-0000-0000-000004130000}"/>
    <cellStyle name="20% - Accent5 2 3 4 2 5" xfId="4873" xr:uid="{00000000-0005-0000-0000-000005130000}"/>
    <cellStyle name="20% - Accent5 2 3 4 3" xfId="4874" xr:uid="{00000000-0005-0000-0000-000006130000}"/>
    <cellStyle name="20% - Accent5 2 3 4 3 2" xfId="4875" xr:uid="{00000000-0005-0000-0000-000007130000}"/>
    <cellStyle name="20% - Accent5 2 3 4 3 2 2" xfId="4876" xr:uid="{00000000-0005-0000-0000-000008130000}"/>
    <cellStyle name="20% - Accent5 2 3 4 3 2 2 2" xfId="4877" xr:uid="{00000000-0005-0000-0000-000009130000}"/>
    <cellStyle name="20% - Accent5 2 3 4 3 2 3" xfId="4878" xr:uid="{00000000-0005-0000-0000-00000A130000}"/>
    <cellStyle name="20% - Accent5 2 3 4 3 3" xfId="4879" xr:uid="{00000000-0005-0000-0000-00000B130000}"/>
    <cellStyle name="20% - Accent5 2 3 4 3 3 2" xfId="4880" xr:uid="{00000000-0005-0000-0000-00000C130000}"/>
    <cellStyle name="20% - Accent5 2 3 4 3 4" xfId="4881" xr:uid="{00000000-0005-0000-0000-00000D130000}"/>
    <cellStyle name="20% - Accent5 2 3 4 4" xfId="4882" xr:uid="{00000000-0005-0000-0000-00000E130000}"/>
    <cellStyle name="20% - Accent5 2 3 4 4 2" xfId="4883" xr:uid="{00000000-0005-0000-0000-00000F130000}"/>
    <cellStyle name="20% - Accent5 2 3 4 4 2 2" xfId="4884" xr:uid="{00000000-0005-0000-0000-000010130000}"/>
    <cellStyle name="20% - Accent5 2 3 4 4 3" xfId="4885" xr:uid="{00000000-0005-0000-0000-000011130000}"/>
    <cellStyle name="20% - Accent5 2 3 4 5" xfId="4886" xr:uid="{00000000-0005-0000-0000-000012130000}"/>
    <cellStyle name="20% - Accent5 2 3 4 5 2" xfId="4887" xr:uid="{00000000-0005-0000-0000-000013130000}"/>
    <cellStyle name="20% - Accent5 2 3 4 6" xfId="4888" xr:uid="{00000000-0005-0000-0000-000014130000}"/>
    <cellStyle name="20% - Accent5 2 3 5" xfId="4889" xr:uid="{00000000-0005-0000-0000-000015130000}"/>
    <cellStyle name="20% - Accent5 2 3 5 2" xfId="4890" xr:uid="{00000000-0005-0000-0000-000016130000}"/>
    <cellStyle name="20% - Accent5 2 3 5 2 2" xfId="4891" xr:uid="{00000000-0005-0000-0000-000017130000}"/>
    <cellStyle name="20% - Accent5 2 3 5 2 2 2" xfId="4892" xr:uid="{00000000-0005-0000-0000-000018130000}"/>
    <cellStyle name="20% - Accent5 2 3 5 2 2 2 2" xfId="4893" xr:uid="{00000000-0005-0000-0000-000019130000}"/>
    <cellStyle name="20% - Accent5 2 3 5 2 2 3" xfId="4894" xr:uid="{00000000-0005-0000-0000-00001A130000}"/>
    <cellStyle name="20% - Accent5 2 3 5 2 3" xfId="4895" xr:uid="{00000000-0005-0000-0000-00001B130000}"/>
    <cellStyle name="20% - Accent5 2 3 5 2 3 2" xfId="4896" xr:uid="{00000000-0005-0000-0000-00001C130000}"/>
    <cellStyle name="20% - Accent5 2 3 5 2 4" xfId="4897" xr:uid="{00000000-0005-0000-0000-00001D130000}"/>
    <cellStyle name="20% - Accent5 2 3 5 3" xfId="4898" xr:uid="{00000000-0005-0000-0000-00001E130000}"/>
    <cellStyle name="20% - Accent5 2 3 5 3 2" xfId="4899" xr:uid="{00000000-0005-0000-0000-00001F130000}"/>
    <cellStyle name="20% - Accent5 2 3 5 3 2 2" xfId="4900" xr:uid="{00000000-0005-0000-0000-000020130000}"/>
    <cellStyle name="20% - Accent5 2 3 5 3 3" xfId="4901" xr:uid="{00000000-0005-0000-0000-000021130000}"/>
    <cellStyle name="20% - Accent5 2 3 5 4" xfId="4902" xr:uid="{00000000-0005-0000-0000-000022130000}"/>
    <cellStyle name="20% - Accent5 2 3 5 4 2" xfId="4903" xr:uid="{00000000-0005-0000-0000-000023130000}"/>
    <cellStyle name="20% - Accent5 2 3 5 5" xfId="4904" xr:uid="{00000000-0005-0000-0000-000024130000}"/>
    <cellStyle name="20% - Accent5 2 3 6" xfId="4905" xr:uid="{00000000-0005-0000-0000-000025130000}"/>
    <cellStyle name="20% - Accent5 2 3 6 2" xfId="4906" xr:uid="{00000000-0005-0000-0000-000026130000}"/>
    <cellStyle name="20% - Accent5 2 3 6 2 2" xfId="4907" xr:uid="{00000000-0005-0000-0000-000027130000}"/>
    <cellStyle name="20% - Accent5 2 3 6 2 2 2" xfId="4908" xr:uid="{00000000-0005-0000-0000-000028130000}"/>
    <cellStyle name="20% - Accent5 2 3 6 2 3" xfId="4909" xr:uid="{00000000-0005-0000-0000-000029130000}"/>
    <cellStyle name="20% - Accent5 2 3 6 3" xfId="4910" xr:uid="{00000000-0005-0000-0000-00002A130000}"/>
    <cellStyle name="20% - Accent5 2 3 6 3 2" xfId="4911" xr:uid="{00000000-0005-0000-0000-00002B130000}"/>
    <cellStyle name="20% - Accent5 2 3 6 4" xfId="4912" xr:uid="{00000000-0005-0000-0000-00002C130000}"/>
    <cellStyle name="20% - Accent5 2 3 7" xfId="4913" xr:uid="{00000000-0005-0000-0000-00002D130000}"/>
    <cellStyle name="20% - Accent5 2 3 7 2" xfId="4914" xr:uid="{00000000-0005-0000-0000-00002E130000}"/>
    <cellStyle name="20% - Accent5 2 3 7 2 2" xfId="4915" xr:uid="{00000000-0005-0000-0000-00002F130000}"/>
    <cellStyle name="20% - Accent5 2 3 7 3" xfId="4916" xr:uid="{00000000-0005-0000-0000-000030130000}"/>
    <cellStyle name="20% - Accent5 2 3 8" xfId="4917" xr:uid="{00000000-0005-0000-0000-000031130000}"/>
    <cellStyle name="20% - Accent5 2 3 8 2" xfId="4918" xr:uid="{00000000-0005-0000-0000-000032130000}"/>
    <cellStyle name="20% - Accent5 2 3 9" xfId="4919" xr:uid="{00000000-0005-0000-0000-000033130000}"/>
    <cellStyle name="20% - Accent5 2 4" xfId="4920" xr:uid="{00000000-0005-0000-0000-000034130000}"/>
    <cellStyle name="20% - Accent5 2 4 2" xfId="4921" xr:uid="{00000000-0005-0000-0000-000035130000}"/>
    <cellStyle name="20% - Accent5 2 4 2 2" xfId="4922" xr:uid="{00000000-0005-0000-0000-000036130000}"/>
    <cellStyle name="20% - Accent5 2 4 2 2 2" xfId="4923" xr:uid="{00000000-0005-0000-0000-000037130000}"/>
    <cellStyle name="20% - Accent5 2 4 2 2 2 2" xfId="4924" xr:uid="{00000000-0005-0000-0000-000038130000}"/>
    <cellStyle name="20% - Accent5 2 4 2 2 2 2 2" xfId="4925" xr:uid="{00000000-0005-0000-0000-000039130000}"/>
    <cellStyle name="20% - Accent5 2 4 2 2 2 2 2 2" xfId="4926" xr:uid="{00000000-0005-0000-0000-00003A130000}"/>
    <cellStyle name="20% - Accent5 2 4 2 2 2 2 2 2 2" xfId="4927" xr:uid="{00000000-0005-0000-0000-00003B130000}"/>
    <cellStyle name="20% - Accent5 2 4 2 2 2 2 2 3" xfId="4928" xr:uid="{00000000-0005-0000-0000-00003C130000}"/>
    <cellStyle name="20% - Accent5 2 4 2 2 2 2 3" xfId="4929" xr:uid="{00000000-0005-0000-0000-00003D130000}"/>
    <cellStyle name="20% - Accent5 2 4 2 2 2 2 3 2" xfId="4930" xr:uid="{00000000-0005-0000-0000-00003E130000}"/>
    <cellStyle name="20% - Accent5 2 4 2 2 2 2 4" xfId="4931" xr:uid="{00000000-0005-0000-0000-00003F130000}"/>
    <cellStyle name="20% - Accent5 2 4 2 2 2 3" xfId="4932" xr:uid="{00000000-0005-0000-0000-000040130000}"/>
    <cellStyle name="20% - Accent5 2 4 2 2 2 3 2" xfId="4933" xr:uid="{00000000-0005-0000-0000-000041130000}"/>
    <cellStyle name="20% - Accent5 2 4 2 2 2 3 2 2" xfId="4934" xr:uid="{00000000-0005-0000-0000-000042130000}"/>
    <cellStyle name="20% - Accent5 2 4 2 2 2 3 3" xfId="4935" xr:uid="{00000000-0005-0000-0000-000043130000}"/>
    <cellStyle name="20% - Accent5 2 4 2 2 2 4" xfId="4936" xr:uid="{00000000-0005-0000-0000-000044130000}"/>
    <cellStyle name="20% - Accent5 2 4 2 2 2 4 2" xfId="4937" xr:uid="{00000000-0005-0000-0000-000045130000}"/>
    <cellStyle name="20% - Accent5 2 4 2 2 2 5" xfId="4938" xr:uid="{00000000-0005-0000-0000-000046130000}"/>
    <cellStyle name="20% - Accent5 2 4 2 2 3" xfId="4939" xr:uid="{00000000-0005-0000-0000-000047130000}"/>
    <cellStyle name="20% - Accent5 2 4 2 2 3 2" xfId="4940" xr:uid="{00000000-0005-0000-0000-000048130000}"/>
    <cellStyle name="20% - Accent5 2 4 2 2 3 2 2" xfId="4941" xr:uid="{00000000-0005-0000-0000-000049130000}"/>
    <cellStyle name="20% - Accent5 2 4 2 2 3 2 2 2" xfId="4942" xr:uid="{00000000-0005-0000-0000-00004A130000}"/>
    <cellStyle name="20% - Accent5 2 4 2 2 3 2 3" xfId="4943" xr:uid="{00000000-0005-0000-0000-00004B130000}"/>
    <cellStyle name="20% - Accent5 2 4 2 2 3 3" xfId="4944" xr:uid="{00000000-0005-0000-0000-00004C130000}"/>
    <cellStyle name="20% - Accent5 2 4 2 2 3 3 2" xfId="4945" xr:uid="{00000000-0005-0000-0000-00004D130000}"/>
    <cellStyle name="20% - Accent5 2 4 2 2 3 4" xfId="4946" xr:uid="{00000000-0005-0000-0000-00004E130000}"/>
    <cellStyle name="20% - Accent5 2 4 2 2 4" xfId="4947" xr:uid="{00000000-0005-0000-0000-00004F130000}"/>
    <cellStyle name="20% - Accent5 2 4 2 2 4 2" xfId="4948" xr:uid="{00000000-0005-0000-0000-000050130000}"/>
    <cellStyle name="20% - Accent5 2 4 2 2 4 2 2" xfId="4949" xr:uid="{00000000-0005-0000-0000-000051130000}"/>
    <cellStyle name="20% - Accent5 2 4 2 2 4 3" xfId="4950" xr:uid="{00000000-0005-0000-0000-000052130000}"/>
    <cellStyle name="20% - Accent5 2 4 2 2 5" xfId="4951" xr:uid="{00000000-0005-0000-0000-000053130000}"/>
    <cellStyle name="20% - Accent5 2 4 2 2 5 2" xfId="4952" xr:uid="{00000000-0005-0000-0000-000054130000}"/>
    <cellStyle name="20% - Accent5 2 4 2 2 6" xfId="4953" xr:uid="{00000000-0005-0000-0000-000055130000}"/>
    <cellStyle name="20% - Accent5 2 4 2 3" xfId="4954" xr:uid="{00000000-0005-0000-0000-000056130000}"/>
    <cellStyle name="20% - Accent5 2 4 2 3 2" xfId="4955" xr:uid="{00000000-0005-0000-0000-000057130000}"/>
    <cellStyle name="20% - Accent5 2 4 2 3 2 2" xfId="4956" xr:uid="{00000000-0005-0000-0000-000058130000}"/>
    <cellStyle name="20% - Accent5 2 4 2 3 2 2 2" xfId="4957" xr:uid="{00000000-0005-0000-0000-000059130000}"/>
    <cellStyle name="20% - Accent5 2 4 2 3 2 2 2 2" xfId="4958" xr:uid="{00000000-0005-0000-0000-00005A130000}"/>
    <cellStyle name="20% - Accent5 2 4 2 3 2 2 3" xfId="4959" xr:uid="{00000000-0005-0000-0000-00005B130000}"/>
    <cellStyle name="20% - Accent5 2 4 2 3 2 3" xfId="4960" xr:uid="{00000000-0005-0000-0000-00005C130000}"/>
    <cellStyle name="20% - Accent5 2 4 2 3 2 3 2" xfId="4961" xr:uid="{00000000-0005-0000-0000-00005D130000}"/>
    <cellStyle name="20% - Accent5 2 4 2 3 2 4" xfId="4962" xr:uid="{00000000-0005-0000-0000-00005E130000}"/>
    <cellStyle name="20% - Accent5 2 4 2 3 3" xfId="4963" xr:uid="{00000000-0005-0000-0000-00005F130000}"/>
    <cellStyle name="20% - Accent5 2 4 2 3 3 2" xfId="4964" xr:uid="{00000000-0005-0000-0000-000060130000}"/>
    <cellStyle name="20% - Accent5 2 4 2 3 3 2 2" xfId="4965" xr:uid="{00000000-0005-0000-0000-000061130000}"/>
    <cellStyle name="20% - Accent5 2 4 2 3 3 3" xfId="4966" xr:uid="{00000000-0005-0000-0000-000062130000}"/>
    <cellStyle name="20% - Accent5 2 4 2 3 4" xfId="4967" xr:uid="{00000000-0005-0000-0000-000063130000}"/>
    <cellStyle name="20% - Accent5 2 4 2 3 4 2" xfId="4968" xr:uid="{00000000-0005-0000-0000-000064130000}"/>
    <cellStyle name="20% - Accent5 2 4 2 3 5" xfId="4969" xr:uid="{00000000-0005-0000-0000-000065130000}"/>
    <cellStyle name="20% - Accent5 2 4 2 4" xfId="4970" xr:uid="{00000000-0005-0000-0000-000066130000}"/>
    <cellStyle name="20% - Accent5 2 4 2 4 2" xfId="4971" xr:uid="{00000000-0005-0000-0000-000067130000}"/>
    <cellStyle name="20% - Accent5 2 4 2 4 2 2" xfId="4972" xr:uid="{00000000-0005-0000-0000-000068130000}"/>
    <cellStyle name="20% - Accent5 2 4 2 4 2 2 2" xfId="4973" xr:uid="{00000000-0005-0000-0000-000069130000}"/>
    <cellStyle name="20% - Accent5 2 4 2 4 2 3" xfId="4974" xr:uid="{00000000-0005-0000-0000-00006A130000}"/>
    <cellStyle name="20% - Accent5 2 4 2 4 3" xfId="4975" xr:uid="{00000000-0005-0000-0000-00006B130000}"/>
    <cellStyle name="20% - Accent5 2 4 2 4 3 2" xfId="4976" xr:uid="{00000000-0005-0000-0000-00006C130000}"/>
    <cellStyle name="20% - Accent5 2 4 2 4 4" xfId="4977" xr:uid="{00000000-0005-0000-0000-00006D130000}"/>
    <cellStyle name="20% - Accent5 2 4 2 5" xfId="4978" xr:uid="{00000000-0005-0000-0000-00006E130000}"/>
    <cellStyle name="20% - Accent5 2 4 2 5 2" xfId="4979" xr:uid="{00000000-0005-0000-0000-00006F130000}"/>
    <cellStyle name="20% - Accent5 2 4 2 5 2 2" xfId="4980" xr:uid="{00000000-0005-0000-0000-000070130000}"/>
    <cellStyle name="20% - Accent5 2 4 2 5 3" xfId="4981" xr:uid="{00000000-0005-0000-0000-000071130000}"/>
    <cellStyle name="20% - Accent5 2 4 2 6" xfId="4982" xr:uid="{00000000-0005-0000-0000-000072130000}"/>
    <cellStyle name="20% - Accent5 2 4 2 6 2" xfId="4983" xr:uid="{00000000-0005-0000-0000-000073130000}"/>
    <cellStyle name="20% - Accent5 2 4 2 7" xfId="4984" xr:uid="{00000000-0005-0000-0000-000074130000}"/>
    <cellStyle name="20% - Accent5 2 4 3" xfId="4985" xr:uid="{00000000-0005-0000-0000-000075130000}"/>
    <cellStyle name="20% - Accent5 2 4 3 2" xfId="4986" xr:uid="{00000000-0005-0000-0000-000076130000}"/>
    <cellStyle name="20% - Accent5 2 4 3 2 2" xfId="4987" xr:uid="{00000000-0005-0000-0000-000077130000}"/>
    <cellStyle name="20% - Accent5 2 4 3 2 2 2" xfId="4988" xr:uid="{00000000-0005-0000-0000-000078130000}"/>
    <cellStyle name="20% - Accent5 2 4 3 2 2 2 2" xfId="4989" xr:uid="{00000000-0005-0000-0000-000079130000}"/>
    <cellStyle name="20% - Accent5 2 4 3 2 2 2 2 2" xfId="4990" xr:uid="{00000000-0005-0000-0000-00007A130000}"/>
    <cellStyle name="20% - Accent5 2 4 3 2 2 2 3" xfId="4991" xr:uid="{00000000-0005-0000-0000-00007B130000}"/>
    <cellStyle name="20% - Accent5 2 4 3 2 2 3" xfId="4992" xr:uid="{00000000-0005-0000-0000-00007C130000}"/>
    <cellStyle name="20% - Accent5 2 4 3 2 2 3 2" xfId="4993" xr:uid="{00000000-0005-0000-0000-00007D130000}"/>
    <cellStyle name="20% - Accent5 2 4 3 2 2 4" xfId="4994" xr:uid="{00000000-0005-0000-0000-00007E130000}"/>
    <cellStyle name="20% - Accent5 2 4 3 2 3" xfId="4995" xr:uid="{00000000-0005-0000-0000-00007F130000}"/>
    <cellStyle name="20% - Accent5 2 4 3 2 3 2" xfId="4996" xr:uid="{00000000-0005-0000-0000-000080130000}"/>
    <cellStyle name="20% - Accent5 2 4 3 2 3 2 2" xfId="4997" xr:uid="{00000000-0005-0000-0000-000081130000}"/>
    <cellStyle name="20% - Accent5 2 4 3 2 3 3" xfId="4998" xr:uid="{00000000-0005-0000-0000-000082130000}"/>
    <cellStyle name="20% - Accent5 2 4 3 2 4" xfId="4999" xr:uid="{00000000-0005-0000-0000-000083130000}"/>
    <cellStyle name="20% - Accent5 2 4 3 2 4 2" xfId="5000" xr:uid="{00000000-0005-0000-0000-000084130000}"/>
    <cellStyle name="20% - Accent5 2 4 3 2 5" xfId="5001" xr:uid="{00000000-0005-0000-0000-000085130000}"/>
    <cellStyle name="20% - Accent5 2 4 3 3" xfId="5002" xr:uid="{00000000-0005-0000-0000-000086130000}"/>
    <cellStyle name="20% - Accent5 2 4 3 3 2" xfId="5003" xr:uid="{00000000-0005-0000-0000-000087130000}"/>
    <cellStyle name="20% - Accent5 2 4 3 3 2 2" xfId="5004" xr:uid="{00000000-0005-0000-0000-000088130000}"/>
    <cellStyle name="20% - Accent5 2 4 3 3 2 2 2" xfId="5005" xr:uid="{00000000-0005-0000-0000-000089130000}"/>
    <cellStyle name="20% - Accent5 2 4 3 3 2 3" xfId="5006" xr:uid="{00000000-0005-0000-0000-00008A130000}"/>
    <cellStyle name="20% - Accent5 2 4 3 3 3" xfId="5007" xr:uid="{00000000-0005-0000-0000-00008B130000}"/>
    <cellStyle name="20% - Accent5 2 4 3 3 3 2" xfId="5008" xr:uid="{00000000-0005-0000-0000-00008C130000}"/>
    <cellStyle name="20% - Accent5 2 4 3 3 4" xfId="5009" xr:uid="{00000000-0005-0000-0000-00008D130000}"/>
    <cellStyle name="20% - Accent5 2 4 3 4" xfId="5010" xr:uid="{00000000-0005-0000-0000-00008E130000}"/>
    <cellStyle name="20% - Accent5 2 4 3 4 2" xfId="5011" xr:uid="{00000000-0005-0000-0000-00008F130000}"/>
    <cellStyle name="20% - Accent5 2 4 3 4 2 2" xfId="5012" xr:uid="{00000000-0005-0000-0000-000090130000}"/>
    <cellStyle name="20% - Accent5 2 4 3 4 3" xfId="5013" xr:uid="{00000000-0005-0000-0000-000091130000}"/>
    <cellStyle name="20% - Accent5 2 4 3 5" xfId="5014" xr:uid="{00000000-0005-0000-0000-000092130000}"/>
    <cellStyle name="20% - Accent5 2 4 3 5 2" xfId="5015" xr:uid="{00000000-0005-0000-0000-000093130000}"/>
    <cellStyle name="20% - Accent5 2 4 3 6" xfId="5016" xr:uid="{00000000-0005-0000-0000-000094130000}"/>
    <cellStyle name="20% - Accent5 2 4 4" xfId="5017" xr:uid="{00000000-0005-0000-0000-000095130000}"/>
    <cellStyle name="20% - Accent5 2 4 4 2" xfId="5018" xr:uid="{00000000-0005-0000-0000-000096130000}"/>
    <cellStyle name="20% - Accent5 2 4 4 2 2" xfId="5019" xr:uid="{00000000-0005-0000-0000-000097130000}"/>
    <cellStyle name="20% - Accent5 2 4 4 2 2 2" xfId="5020" xr:uid="{00000000-0005-0000-0000-000098130000}"/>
    <cellStyle name="20% - Accent5 2 4 4 2 2 2 2" xfId="5021" xr:uid="{00000000-0005-0000-0000-000099130000}"/>
    <cellStyle name="20% - Accent5 2 4 4 2 2 3" xfId="5022" xr:uid="{00000000-0005-0000-0000-00009A130000}"/>
    <cellStyle name="20% - Accent5 2 4 4 2 3" xfId="5023" xr:uid="{00000000-0005-0000-0000-00009B130000}"/>
    <cellStyle name="20% - Accent5 2 4 4 2 3 2" xfId="5024" xr:uid="{00000000-0005-0000-0000-00009C130000}"/>
    <cellStyle name="20% - Accent5 2 4 4 2 4" xfId="5025" xr:uid="{00000000-0005-0000-0000-00009D130000}"/>
    <cellStyle name="20% - Accent5 2 4 4 3" xfId="5026" xr:uid="{00000000-0005-0000-0000-00009E130000}"/>
    <cellStyle name="20% - Accent5 2 4 4 3 2" xfId="5027" xr:uid="{00000000-0005-0000-0000-00009F130000}"/>
    <cellStyle name="20% - Accent5 2 4 4 3 2 2" xfId="5028" xr:uid="{00000000-0005-0000-0000-0000A0130000}"/>
    <cellStyle name="20% - Accent5 2 4 4 3 3" xfId="5029" xr:uid="{00000000-0005-0000-0000-0000A1130000}"/>
    <cellStyle name="20% - Accent5 2 4 4 4" xfId="5030" xr:uid="{00000000-0005-0000-0000-0000A2130000}"/>
    <cellStyle name="20% - Accent5 2 4 4 4 2" xfId="5031" xr:uid="{00000000-0005-0000-0000-0000A3130000}"/>
    <cellStyle name="20% - Accent5 2 4 4 5" xfId="5032" xr:uid="{00000000-0005-0000-0000-0000A4130000}"/>
    <cellStyle name="20% - Accent5 2 4 5" xfId="5033" xr:uid="{00000000-0005-0000-0000-0000A5130000}"/>
    <cellStyle name="20% - Accent5 2 4 5 2" xfId="5034" xr:uid="{00000000-0005-0000-0000-0000A6130000}"/>
    <cellStyle name="20% - Accent5 2 4 5 2 2" xfId="5035" xr:uid="{00000000-0005-0000-0000-0000A7130000}"/>
    <cellStyle name="20% - Accent5 2 4 5 2 2 2" xfId="5036" xr:uid="{00000000-0005-0000-0000-0000A8130000}"/>
    <cellStyle name="20% - Accent5 2 4 5 2 3" xfId="5037" xr:uid="{00000000-0005-0000-0000-0000A9130000}"/>
    <cellStyle name="20% - Accent5 2 4 5 3" xfId="5038" xr:uid="{00000000-0005-0000-0000-0000AA130000}"/>
    <cellStyle name="20% - Accent5 2 4 5 3 2" xfId="5039" xr:uid="{00000000-0005-0000-0000-0000AB130000}"/>
    <cellStyle name="20% - Accent5 2 4 5 4" xfId="5040" xr:uid="{00000000-0005-0000-0000-0000AC130000}"/>
    <cellStyle name="20% - Accent5 2 4 6" xfId="5041" xr:uid="{00000000-0005-0000-0000-0000AD130000}"/>
    <cellStyle name="20% - Accent5 2 4 6 2" xfId="5042" xr:uid="{00000000-0005-0000-0000-0000AE130000}"/>
    <cellStyle name="20% - Accent5 2 4 6 2 2" xfId="5043" xr:uid="{00000000-0005-0000-0000-0000AF130000}"/>
    <cellStyle name="20% - Accent5 2 4 6 3" xfId="5044" xr:uid="{00000000-0005-0000-0000-0000B0130000}"/>
    <cellStyle name="20% - Accent5 2 4 7" xfId="5045" xr:uid="{00000000-0005-0000-0000-0000B1130000}"/>
    <cellStyle name="20% - Accent5 2 4 7 2" xfId="5046" xr:uid="{00000000-0005-0000-0000-0000B2130000}"/>
    <cellStyle name="20% - Accent5 2 4 8" xfId="5047" xr:uid="{00000000-0005-0000-0000-0000B3130000}"/>
    <cellStyle name="20% - Accent5 2 5" xfId="5048" xr:uid="{00000000-0005-0000-0000-0000B4130000}"/>
    <cellStyle name="20% - Accent5 2 5 2" xfId="5049" xr:uid="{00000000-0005-0000-0000-0000B5130000}"/>
    <cellStyle name="20% - Accent5 2 5 2 2" xfId="5050" xr:uid="{00000000-0005-0000-0000-0000B6130000}"/>
    <cellStyle name="20% - Accent5 2 5 2 2 2" xfId="5051" xr:uid="{00000000-0005-0000-0000-0000B7130000}"/>
    <cellStyle name="20% - Accent5 2 5 2 2 2 2" xfId="5052" xr:uid="{00000000-0005-0000-0000-0000B8130000}"/>
    <cellStyle name="20% - Accent5 2 5 2 2 2 2 2" xfId="5053" xr:uid="{00000000-0005-0000-0000-0000B9130000}"/>
    <cellStyle name="20% - Accent5 2 5 2 2 2 2 2 2" xfId="5054" xr:uid="{00000000-0005-0000-0000-0000BA130000}"/>
    <cellStyle name="20% - Accent5 2 5 2 2 2 2 3" xfId="5055" xr:uid="{00000000-0005-0000-0000-0000BB130000}"/>
    <cellStyle name="20% - Accent5 2 5 2 2 2 3" xfId="5056" xr:uid="{00000000-0005-0000-0000-0000BC130000}"/>
    <cellStyle name="20% - Accent5 2 5 2 2 2 3 2" xfId="5057" xr:uid="{00000000-0005-0000-0000-0000BD130000}"/>
    <cellStyle name="20% - Accent5 2 5 2 2 2 4" xfId="5058" xr:uid="{00000000-0005-0000-0000-0000BE130000}"/>
    <cellStyle name="20% - Accent5 2 5 2 2 3" xfId="5059" xr:uid="{00000000-0005-0000-0000-0000BF130000}"/>
    <cellStyle name="20% - Accent5 2 5 2 2 3 2" xfId="5060" xr:uid="{00000000-0005-0000-0000-0000C0130000}"/>
    <cellStyle name="20% - Accent5 2 5 2 2 3 2 2" xfId="5061" xr:uid="{00000000-0005-0000-0000-0000C1130000}"/>
    <cellStyle name="20% - Accent5 2 5 2 2 3 3" xfId="5062" xr:uid="{00000000-0005-0000-0000-0000C2130000}"/>
    <cellStyle name="20% - Accent5 2 5 2 2 4" xfId="5063" xr:uid="{00000000-0005-0000-0000-0000C3130000}"/>
    <cellStyle name="20% - Accent5 2 5 2 2 4 2" xfId="5064" xr:uid="{00000000-0005-0000-0000-0000C4130000}"/>
    <cellStyle name="20% - Accent5 2 5 2 2 5" xfId="5065" xr:uid="{00000000-0005-0000-0000-0000C5130000}"/>
    <cellStyle name="20% - Accent5 2 5 2 3" xfId="5066" xr:uid="{00000000-0005-0000-0000-0000C6130000}"/>
    <cellStyle name="20% - Accent5 2 5 2 3 2" xfId="5067" xr:uid="{00000000-0005-0000-0000-0000C7130000}"/>
    <cellStyle name="20% - Accent5 2 5 2 3 2 2" xfId="5068" xr:uid="{00000000-0005-0000-0000-0000C8130000}"/>
    <cellStyle name="20% - Accent5 2 5 2 3 2 2 2" xfId="5069" xr:uid="{00000000-0005-0000-0000-0000C9130000}"/>
    <cellStyle name="20% - Accent5 2 5 2 3 2 3" xfId="5070" xr:uid="{00000000-0005-0000-0000-0000CA130000}"/>
    <cellStyle name="20% - Accent5 2 5 2 3 3" xfId="5071" xr:uid="{00000000-0005-0000-0000-0000CB130000}"/>
    <cellStyle name="20% - Accent5 2 5 2 3 3 2" xfId="5072" xr:uid="{00000000-0005-0000-0000-0000CC130000}"/>
    <cellStyle name="20% - Accent5 2 5 2 3 4" xfId="5073" xr:uid="{00000000-0005-0000-0000-0000CD130000}"/>
    <cellStyle name="20% - Accent5 2 5 2 4" xfId="5074" xr:uid="{00000000-0005-0000-0000-0000CE130000}"/>
    <cellStyle name="20% - Accent5 2 5 2 4 2" xfId="5075" xr:uid="{00000000-0005-0000-0000-0000CF130000}"/>
    <cellStyle name="20% - Accent5 2 5 2 4 2 2" xfId="5076" xr:uid="{00000000-0005-0000-0000-0000D0130000}"/>
    <cellStyle name="20% - Accent5 2 5 2 4 3" xfId="5077" xr:uid="{00000000-0005-0000-0000-0000D1130000}"/>
    <cellStyle name="20% - Accent5 2 5 2 5" xfId="5078" xr:uid="{00000000-0005-0000-0000-0000D2130000}"/>
    <cellStyle name="20% - Accent5 2 5 2 5 2" xfId="5079" xr:uid="{00000000-0005-0000-0000-0000D3130000}"/>
    <cellStyle name="20% - Accent5 2 5 2 6" xfId="5080" xr:uid="{00000000-0005-0000-0000-0000D4130000}"/>
    <cellStyle name="20% - Accent5 2 5 3" xfId="5081" xr:uid="{00000000-0005-0000-0000-0000D5130000}"/>
    <cellStyle name="20% - Accent5 2 5 3 2" xfId="5082" xr:uid="{00000000-0005-0000-0000-0000D6130000}"/>
    <cellStyle name="20% - Accent5 2 5 3 2 2" xfId="5083" xr:uid="{00000000-0005-0000-0000-0000D7130000}"/>
    <cellStyle name="20% - Accent5 2 5 3 2 2 2" xfId="5084" xr:uid="{00000000-0005-0000-0000-0000D8130000}"/>
    <cellStyle name="20% - Accent5 2 5 3 2 2 2 2" xfId="5085" xr:uid="{00000000-0005-0000-0000-0000D9130000}"/>
    <cellStyle name="20% - Accent5 2 5 3 2 2 3" xfId="5086" xr:uid="{00000000-0005-0000-0000-0000DA130000}"/>
    <cellStyle name="20% - Accent5 2 5 3 2 3" xfId="5087" xr:uid="{00000000-0005-0000-0000-0000DB130000}"/>
    <cellStyle name="20% - Accent5 2 5 3 2 3 2" xfId="5088" xr:uid="{00000000-0005-0000-0000-0000DC130000}"/>
    <cellStyle name="20% - Accent5 2 5 3 2 4" xfId="5089" xr:uid="{00000000-0005-0000-0000-0000DD130000}"/>
    <cellStyle name="20% - Accent5 2 5 3 3" xfId="5090" xr:uid="{00000000-0005-0000-0000-0000DE130000}"/>
    <cellStyle name="20% - Accent5 2 5 3 3 2" xfId="5091" xr:uid="{00000000-0005-0000-0000-0000DF130000}"/>
    <cellStyle name="20% - Accent5 2 5 3 3 2 2" xfId="5092" xr:uid="{00000000-0005-0000-0000-0000E0130000}"/>
    <cellStyle name="20% - Accent5 2 5 3 3 3" xfId="5093" xr:uid="{00000000-0005-0000-0000-0000E1130000}"/>
    <cellStyle name="20% - Accent5 2 5 3 4" xfId="5094" xr:uid="{00000000-0005-0000-0000-0000E2130000}"/>
    <cellStyle name="20% - Accent5 2 5 3 4 2" xfId="5095" xr:uid="{00000000-0005-0000-0000-0000E3130000}"/>
    <cellStyle name="20% - Accent5 2 5 3 5" xfId="5096" xr:uid="{00000000-0005-0000-0000-0000E4130000}"/>
    <cellStyle name="20% - Accent5 2 5 4" xfId="5097" xr:uid="{00000000-0005-0000-0000-0000E5130000}"/>
    <cellStyle name="20% - Accent5 2 5 4 2" xfId="5098" xr:uid="{00000000-0005-0000-0000-0000E6130000}"/>
    <cellStyle name="20% - Accent5 2 5 4 2 2" xfId="5099" xr:uid="{00000000-0005-0000-0000-0000E7130000}"/>
    <cellStyle name="20% - Accent5 2 5 4 2 2 2" xfId="5100" xr:uid="{00000000-0005-0000-0000-0000E8130000}"/>
    <cellStyle name="20% - Accent5 2 5 4 2 3" xfId="5101" xr:uid="{00000000-0005-0000-0000-0000E9130000}"/>
    <cellStyle name="20% - Accent5 2 5 4 3" xfId="5102" xr:uid="{00000000-0005-0000-0000-0000EA130000}"/>
    <cellStyle name="20% - Accent5 2 5 4 3 2" xfId="5103" xr:uid="{00000000-0005-0000-0000-0000EB130000}"/>
    <cellStyle name="20% - Accent5 2 5 4 4" xfId="5104" xr:uid="{00000000-0005-0000-0000-0000EC130000}"/>
    <cellStyle name="20% - Accent5 2 5 5" xfId="5105" xr:uid="{00000000-0005-0000-0000-0000ED130000}"/>
    <cellStyle name="20% - Accent5 2 5 5 2" xfId="5106" xr:uid="{00000000-0005-0000-0000-0000EE130000}"/>
    <cellStyle name="20% - Accent5 2 5 5 2 2" xfId="5107" xr:uid="{00000000-0005-0000-0000-0000EF130000}"/>
    <cellStyle name="20% - Accent5 2 5 5 3" xfId="5108" xr:uid="{00000000-0005-0000-0000-0000F0130000}"/>
    <cellStyle name="20% - Accent5 2 5 6" xfId="5109" xr:uid="{00000000-0005-0000-0000-0000F1130000}"/>
    <cellStyle name="20% - Accent5 2 5 6 2" xfId="5110" xr:uid="{00000000-0005-0000-0000-0000F2130000}"/>
    <cellStyle name="20% - Accent5 2 5 7" xfId="5111" xr:uid="{00000000-0005-0000-0000-0000F3130000}"/>
    <cellStyle name="20% - Accent5 2 6" xfId="5112" xr:uid="{00000000-0005-0000-0000-0000F4130000}"/>
    <cellStyle name="20% - Accent5 2 6 2" xfId="5113" xr:uid="{00000000-0005-0000-0000-0000F5130000}"/>
    <cellStyle name="20% - Accent5 2 6 2 2" xfId="5114" xr:uid="{00000000-0005-0000-0000-0000F6130000}"/>
    <cellStyle name="20% - Accent5 2 6 2 2 2" xfId="5115" xr:uid="{00000000-0005-0000-0000-0000F7130000}"/>
    <cellStyle name="20% - Accent5 2 6 2 2 2 2" xfId="5116" xr:uid="{00000000-0005-0000-0000-0000F8130000}"/>
    <cellStyle name="20% - Accent5 2 6 2 2 2 2 2" xfId="5117" xr:uid="{00000000-0005-0000-0000-0000F9130000}"/>
    <cellStyle name="20% - Accent5 2 6 2 2 2 3" xfId="5118" xr:uid="{00000000-0005-0000-0000-0000FA130000}"/>
    <cellStyle name="20% - Accent5 2 6 2 2 3" xfId="5119" xr:uid="{00000000-0005-0000-0000-0000FB130000}"/>
    <cellStyle name="20% - Accent5 2 6 2 2 3 2" xfId="5120" xr:uid="{00000000-0005-0000-0000-0000FC130000}"/>
    <cellStyle name="20% - Accent5 2 6 2 2 4" xfId="5121" xr:uid="{00000000-0005-0000-0000-0000FD130000}"/>
    <cellStyle name="20% - Accent5 2 6 2 3" xfId="5122" xr:uid="{00000000-0005-0000-0000-0000FE130000}"/>
    <cellStyle name="20% - Accent5 2 6 2 3 2" xfId="5123" xr:uid="{00000000-0005-0000-0000-0000FF130000}"/>
    <cellStyle name="20% - Accent5 2 6 2 3 2 2" xfId="5124" xr:uid="{00000000-0005-0000-0000-000000140000}"/>
    <cellStyle name="20% - Accent5 2 6 2 3 3" xfId="5125" xr:uid="{00000000-0005-0000-0000-000001140000}"/>
    <cellStyle name="20% - Accent5 2 6 2 4" xfId="5126" xr:uid="{00000000-0005-0000-0000-000002140000}"/>
    <cellStyle name="20% - Accent5 2 6 2 4 2" xfId="5127" xr:uid="{00000000-0005-0000-0000-000003140000}"/>
    <cellStyle name="20% - Accent5 2 6 2 5" xfId="5128" xr:uid="{00000000-0005-0000-0000-000004140000}"/>
    <cellStyle name="20% - Accent5 2 6 3" xfId="5129" xr:uid="{00000000-0005-0000-0000-000005140000}"/>
    <cellStyle name="20% - Accent5 2 6 3 2" xfId="5130" xr:uid="{00000000-0005-0000-0000-000006140000}"/>
    <cellStyle name="20% - Accent5 2 6 3 2 2" xfId="5131" xr:uid="{00000000-0005-0000-0000-000007140000}"/>
    <cellStyle name="20% - Accent5 2 6 3 2 2 2" xfId="5132" xr:uid="{00000000-0005-0000-0000-000008140000}"/>
    <cellStyle name="20% - Accent5 2 6 3 2 3" xfId="5133" xr:uid="{00000000-0005-0000-0000-000009140000}"/>
    <cellStyle name="20% - Accent5 2 6 3 3" xfId="5134" xr:uid="{00000000-0005-0000-0000-00000A140000}"/>
    <cellStyle name="20% - Accent5 2 6 3 3 2" xfId="5135" xr:uid="{00000000-0005-0000-0000-00000B140000}"/>
    <cellStyle name="20% - Accent5 2 6 3 4" xfId="5136" xr:uid="{00000000-0005-0000-0000-00000C140000}"/>
    <cellStyle name="20% - Accent5 2 6 4" xfId="5137" xr:uid="{00000000-0005-0000-0000-00000D140000}"/>
    <cellStyle name="20% - Accent5 2 6 4 2" xfId="5138" xr:uid="{00000000-0005-0000-0000-00000E140000}"/>
    <cellStyle name="20% - Accent5 2 6 4 2 2" xfId="5139" xr:uid="{00000000-0005-0000-0000-00000F140000}"/>
    <cellStyle name="20% - Accent5 2 6 4 3" xfId="5140" xr:uid="{00000000-0005-0000-0000-000010140000}"/>
    <cellStyle name="20% - Accent5 2 6 5" xfId="5141" xr:uid="{00000000-0005-0000-0000-000011140000}"/>
    <cellStyle name="20% - Accent5 2 6 5 2" xfId="5142" xr:uid="{00000000-0005-0000-0000-000012140000}"/>
    <cellStyle name="20% - Accent5 2 6 6" xfId="5143" xr:uid="{00000000-0005-0000-0000-000013140000}"/>
    <cellStyle name="20% - Accent5 2 7" xfId="5144" xr:uid="{00000000-0005-0000-0000-000014140000}"/>
    <cellStyle name="20% - Accent5 2 7 2" xfId="5145" xr:uid="{00000000-0005-0000-0000-000015140000}"/>
    <cellStyle name="20% - Accent5 2 7 2 2" xfId="5146" xr:uid="{00000000-0005-0000-0000-000016140000}"/>
    <cellStyle name="20% - Accent5 2 7 2 2 2" xfId="5147" xr:uid="{00000000-0005-0000-0000-000017140000}"/>
    <cellStyle name="20% - Accent5 2 7 2 2 2 2" xfId="5148" xr:uid="{00000000-0005-0000-0000-000018140000}"/>
    <cellStyle name="20% - Accent5 2 7 2 2 3" xfId="5149" xr:uid="{00000000-0005-0000-0000-000019140000}"/>
    <cellStyle name="20% - Accent5 2 7 2 3" xfId="5150" xr:uid="{00000000-0005-0000-0000-00001A140000}"/>
    <cellStyle name="20% - Accent5 2 7 2 3 2" xfId="5151" xr:uid="{00000000-0005-0000-0000-00001B140000}"/>
    <cellStyle name="20% - Accent5 2 7 2 4" xfId="5152" xr:uid="{00000000-0005-0000-0000-00001C140000}"/>
    <cellStyle name="20% - Accent5 2 7 3" xfId="5153" xr:uid="{00000000-0005-0000-0000-00001D140000}"/>
    <cellStyle name="20% - Accent5 2 7 3 2" xfId="5154" xr:uid="{00000000-0005-0000-0000-00001E140000}"/>
    <cellStyle name="20% - Accent5 2 7 3 2 2" xfId="5155" xr:uid="{00000000-0005-0000-0000-00001F140000}"/>
    <cellStyle name="20% - Accent5 2 7 3 3" xfId="5156" xr:uid="{00000000-0005-0000-0000-000020140000}"/>
    <cellStyle name="20% - Accent5 2 7 4" xfId="5157" xr:uid="{00000000-0005-0000-0000-000021140000}"/>
    <cellStyle name="20% - Accent5 2 7 4 2" xfId="5158" xr:uid="{00000000-0005-0000-0000-000022140000}"/>
    <cellStyle name="20% - Accent5 2 7 5" xfId="5159" xr:uid="{00000000-0005-0000-0000-000023140000}"/>
    <cellStyle name="20% - Accent5 2 8" xfId="5160" xr:uid="{00000000-0005-0000-0000-000024140000}"/>
    <cellStyle name="20% - Accent5 2 8 2" xfId="5161" xr:uid="{00000000-0005-0000-0000-000025140000}"/>
    <cellStyle name="20% - Accent5 2 8 2 2" xfId="5162" xr:uid="{00000000-0005-0000-0000-000026140000}"/>
    <cellStyle name="20% - Accent5 2 8 2 2 2" xfId="5163" xr:uid="{00000000-0005-0000-0000-000027140000}"/>
    <cellStyle name="20% - Accent5 2 8 2 3" xfId="5164" xr:uid="{00000000-0005-0000-0000-000028140000}"/>
    <cellStyle name="20% - Accent5 2 8 3" xfId="5165" xr:uid="{00000000-0005-0000-0000-000029140000}"/>
    <cellStyle name="20% - Accent5 2 8 3 2" xfId="5166" xr:uid="{00000000-0005-0000-0000-00002A140000}"/>
    <cellStyle name="20% - Accent5 2 8 4" xfId="5167" xr:uid="{00000000-0005-0000-0000-00002B140000}"/>
    <cellStyle name="20% - Accent5 2 9" xfId="5168" xr:uid="{00000000-0005-0000-0000-00002C140000}"/>
    <cellStyle name="20% - Accent5 2 9 2" xfId="5169" xr:uid="{00000000-0005-0000-0000-00002D140000}"/>
    <cellStyle name="20% - Accent5 2 9 2 2" xfId="5170" xr:uid="{00000000-0005-0000-0000-00002E140000}"/>
    <cellStyle name="20% - Accent5 2 9 3" xfId="5171" xr:uid="{00000000-0005-0000-0000-00002F140000}"/>
    <cellStyle name="20% - Accent5 3" xfId="5172" xr:uid="{00000000-0005-0000-0000-000030140000}"/>
    <cellStyle name="20% - Accent5 4" xfId="5173" xr:uid="{00000000-0005-0000-0000-000031140000}"/>
    <cellStyle name="20% - Accent5 5" xfId="5174" xr:uid="{00000000-0005-0000-0000-000032140000}"/>
    <cellStyle name="20% - Accent5 6" xfId="5175" xr:uid="{00000000-0005-0000-0000-000033140000}"/>
    <cellStyle name="20% - Accent5 7" xfId="5176" xr:uid="{00000000-0005-0000-0000-000034140000}"/>
    <cellStyle name="20% - Accent5 8" xfId="5177" xr:uid="{00000000-0005-0000-0000-000035140000}"/>
    <cellStyle name="20% - Accent5 9" xfId="5178" xr:uid="{00000000-0005-0000-0000-000036140000}"/>
    <cellStyle name="20% - Accent6 10" xfId="5179" xr:uid="{00000000-0005-0000-0000-000037140000}"/>
    <cellStyle name="20% - Accent6 11" xfId="5180" xr:uid="{00000000-0005-0000-0000-000038140000}"/>
    <cellStyle name="20% - Accent6 12" xfId="5181" xr:uid="{00000000-0005-0000-0000-000039140000}"/>
    <cellStyle name="20% - Accent6 13" xfId="5182" xr:uid="{00000000-0005-0000-0000-00003A140000}"/>
    <cellStyle name="20% - Accent6 2" xfId="5183" xr:uid="{00000000-0005-0000-0000-00003B140000}"/>
    <cellStyle name="20% - Accent6 2 10" xfId="5184" xr:uid="{00000000-0005-0000-0000-00003C140000}"/>
    <cellStyle name="20% - Accent6 2 10 2" xfId="5185" xr:uid="{00000000-0005-0000-0000-00003D140000}"/>
    <cellStyle name="20% - Accent6 2 11" xfId="5186" xr:uid="{00000000-0005-0000-0000-00003E140000}"/>
    <cellStyle name="20% - Accent6 2 2" xfId="5187" xr:uid="{00000000-0005-0000-0000-00003F140000}"/>
    <cellStyle name="20% - Accent6 2 2 10" xfId="5188" xr:uid="{00000000-0005-0000-0000-000040140000}"/>
    <cellStyle name="20% - Accent6 2 2 2" xfId="5189" xr:uid="{00000000-0005-0000-0000-000041140000}"/>
    <cellStyle name="20% - Accent6 2 2 2 2" xfId="5190" xr:uid="{00000000-0005-0000-0000-000042140000}"/>
    <cellStyle name="20% - Accent6 2 2 2 2 2" xfId="5191" xr:uid="{00000000-0005-0000-0000-000043140000}"/>
    <cellStyle name="20% - Accent6 2 2 2 2 2 2" xfId="5192" xr:uid="{00000000-0005-0000-0000-000044140000}"/>
    <cellStyle name="20% - Accent6 2 2 2 2 2 2 2" xfId="5193" xr:uid="{00000000-0005-0000-0000-000045140000}"/>
    <cellStyle name="20% - Accent6 2 2 2 2 2 2 2 2" xfId="5194" xr:uid="{00000000-0005-0000-0000-000046140000}"/>
    <cellStyle name="20% - Accent6 2 2 2 2 2 2 2 2 2" xfId="5195" xr:uid="{00000000-0005-0000-0000-000047140000}"/>
    <cellStyle name="20% - Accent6 2 2 2 2 2 2 2 2 2 2" xfId="5196" xr:uid="{00000000-0005-0000-0000-000048140000}"/>
    <cellStyle name="20% - Accent6 2 2 2 2 2 2 2 2 2 2 2" xfId="5197" xr:uid="{00000000-0005-0000-0000-000049140000}"/>
    <cellStyle name="20% - Accent6 2 2 2 2 2 2 2 2 2 3" xfId="5198" xr:uid="{00000000-0005-0000-0000-00004A140000}"/>
    <cellStyle name="20% - Accent6 2 2 2 2 2 2 2 2 3" xfId="5199" xr:uid="{00000000-0005-0000-0000-00004B140000}"/>
    <cellStyle name="20% - Accent6 2 2 2 2 2 2 2 2 3 2" xfId="5200" xr:uid="{00000000-0005-0000-0000-00004C140000}"/>
    <cellStyle name="20% - Accent6 2 2 2 2 2 2 2 2 4" xfId="5201" xr:uid="{00000000-0005-0000-0000-00004D140000}"/>
    <cellStyle name="20% - Accent6 2 2 2 2 2 2 2 3" xfId="5202" xr:uid="{00000000-0005-0000-0000-00004E140000}"/>
    <cellStyle name="20% - Accent6 2 2 2 2 2 2 2 3 2" xfId="5203" xr:uid="{00000000-0005-0000-0000-00004F140000}"/>
    <cellStyle name="20% - Accent6 2 2 2 2 2 2 2 3 2 2" xfId="5204" xr:uid="{00000000-0005-0000-0000-000050140000}"/>
    <cellStyle name="20% - Accent6 2 2 2 2 2 2 2 3 3" xfId="5205" xr:uid="{00000000-0005-0000-0000-000051140000}"/>
    <cellStyle name="20% - Accent6 2 2 2 2 2 2 2 4" xfId="5206" xr:uid="{00000000-0005-0000-0000-000052140000}"/>
    <cellStyle name="20% - Accent6 2 2 2 2 2 2 2 4 2" xfId="5207" xr:uid="{00000000-0005-0000-0000-000053140000}"/>
    <cellStyle name="20% - Accent6 2 2 2 2 2 2 2 5" xfId="5208" xr:uid="{00000000-0005-0000-0000-000054140000}"/>
    <cellStyle name="20% - Accent6 2 2 2 2 2 2 3" xfId="5209" xr:uid="{00000000-0005-0000-0000-000055140000}"/>
    <cellStyle name="20% - Accent6 2 2 2 2 2 2 3 2" xfId="5210" xr:uid="{00000000-0005-0000-0000-000056140000}"/>
    <cellStyle name="20% - Accent6 2 2 2 2 2 2 3 2 2" xfId="5211" xr:uid="{00000000-0005-0000-0000-000057140000}"/>
    <cellStyle name="20% - Accent6 2 2 2 2 2 2 3 2 2 2" xfId="5212" xr:uid="{00000000-0005-0000-0000-000058140000}"/>
    <cellStyle name="20% - Accent6 2 2 2 2 2 2 3 2 3" xfId="5213" xr:uid="{00000000-0005-0000-0000-000059140000}"/>
    <cellStyle name="20% - Accent6 2 2 2 2 2 2 3 3" xfId="5214" xr:uid="{00000000-0005-0000-0000-00005A140000}"/>
    <cellStyle name="20% - Accent6 2 2 2 2 2 2 3 3 2" xfId="5215" xr:uid="{00000000-0005-0000-0000-00005B140000}"/>
    <cellStyle name="20% - Accent6 2 2 2 2 2 2 3 4" xfId="5216" xr:uid="{00000000-0005-0000-0000-00005C140000}"/>
    <cellStyle name="20% - Accent6 2 2 2 2 2 2 4" xfId="5217" xr:uid="{00000000-0005-0000-0000-00005D140000}"/>
    <cellStyle name="20% - Accent6 2 2 2 2 2 2 4 2" xfId="5218" xr:uid="{00000000-0005-0000-0000-00005E140000}"/>
    <cellStyle name="20% - Accent6 2 2 2 2 2 2 4 2 2" xfId="5219" xr:uid="{00000000-0005-0000-0000-00005F140000}"/>
    <cellStyle name="20% - Accent6 2 2 2 2 2 2 4 3" xfId="5220" xr:uid="{00000000-0005-0000-0000-000060140000}"/>
    <cellStyle name="20% - Accent6 2 2 2 2 2 2 5" xfId="5221" xr:uid="{00000000-0005-0000-0000-000061140000}"/>
    <cellStyle name="20% - Accent6 2 2 2 2 2 2 5 2" xfId="5222" xr:uid="{00000000-0005-0000-0000-000062140000}"/>
    <cellStyle name="20% - Accent6 2 2 2 2 2 2 6" xfId="5223" xr:uid="{00000000-0005-0000-0000-000063140000}"/>
    <cellStyle name="20% - Accent6 2 2 2 2 2 3" xfId="5224" xr:uid="{00000000-0005-0000-0000-000064140000}"/>
    <cellStyle name="20% - Accent6 2 2 2 2 2 3 2" xfId="5225" xr:uid="{00000000-0005-0000-0000-000065140000}"/>
    <cellStyle name="20% - Accent6 2 2 2 2 2 3 2 2" xfId="5226" xr:uid="{00000000-0005-0000-0000-000066140000}"/>
    <cellStyle name="20% - Accent6 2 2 2 2 2 3 2 2 2" xfId="5227" xr:uid="{00000000-0005-0000-0000-000067140000}"/>
    <cellStyle name="20% - Accent6 2 2 2 2 2 3 2 2 2 2" xfId="5228" xr:uid="{00000000-0005-0000-0000-000068140000}"/>
    <cellStyle name="20% - Accent6 2 2 2 2 2 3 2 2 3" xfId="5229" xr:uid="{00000000-0005-0000-0000-000069140000}"/>
    <cellStyle name="20% - Accent6 2 2 2 2 2 3 2 3" xfId="5230" xr:uid="{00000000-0005-0000-0000-00006A140000}"/>
    <cellStyle name="20% - Accent6 2 2 2 2 2 3 2 3 2" xfId="5231" xr:uid="{00000000-0005-0000-0000-00006B140000}"/>
    <cellStyle name="20% - Accent6 2 2 2 2 2 3 2 4" xfId="5232" xr:uid="{00000000-0005-0000-0000-00006C140000}"/>
    <cellStyle name="20% - Accent6 2 2 2 2 2 3 3" xfId="5233" xr:uid="{00000000-0005-0000-0000-00006D140000}"/>
    <cellStyle name="20% - Accent6 2 2 2 2 2 3 3 2" xfId="5234" xr:uid="{00000000-0005-0000-0000-00006E140000}"/>
    <cellStyle name="20% - Accent6 2 2 2 2 2 3 3 2 2" xfId="5235" xr:uid="{00000000-0005-0000-0000-00006F140000}"/>
    <cellStyle name="20% - Accent6 2 2 2 2 2 3 3 3" xfId="5236" xr:uid="{00000000-0005-0000-0000-000070140000}"/>
    <cellStyle name="20% - Accent6 2 2 2 2 2 3 4" xfId="5237" xr:uid="{00000000-0005-0000-0000-000071140000}"/>
    <cellStyle name="20% - Accent6 2 2 2 2 2 3 4 2" xfId="5238" xr:uid="{00000000-0005-0000-0000-000072140000}"/>
    <cellStyle name="20% - Accent6 2 2 2 2 2 3 5" xfId="5239" xr:uid="{00000000-0005-0000-0000-000073140000}"/>
    <cellStyle name="20% - Accent6 2 2 2 2 2 4" xfId="5240" xr:uid="{00000000-0005-0000-0000-000074140000}"/>
    <cellStyle name="20% - Accent6 2 2 2 2 2 4 2" xfId="5241" xr:uid="{00000000-0005-0000-0000-000075140000}"/>
    <cellStyle name="20% - Accent6 2 2 2 2 2 4 2 2" xfId="5242" xr:uid="{00000000-0005-0000-0000-000076140000}"/>
    <cellStyle name="20% - Accent6 2 2 2 2 2 4 2 2 2" xfId="5243" xr:uid="{00000000-0005-0000-0000-000077140000}"/>
    <cellStyle name="20% - Accent6 2 2 2 2 2 4 2 3" xfId="5244" xr:uid="{00000000-0005-0000-0000-000078140000}"/>
    <cellStyle name="20% - Accent6 2 2 2 2 2 4 3" xfId="5245" xr:uid="{00000000-0005-0000-0000-000079140000}"/>
    <cellStyle name="20% - Accent6 2 2 2 2 2 4 3 2" xfId="5246" xr:uid="{00000000-0005-0000-0000-00007A140000}"/>
    <cellStyle name="20% - Accent6 2 2 2 2 2 4 4" xfId="5247" xr:uid="{00000000-0005-0000-0000-00007B140000}"/>
    <cellStyle name="20% - Accent6 2 2 2 2 2 5" xfId="5248" xr:uid="{00000000-0005-0000-0000-00007C140000}"/>
    <cellStyle name="20% - Accent6 2 2 2 2 2 5 2" xfId="5249" xr:uid="{00000000-0005-0000-0000-00007D140000}"/>
    <cellStyle name="20% - Accent6 2 2 2 2 2 5 2 2" xfId="5250" xr:uid="{00000000-0005-0000-0000-00007E140000}"/>
    <cellStyle name="20% - Accent6 2 2 2 2 2 5 3" xfId="5251" xr:uid="{00000000-0005-0000-0000-00007F140000}"/>
    <cellStyle name="20% - Accent6 2 2 2 2 2 6" xfId="5252" xr:uid="{00000000-0005-0000-0000-000080140000}"/>
    <cellStyle name="20% - Accent6 2 2 2 2 2 6 2" xfId="5253" xr:uid="{00000000-0005-0000-0000-000081140000}"/>
    <cellStyle name="20% - Accent6 2 2 2 2 2 7" xfId="5254" xr:uid="{00000000-0005-0000-0000-000082140000}"/>
    <cellStyle name="20% - Accent6 2 2 2 2 3" xfId="5255" xr:uid="{00000000-0005-0000-0000-000083140000}"/>
    <cellStyle name="20% - Accent6 2 2 2 2 3 2" xfId="5256" xr:uid="{00000000-0005-0000-0000-000084140000}"/>
    <cellStyle name="20% - Accent6 2 2 2 2 3 2 2" xfId="5257" xr:uid="{00000000-0005-0000-0000-000085140000}"/>
    <cellStyle name="20% - Accent6 2 2 2 2 3 2 2 2" xfId="5258" xr:uid="{00000000-0005-0000-0000-000086140000}"/>
    <cellStyle name="20% - Accent6 2 2 2 2 3 2 2 2 2" xfId="5259" xr:uid="{00000000-0005-0000-0000-000087140000}"/>
    <cellStyle name="20% - Accent6 2 2 2 2 3 2 2 2 2 2" xfId="5260" xr:uid="{00000000-0005-0000-0000-000088140000}"/>
    <cellStyle name="20% - Accent6 2 2 2 2 3 2 2 2 3" xfId="5261" xr:uid="{00000000-0005-0000-0000-000089140000}"/>
    <cellStyle name="20% - Accent6 2 2 2 2 3 2 2 3" xfId="5262" xr:uid="{00000000-0005-0000-0000-00008A140000}"/>
    <cellStyle name="20% - Accent6 2 2 2 2 3 2 2 3 2" xfId="5263" xr:uid="{00000000-0005-0000-0000-00008B140000}"/>
    <cellStyle name="20% - Accent6 2 2 2 2 3 2 2 4" xfId="5264" xr:uid="{00000000-0005-0000-0000-00008C140000}"/>
    <cellStyle name="20% - Accent6 2 2 2 2 3 2 3" xfId="5265" xr:uid="{00000000-0005-0000-0000-00008D140000}"/>
    <cellStyle name="20% - Accent6 2 2 2 2 3 2 3 2" xfId="5266" xr:uid="{00000000-0005-0000-0000-00008E140000}"/>
    <cellStyle name="20% - Accent6 2 2 2 2 3 2 3 2 2" xfId="5267" xr:uid="{00000000-0005-0000-0000-00008F140000}"/>
    <cellStyle name="20% - Accent6 2 2 2 2 3 2 3 3" xfId="5268" xr:uid="{00000000-0005-0000-0000-000090140000}"/>
    <cellStyle name="20% - Accent6 2 2 2 2 3 2 4" xfId="5269" xr:uid="{00000000-0005-0000-0000-000091140000}"/>
    <cellStyle name="20% - Accent6 2 2 2 2 3 2 4 2" xfId="5270" xr:uid="{00000000-0005-0000-0000-000092140000}"/>
    <cellStyle name="20% - Accent6 2 2 2 2 3 2 5" xfId="5271" xr:uid="{00000000-0005-0000-0000-000093140000}"/>
    <cellStyle name="20% - Accent6 2 2 2 2 3 3" xfId="5272" xr:uid="{00000000-0005-0000-0000-000094140000}"/>
    <cellStyle name="20% - Accent6 2 2 2 2 3 3 2" xfId="5273" xr:uid="{00000000-0005-0000-0000-000095140000}"/>
    <cellStyle name="20% - Accent6 2 2 2 2 3 3 2 2" xfId="5274" xr:uid="{00000000-0005-0000-0000-000096140000}"/>
    <cellStyle name="20% - Accent6 2 2 2 2 3 3 2 2 2" xfId="5275" xr:uid="{00000000-0005-0000-0000-000097140000}"/>
    <cellStyle name="20% - Accent6 2 2 2 2 3 3 2 3" xfId="5276" xr:uid="{00000000-0005-0000-0000-000098140000}"/>
    <cellStyle name="20% - Accent6 2 2 2 2 3 3 3" xfId="5277" xr:uid="{00000000-0005-0000-0000-000099140000}"/>
    <cellStyle name="20% - Accent6 2 2 2 2 3 3 3 2" xfId="5278" xr:uid="{00000000-0005-0000-0000-00009A140000}"/>
    <cellStyle name="20% - Accent6 2 2 2 2 3 3 4" xfId="5279" xr:uid="{00000000-0005-0000-0000-00009B140000}"/>
    <cellStyle name="20% - Accent6 2 2 2 2 3 4" xfId="5280" xr:uid="{00000000-0005-0000-0000-00009C140000}"/>
    <cellStyle name="20% - Accent6 2 2 2 2 3 4 2" xfId="5281" xr:uid="{00000000-0005-0000-0000-00009D140000}"/>
    <cellStyle name="20% - Accent6 2 2 2 2 3 4 2 2" xfId="5282" xr:uid="{00000000-0005-0000-0000-00009E140000}"/>
    <cellStyle name="20% - Accent6 2 2 2 2 3 4 3" xfId="5283" xr:uid="{00000000-0005-0000-0000-00009F140000}"/>
    <cellStyle name="20% - Accent6 2 2 2 2 3 5" xfId="5284" xr:uid="{00000000-0005-0000-0000-0000A0140000}"/>
    <cellStyle name="20% - Accent6 2 2 2 2 3 5 2" xfId="5285" xr:uid="{00000000-0005-0000-0000-0000A1140000}"/>
    <cellStyle name="20% - Accent6 2 2 2 2 3 6" xfId="5286" xr:uid="{00000000-0005-0000-0000-0000A2140000}"/>
    <cellStyle name="20% - Accent6 2 2 2 2 4" xfId="5287" xr:uid="{00000000-0005-0000-0000-0000A3140000}"/>
    <cellStyle name="20% - Accent6 2 2 2 2 4 2" xfId="5288" xr:uid="{00000000-0005-0000-0000-0000A4140000}"/>
    <cellStyle name="20% - Accent6 2 2 2 2 4 2 2" xfId="5289" xr:uid="{00000000-0005-0000-0000-0000A5140000}"/>
    <cellStyle name="20% - Accent6 2 2 2 2 4 2 2 2" xfId="5290" xr:uid="{00000000-0005-0000-0000-0000A6140000}"/>
    <cellStyle name="20% - Accent6 2 2 2 2 4 2 2 2 2" xfId="5291" xr:uid="{00000000-0005-0000-0000-0000A7140000}"/>
    <cellStyle name="20% - Accent6 2 2 2 2 4 2 2 3" xfId="5292" xr:uid="{00000000-0005-0000-0000-0000A8140000}"/>
    <cellStyle name="20% - Accent6 2 2 2 2 4 2 3" xfId="5293" xr:uid="{00000000-0005-0000-0000-0000A9140000}"/>
    <cellStyle name="20% - Accent6 2 2 2 2 4 2 3 2" xfId="5294" xr:uid="{00000000-0005-0000-0000-0000AA140000}"/>
    <cellStyle name="20% - Accent6 2 2 2 2 4 2 4" xfId="5295" xr:uid="{00000000-0005-0000-0000-0000AB140000}"/>
    <cellStyle name="20% - Accent6 2 2 2 2 4 3" xfId="5296" xr:uid="{00000000-0005-0000-0000-0000AC140000}"/>
    <cellStyle name="20% - Accent6 2 2 2 2 4 3 2" xfId="5297" xr:uid="{00000000-0005-0000-0000-0000AD140000}"/>
    <cellStyle name="20% - Accent6 2 2 2 2 4 3 2 2" xfId="5298" xr:uid="{00000000-0005-0000-0000-0000AE140000}"/>
    <cellStyle name="20% - Accent6 2 2 2 2 4 3 3" xfId="5299" xr:uid="{00000000-0005-0000-0000-0000AF140000}"/>
    <cellStyle name="20% - Accent6 2 2 2 2 4 4" xfId="5300" xr:uid="{00000000-0005-0000-0000-0000B0140000}"/>
    <cellStyle name="20% - Accent6 2 2 2 2 4 4 2" xfId="5301" xr:uid="{00000000-0005-0000-0000-0000B1140000}"/>
    <cellStyle name="20% - Accent6 2 2 2 2 4 5" xfId="5302" xr:uid="{00000000-0005-0000-0000-0000B2140000}"/>
    <cellStyle name="20% - Accent6 2 2 2 2 5" xfId="5303" xr:uid="{00000000-0005-0000-0000-0000B3140000}"/>
    <cellStyle name="20% - Accent6 2 2 2 2 5 2" xfId="5304" xr:uid="{00000000-0005-0000-0000-0000B4140000}"/>
    <cellStyle name="20% - Accent6 2 2 2 2 5 2 2" xfId="5305" xr:uid="{00000000-0005-0000-0000-0000B5140000}"/>
    <cellStyle name="20% - Accent6 2 2 2 2 5 2 2 2" xfId="5306" xr:uid="{00000000-0005-0000-0000-0000B6140000}"/>
    <cellStyle name="20% - Accent6 2 2 2 2 5 2 3" xfId="5307" xr:uid="{00000000-0005-0000-0000-0000B7140000}"/>
    <cellStyle name="20% - Accent6 2 2 2 2 5 3" xfId="5308" xr:uid="{00000000-0005-0000-0000-0000B8140000}"/>
    <cellStyle name="20% - Accent6 2 2 2 2 5 3 2" xfId="5309" xr:uid="{00000000-0005-0000-0000-0000B9140000}"/>
    <cellStyle name="20% - Accent6 2 2 2 2 5 4" xfId="5310" xr:uid="{00000000-0005-0000-0000-0000BA140000}"/>
    <cellStyle name="20% - Accent6 2 2 2 2 6" xfId="5311" xr:uid="{00000000-0005-0000-0000-0000BB140000}"/>
    <cellStyle name="20% - Accent6 2 2 2 2 6 2" xfId="5312" xr:uid="{00000000-0005-0000-0000-0000BC140000}"/>
    <cellStyle name="20% - Accent6 2 2 2 2 6 2 2" xfId="5313" xr:uid="{00000000-0005-0000-0000-0000BD140000}"/>
    <cellStyle name="20% - Accent6 2 2 2 2 6 3" xfId="5314" xr:uid="{00000000-0005-0000-0000-0000BE140000}"/>
    <cellStyle name="20% - Accent6 2 2 2 2 7" xfId="5315" xr:uid="{00000000-0005-0000-0000-0000BF140000}"/>
    <cellStyle name="20% - Accent6 2 2 2 2 7 2" xfId="5316" xr:uid="{00000000-0005-0000-0000-0000C0140000}"/>
    <cellStyle name="20% - Accent6 2 2 2 2 8" xfId="5317" xr:uid="{00000000-0005-0000-0000-0000C1140000}"/>
    <cellStyle name="20% - Accent6 2 2 2 3" xfId="5318" xr:uid="{00000000-0005-0000-0000-0000C2140000}"/>
    <cellStyle name="20% - Accent6 2 2 2 3 2" xfId="5319" xr:uid="{00000000-0005-0000-0000-0000C3140000}"/>
    <cellStyle name="20% - Accent6 2 2 2 3 2 2" xfId="5320" xr:uid="{00000000-0005-0000-0000-0000C4140000}"/>
    <cellStyle name="20% - Accent6 2 2 2 3 2 2 2" xfId="5321" xr:uid="{00000000-0005-0000-0000-0000C5140000}"/>
    <cellStyle name="20% - Accent6 2 2 2 3 2 2 2 2" xfId="5322" xr:uid="{00000000-0005-0000-0000-0000C6140000}"/>
    <cellStyle name="20% - Accent6 2 2 2 3 2 2 2 2 2" xfId="5323" xr:uid="{00000000-0005-0000-0000-0000C7140000}"/>
    <cellStyle name="20% - Accent6 2 2 2 3 2 2 2 2 2 2" xfId="5324" xr:uid="{00000000-0005-0000-0000-0000C8140000}"/>
    <cellStyle name="20% - Accent6 2 2 2 3 2 2 2 2 3" xfId="5325" xr:uid="{00000000-0005-0000-0000-0000C9140000}"/>
    <cellStyle name="20% - Accent6 2 2 2 3 2 2 2 3" xfId="5326" xr:uid="{00000000-0005-0000-0000-0000CA140000}"/>
    <cellStyle name="20% - Accent6 2 2 2 3 2 2 2 3 2" xfId="5327" xr:uid="{00000000-0005-0000-0000-0000CB140000}"/>
    <cellStyle name="20% - Accent6 2 2 2 3 2 2 2 4" xfId="5328" xr:uid="{00000000-0005-0000-0000-0000CC140000}"/>
    <cellStyle name="20% - Accent6 2 2 2 3 2 2 3" xfId="5329" xr:uid="{00000000-0005-0000-0000-0000CD140000}"/>
    <cellStyle name="20% - Accent6 2 2 2 3 2 2 3 2" xfId="5330" xr:uid="{00000000-0005-0000-0000-0000CE140000}"/>
    <cellStyle name="20% - Accent6 2 2 2 3 2 2 3 2 2" xfId="5331" xr:uid="{00000000-0005-0000-0000-0000CF140000}"/>
    <cellStyle name="20% - Accent6 2 2 2 3 2 2 3 3" xfId="5332" xr:uid="{00000000-0005-0000-0000-0000D0140000}"/>
    <cellStyle name="20% - Accent6 2 2 2 3 2 2 4" xfId="5333" xr:uid="{00000000-0005-0000-0000-0000D1140000}"/>
    <cellStyle name="20% - Accent6 2 2 2 3 2 2 4 2" xfId="5334" xr:uid="{00000000-0005-0000-0000-0000D2140000}"/>
    <cellStyle name="20% - Accent6 2 2 2 3 2 2 5" xfId="5335" xr:uid="{00000000-0005-0000-0000-0000D3140000}"/>
    <cellStyle name="20% - Accent6 2 2 2 3 2 3" xfId="5336" xr:uid="{00000000-0005-0000-0000-0000D4140000}"/>
    <cellStyle name="20% - Accent6 2 2 2 3 2 3 2" xfId="5337" xr:uid="{00000000-0005-0000-0000-0000D5140000}"/>
    <cellStyle name="20% - Accent6 2 2 2 3 2 3 2 2" xfId="5338" xr:uid="{00000000-0005-0000-0000-0000D6140000}"/>
    <cellStyle name="20% - Accent6 2 2 2 3 2 3 2 2 2" xfId="5339" xr:uid="{00000000-0005-0000-0000-0000D7140000}"/>
    <cellStyle name="20% - Accent6 2 2 2 3 2 3 2 3" xfId="5340" xr:uid="{00000000-0005-0000-0000-0000D8140000}"/>
    <cellStyle name="20% - Accent6 2 2 2 3 2 3 3" xfId="5341" xr:uid="{00000000-0005-0000-0000-0000D9140000}"/>
    <cellStyle name="20% - Accent6 2 2 2 3 2 3 3 2" xfId="5342" xr:uid="{00000000-0005-0000-0000-0000DA140000}"/>
    <cellStyle name="20% - Accent6 2 2 2 3 2 3 4" xfId="5343" xr:uid="{00000000-0005-0000-0000-0000DB140000}"/>
    <cellStyle name="20% - Accent6 2 2 2 3 2 4" xfId="5344" xr:uid="{00000000-0005-0000-0000-0000DC140000}"/>
    <cellStyle name="20% - Accent6 2 2 2 3 2 4 2" xfId="5345" xr:uid="{00000000-0005-0000-0000-0000DD140000}"/>
    <cellStyle name="20% - Accent6 2 2 2 3 2 4 2 2" xfId="5346" xr:uid="{00000000-0005-0000-0000-0000DE140000}"/>
    <cellStyle name="20% - Accent6 2 2 2 3 2 4 3" xfId="5347" xr:uid="{00000000-0005-0000-0000-0000DF140000}"/>
    <cellStyle name="20% - Accent6 2 2 2 3 2 5" xfId="5348" xr:uid="{00000000-0005-0000-0000-0000E0140000}"/>
    <cellStyle name="20% - Accent6 2 2 2 3 2 5 2" xfId="5349" xr:uid="{00000000-0005-0000-0000-0000E1140000}"/>
    <cellStyle name="20% - Accent6 2 2 2 3 2 6" xfId="5350" xr:uid="{00000000-0005-0000-0000-0000E2140000}"/>
    <cellStyle name="20% - Accent6 2 2 2 3 3" xfId="5351" xr:uid="{00000000-0005-0000-0000-0000E3140000}"/>
    <cellStyle name="20% - Accent6 2 2 2 3 3 2" xfId="5352" xr:uid="{00000000-0005-0000-0000-0000E4140000}"/>
    <cellStyle name="20% - Accent6 2 2 2 3 3 2 2" xfId="5353" xr:uid="{00000000-0005-0000-0000-0000E5140000}"/>
    <cellStyle name="20% - Accent6 2 2 2 3 3 2 2 2" xfId="5354" xr:uid="{00000000-0005-0000-0000-0000E6140000}"/>
    <cellStyle name="20% - Accent6 2 2 2 3 3 2 2 2 2" xfId="5355" xr:uid="{00000000-0005-0000-0000-0000E7140000}"/>
    <cellStyle name="20% - Accent6 2 2 2 3 3 2 2 3" xfId="5356" xr:uid="{00000000-0005-0000-0000-0000E8140000}"/>
    <cellStyle name="20% - Accent6 2 2 2 3 3 2 3" xfId="5357" xr:uid="{00000000-0005-0000-0000-0000E9140000}"/>
    <cellStyle name="20% - Accent6 2 2 2 3 3 2 3 2" xfId="5358" xr:uid="{00000000-0005-0000-0000-0000EA140000}"/>
    <cellStyle name="20% - Accent6 2 2 2 3 3 2 4" xfId="5359" xr:uid="{00000000-0005-0000-0000-0000EB140000}"/>
    <cellStyle name="20% - Accent6 2 2 2 3 3 3" xfId="5360" xr:uid="{00000000-0005-0000-0000-0000EC140000}"/>
    <cellStyle name="20% - Accent6 2 2 2 3 3 3 2" xfId="5361" xr:uid="{00000000-0005-0000-0000-0000ED140000}"/>
    <cellStyle name="20% - Accent6 2 2 2 3 3 3 2 2" xfId="5362" xr:uid="{00000000-0005-0000-0000-0000EE140000}"/>
    <cellStyle name="20% - Accent6 2 2 2 3 3 3 3" xfId="5363" xr:uid="{00000000-0005-0000-0000-0000EF140000}"/>
    <cellStyle name="20% - Accent6 2 2 2 3 3 4" xfId="5364" xr:uid="{00000000-0005-0000-0000-0000F0140000}"/>
    <cellStyle name="20% - Accent6 2 2 2 3 3 4 2" xfId="5365" xr:uid="{00000000-0005-0000-0000-0000F1140000}"/>
    <cellStyle name="20% - Accent6 2 2 2 3 3 5" xfId="5366" xr:uid="{00000000-0005-0000-0000-0000F2140000}"/>
    <cellStyle name="20% - Accent6 2 2 2 3 4" xfId="5367" xr:uid="{00000000-0005-0000-0000-0000F3140000}"/>
    <cellStyle name="20% - Accent6 2 2 2 3 4 2" xfId="5368" xr:uid="{00000000-0005-0000-0000-0000F4140000}"/>
    <cellStyle name="20% - Accent6 2 2 2 3 4 2 2" xfId="5369" xr:uid="{00000000-0005-0000-0000-0000F5140000}"/>
    <cellStyle name="20% - Accent6 2 2 2 3 4 2 2 2" xfId="5370" xr:uid="{00000000-0005-0000-0000-0000F6140000}"/>
    <cellStyle name="20% - Accent6 2 2 2 3 4 2 3" xfId="5371" xr:uid="{00000000-0005-0000-0000-0000F7140000}"/>
    <cellStyle name="20% - Accent6 2 2 2 3 4 3" xfId="5372" xr:uid="{00000000-0005-0000-0000-0000F8140000}"/>
    <cellStyle name="20% - Accent6 2 2 2 3 4 3 2" xfId="5373" xr:uid="{00000000-0005-0000-0000-0000F9140000}"/>
    <cellStyle name="20% - Accent6 2 2 2 3 4 4" xfId="5374" xr:uid="{00000000-0005-0000-0000-0000FA140000}"/>
    <cellStyle name="20% - Accent6 2 2 2 3 5" xfId="5375" xr:uid="{00000000-0005-0000-0000-0000FB140000}"/>
    <cellStyle name="20% - Accent6 2 2 2 3 5 2" xfId="5376" xr:uid="{00000000-0005-0000-0000-0000FC140000}"/>
    <cellStyle name="20% - Accent6 2 2 2 3 5 2 2" xfId="5377" xr:uid="{00000000-0005-0000-0000-0000FD140000}"/>
    <cellStyle name="20% - Accent6 2 2 2 3 5 3" xfId="5378" xr:uid="{00000000-0005-0000-0000-0000FE140000}"/>
    <cellStyle name="20% - Accent6 2 2 2 3 6" xfId="5379" xr:uid="{00000000-0005-0000-0000-0000FF140000}"/>
    <cellStyle name="20% - Accent6 2 2 2 3 6 2" xfId="5380" xr:uid="{00000000-0005-0000-0000-000000150000}"/>
    <cellStyle name="20% - Accent6 2 2 2 3 7" xfId="5381" xr:uid="{00000000-0005-0000-0000-000001150000}"/>
    <cellStyle name="20% - Accent6 2 2 2 4" xfId="5382" xr:uid="{00000000-0005-0000-0000-000002150000}"/>
    <cellStyle name="20% - Accent6 2 2 2 4 2" xfId="5383" xr:uid="{00000000-0005-0000-0000-000003150000}"/>
    <cellStyle name="20% - Accent6 2 2 2 4 2 2" xfId="5384" xr:uid="{00000000-0005-0000-0000-000004150000}"/>
    <cellStyle name="20% - Accent6 2 2 2 4 2 2 2" xfId="5385" xr:uid="{00000000-0005-0000-0000-000005150000}"/>
    <cellStyle name="20% - Accent6 2 2 2 4 2 2 2 2" xfId="5386" xr:uid="{00000000-0005-0000-0000-000006150000}"/>
    <cellStyle name="20% - Accent6 2 2 2 4 2 2 2 2 2" xfId="5387" xr:uid="{00000000-0005-0000-0000-000007150000}"/>
    <cellStyle name="20% - Accent6 2 2 2 4 2 2 2 3" xfId="5388" xr:uid="{00000000-0005-0000-0000-000008150000}"/>
    <cellStyle name="20% - Accent6 2 2 2 4 2 2 3" xfId="5389" xr:uid="{00000000-0005-0000-0000-000009150000}"/>
    <cellStyle name="20% - Accent6 2 2 2 4 2 2 3 2" xfId="5390" xr:uid="{00000000-0005-0000-0000-00000A150000}"/>
    <cellStyle name="20% - Accent6 2 2 2 4 2 2 4" xfId="5391" xr:uid="{00000000-0005-0000-0000-00000B150000}"/>
    <cellStyle name="20% - Accent6 2 2 2 4 2 3" xfId="5392" xr:uid="{00000000-0005-0000-0000-00000C150000}"/>
    <cellStyle name="20% - Accent6 2 2 2 4 2 3 2" xfId="5393" xr:uid="{00000000-0005-0000-0000-00000D150000}"/>
    <cellStyle name="20% - Accent6 2 2 2 4 2 3 2 2" xfId="5394" xr:uid="{00000000-0005-0000-0000-00000E150000}"/>
    <cellStyle name="20% - Accent6 2 2 2 4 2 3 3" xfId="5395" xr:uid="{00000000-0005-0000-0000-00000F150000}"/>
    <cellStyle name="20% - Accent6 2 2 2 4 2 4" xfId="5396" xr:uid="{00000000-0005-0000-0000-000010150000}"/>
    <cellStyle name="20% - Accent6 2 2 2 4 2 4 2" xfId="5397" xr:uid="{00000000-0005-0000-0000-000011150000}"/>
    <cellStyle name="20% - Accent6 2 2 2 4 2 5" xfId="5398" xr:uid="{00000000-0005-0000-0000-000012150000}"/>
    <cellStyle name="20% - Accent6 2 2 2 4 3" xfId="5399" xr:uid="{00000000-0005-0000-0000-000013150000}"/>
    <cellStyle name="20% - Accent6 2 2 2 4 3 2" xfId="5400" xr:uid="{00000000-0005-0000-0000-000014150000}"/>
    <cellStyle name="20% - Accent6 2 2 2 4 3 2 2" xfId="5401" xr:uid="{00000000-0005-0000-0000-000015150000}"/>
    <cellStyle name="20% - Accent6 2 2 2 4 3 2 2 2" xfId="5402" xr:uid="{00000000-0005-0000-0000-000016150000}"/>
    <cellStyle name="20% - Accent6 2 2 2 4 3 2 3" xfId="5403" xr:uid="{00000000-0005-0000-0000-000017150000}"/>
    <cellStyle name="20% - Accent6 2 2 2 4 3 3" xfId="5404" xr:uid="{00000000-0005-0000-0000-000018150000}"/>
    <cellStyle name="20% - Accent6 2 2 2 4 3 3 2" xfId="5405" xr:uid="{00000000-0005-0000-0000-000019150000}"/>
    <cellStyle name="20% - Accent6 2 2 2 4 3 4" xfId="5406" xr:uid="{00000000-0005-0000-0000-00001A150000}"/>
    <cellStyle name="20% - Accent6 2 2 2 4 4" xfId="5407" xr:uid="{00000000-0005-0000-0000-00001B150000}"/>
    <cellStyle name="20% - Accent6 2 2 2 4 4 2" xfId="5408" xr:uid="{00000000-0005-0000-0000-00001C150000}"/>
    <cellStyle name="20% - Accent6 2 2 2 4 4 2 2" xfId="5409" xr:uid="{00000000-0005-0000-0000-00001D150000}"/>
    <cellStyle name="20% - Accent6 2 2 2 4 4 3" xfId="5410" xr:uid="{00000000-0005-0000-0000-00001E150000}"/>
    <cellStyle name="20% - Accent6 2 2 2 4 5" xfId="5411" xr:uid="{00000000-0005-0000-0000-00001F150000}"/>
    <cellStyle name="20% - Accent6 2 2 2 4 5 2" xfId="5412" xr:uid="{00000000-0005-0000-0000-000020150000}"/>
    <cellStyle name="20% - Accent6 2 2 2 4 6" xfId="5413" xr:uid="{00000000-0005-0000-0000-000021150000}"/>
    <cellStyle name="20% - Accent6 2 2 2 5" xfId="5414" xr:uid="{00000000-0005-0000-0000-000022150000}"/>
    <cellStyle name="20% - Accent6 2 2 2 5 2" xfId="5415" xr:uid="{00000000-0005-0000-0000-000023150000}"/>
    <cellStyle name="20% - Accent6 2 2 2 5 2 2" xfId="5416" xr:uid="{00000000-0005-0000-0000-000024150000}"/>
    <cellStyle name="20% - Accent6 2 2 2 5 2 2 2" xfId="5417" xr:uid="{00000000-0005-0000-0000-000025150000}"/>
    <cellStyle name="20% - Accent6 2 2 2 5 2 2 2 2" xfId="5418" xr:uid="{00000000-0005-0000-0000-000026150000}"/>
    <cellStyle name="20% - Accent6 2 2 2 5 2 2 3" xfId="5419" xr:uid="{00000000-0005-0000-0000-000027150000}"/>
    <cellStyle name="20% - Accent6 2 2 2 5 2 3" xfId="5420" xr:uid="{00000000-0005-0000-0000-000028150000}"/>
    <cellStyle name="20% - Accent6 2 2 2 5 2 3 2" xfId="5421" xr:uid="{00000000-0005-0000-0000-000029150000}"/>
    <cellStyle name="20% - Accent6 2 2 2 5 2 4" xfId="5422" xr:uid="{00000000-0005-0000-0000-00002A150000}"/>
    <cellStyle name="20% - Accent6 2 2 2 5 3" xfId="5423" xr:uid="{00000000-0005-0000-0000-00002B150000}"/>
    <cellStyle name="20% - Accent6 2 2 2 5 3 2" xfId="5424" xr:uid="{00000000-0005-0000-0000-00002C150000}"/>
    <cellStyle name="20% - Accent6 2 2 2 5 3 2 2" xfId="5425" xr:uid="{00000000-0005-0000-0000-00002D150000}"/>
    <cellStyle name="20% - Accent6 2 2 2 5 3 3" xfId="5426" xr:uid="{00000000-0005-0000-0000-00002E150000}"/>
    <cellStyle name="20% - Accent6 2 2 2 5 4" xfId="5427" xr:uid="{00000000-0005-0000-0000-00002F150000}"/>
    <cellStyle name="20% - Accent6 2 2 2 5 4 2" xfId="5428" xr:uid="{00000000-0005-0000-0000-000030150000}"/>
    <cellStyle name="20% - Accent6 2 2 2 5 5" xfId="5429" xr:uid="{00000000-0005-0000-0000-000031150000}"/>
    <cellStyle name="20% - Accent6 2 2 2 6" xfId="5430" xr:uid="{00000000-0005-0000-0000-000032150000}"/>
    <cellStyle name="20% - Accent6 2 2 2 6 2" xfId="5431" xr:uid="{00000000-0005-0000-0000-000033150000}"/>
    <cellStyle name="20% - Accent6 2 2 2 6 2 2" xfId="5432" xr:uid="{00000000-0005-0000-0000-000034150000}"/>
    <cellStyle name="20% - Accent6 2 2 2 6 2 2 2" xfId="5433" xr:uid="{00000000-0005-0000-0000-000035150000}"/>
    <cellStyle name="20% - Accent6 2 2 2 6 2 3" xfId="5434" xr:uid="{00000000-0005-0000-0000-000036150000}"/>
    <cellStyle name="20% - Accent6 2 2 2 6 3" xfId="5435" xr:uid="{00000000-0005-0000-0000-000037150000}"/>
    <cellStyle name="20% - Accent6 2 2 2 6 3 2" xfId="5436" xr:uid="{00000000-0005-0000-0000-000038150000}"/>
    <cellStyle name="20% - Accent6 2 2 2 6 4" xfId="5437" xr:uid="{00000000-0005-0000-0000-000039150000}"/>
    <cellStyle name="20% - Accent6 2 2 2 7" xfId="5438" xr:uid="{00000000-0005-0000-0000-00003A150000}"/>
    <cellStyle name="20% - Accent6 2 2 2 7 2" xfId="5439" xr:uid="{00000000-0005-0000-0000-00003B150000}"/>
    <cellStyle name="20% - Accent6 2 2 2 7 2 2" xfId="5440" xr:uid="{00000000-0005-0000-0000-00003C150000}"/>
    <cellStyle name="20% - Accent6 2 2 2 7 3" xfId="5441" xr:uid="{00000000-0005-0000-0000-00003D150000}"/>
    <cellStyle name="20% - Accent6 2 2 2 8" xfId="5442" xr:uid="{00000000-0005-0000-0000-00003E150000}"/>
    <cellStyle name="20% - Accent6 2 2 2 8 2" xfId="5443" xr:uid="{00000000-0005-0000-0000-00003F150000}"/>
    <cellStyle name="20% - Accent6 2 2 2 9" xfId="5444" xr:uid="{00000000-0005-0000-0000-000040150000}"/>
    <cellStyle name="20% - Accent6 2 2 3" xfId="5445" xr:uid="{00000000-0005-0000-0000-000041150000}"/>
    <cellStyle name="20% - Accent6 2 2 3 2" xfId="5446" xr:uid="{00000000-0005-0000-0000-000042150000}"/>
    <cellStyle name="20% - Accent6 2 2 3 2 2" xfId="5447" xr:uid="{00000000-0005-0000-0000-000043150000}"/>
    <cellStyle name="20% - Accent6 2 2 3 2 2 2" xfId="5448" xr:uid="{00000000-0005-0000-0000-000044150000}"/>
    <cellStyle name="20% - Accent6 2 2 3 2 2 2 2" xfId="5449" xr:uid="{00000000-0005-0000-0000-000045150000}"/>
    <cellStyle name="20% - Accent6 2 2 3 2 2 2 2 2" xfId="5450" xr:uid="{00000000-0005-0000-0000-000046150000}"/>
    <cellStyle name="20% - Accent6 2 2 3 2 2 2 2 2 2" xfId="5451" xr:uid="{00000000-0005-0000-0000-000047150000}"/>
    <cellStyle name="20% - Accent6 2 2 3 2 2 2 2 2 2 2" xfId="5452" xr:uid="{00000000-0005-0000-0000-000048150000}"/>
    <cellStyle name="20% - Accent6 2 2 3 2 2 2 2 2 3" xfId="5453" xr:uid="{00000000-0005-0000-0000-000049150000}"/>
    <cellStyle name="20% - Accent6 2 2 3 2 2 2 2 3" xfId="5454" xr:uid="{00000000-0005-0000-0000-00004A150000}"/>
    <cellStyle name="20% - Accent6 2 2 3 2 2 2 2 3 2" xfId="5455" xr:uid="{00000000-0005-0000-0000-00004B150000}"/>
    <cellStyle name="20% - Accent6 2 2 3 2 2 2 2 4" xfId="5456" xr:uid="{00000000-0005-0000-0000-00004C150000}"/>
    <cellStyle name="20% - Accent6 2 2 3 2 2 2 3" xfId="5457" xr:uid="{00000000-0005-0000-0000-00004D150000}"/>
    <cellStyle name="20% - Accent6 2 2 3 2 2 2 3 2" xfId="5458" xr:uid="{00000000-0005-0000-0000-00004E150000}"/>
    <cellStyle name="20% - Accent6 2 2 3 2 2 2 3 2 2" xfId="5459" xr:uid="{00000000-0005-0000-0000-00004F150000}"/>
    <cellStyle name="20% - Accent6 2 2 3 2 2 2 3 3" xfId="5460" xr:uid="{00000000-0005-0000-0000-000050150000}"/>
    <cellStyle name="20% - Accent6 2 2 3 2 2 2 4" xfId="5461" xr:uid="{00000000-0005-0000-0000-000051150000}"/>
    <cellStyle name="20% - Accent6 2 2 3 2 2 2 4 2" xfId="5462" xr:uid="{00000000-0005-0000-0000-000052150000}"/>
    <cellStyle name="20% - Accent6 2 2 3 2 2 2 5" xfId="5463" xr:uid="{00000000-0005-0000-0000-000053150000}"/>
    <cellStyle name="20% - Accent6 2 2 3 2 2 3" xfId="5464" xr:uid="{00000000-0005-0000-0000-000054150000}"/>
    <cellStyle name="20% - Accent6 2 2 3 2 2 3 2" xfId="5465" xr:uid="{00000000-0005-0000-0000-000055150000}"/>
    <cellStyle name="20% - Accent6 2 2 3 2 2 3 2 2" xfId="5466" xr:uid="{00000000-0005-0000-0000-000056150000}"/>
    <cellStyle name="20% - Accent6 2 2 3 2 2 3 2 2 2" xfId="5467" xr:uid="{00000000-0005-0000-0000-000057150000}"/>
    <cellStyle name="20% - Accent6 2 2 3 2 2 3 2 3" xfId="5468" xr:uid="{00000000-0005-0000-0000-000058150000}"/>
    <cellStyle name="20% - Accent6 2 2 3 2 2 3 3" xfId="5469" xr:uid="{00000000-0005-0000-0000-000059150000}"/>
    <cellStyle name="20% - Accent6 2 2 3 2 2 3 3 2" xfId="5470" xr:uid="{00000000-0005-0000-0000-00005A150000}"/>
    <cellStyle name="20% - Accent6 2 2 3 2 2 3 4" xfId="5471" xr:uid="{00000000-0005-0000-0000-00005B150000}"/>
    <cellStyle name="20% - Accent6 2 2 3 2 2 4" xfId="5472" xr:uid="{00000000-0005-0000-0000-00005C150000}"/>
    <cellStyle name="20% - Accent6 2 2 3 2 2 4 2" xfId="5473" xr:uid="{00000000-0005-0000-0000-00005D150000}"/>
    <cellStyle name="20% - Accent6 2 2 3 2 2 4 2 2" xfId="5474" xr:uid="{00000000-0005-0000-0000-00005E150000}"/>
    <cellStyle name="20% - Accent6 2 2 3 2 2 4 3" xfId="5475" xr:uid="{00000000-0005-0000-0000-00005F150000}"/>
    <cellStyle name="20% - Accent6 2 2 3 2 2 5" xfId="5476" xr:uid="{00000000-0005-0000-0000-000060150000}"/>
    <cellStyle name="20% - Accent6 2 2 3 2 2 5 2" xfId="5477" xr:uid="{00000000-0005-0000-0000-000061150000}"/>
    <cellStyle name="20% - Accent6 2 2 3 2 2 6" xfId="5478" xr:uid="{00000000-0005-0000-0000-000062150000}"/>
    <cellStyle name="20% - Accent6 2 2 3 2 3" xfId="5479" xr:uid="{00000000-0005-0000-0000-000063150000}"/>
    <cellStyle name="20% - Accent6 2 2 3 2 3 2" xfId="5480" xr:uid="{00000000-0005-0000-0000-000064150000}"/>
    <cellStyle name="20% - Accent6 2 2 3 2 3 2 2" xfId="5481" xr:uid="{00000000-0005-0000-0000-000065150000}"/>
    <cellStyle name="20% - Accent6 2 2 3 2 3 2 2 2" xfId="5482" xr:uid="{00000000-0005-0000-0000-000066150000}"/>
    <cellStyle name="20% - Accent6 2 2 3 2 3 2 2 2 2" xfId="5483" xr:uid="{00000000-0005-0000-0000-000067150000}"/>
    <cellStyle name="20% - Accent6 2 2 3 2 3 2 2 3" xfId="5484" xr:uid="{00000000-0005-0000-0000-000068150000}"/>
    <cellStyle name="20% - Accent6 2 2 3 2 3 2 3" xfId="5485" xr:uid="{00000000-0005-0000-0000-000069150000}"/>
    <cellStyle name="20% - Accent6 2 2 3 2 3 2 3 2" xfId="5486" xr:uid="{00000000-0005-0000-0000-00006A150000}"/>
    <cellStyle name="20% - Accent6 2 2 3 2 3 2 4" xfId="5487" xr:uid="{00000000-0005-0000-0000-00006B150000}"/>
    <cellStyle name="20% - Accent6 2 2 3 2 3 3" xfId="5488" xr:uid="{00000000-0005-0000-0000-00006C150000}"/>
    <cellStyle name="20% - Accent6 2 2 3 2 3 3 2" xfId="5489" xr:uid="{00000000-0005-0000-0000-00006D150000}"/>
    <cellStyle name="20% - Accent6 2 2 3 2 3 3 2 2" xfId="5490" xr:uid="{00000000-0005-0000-0000-00006E150000}"/>
    <cellStyle name="20% - Accent6 2 2 3 2 3 3 3" xfId="5491" xr:uid="{00000000-0005-0000-0000-00006F150000}"/>
    <cellStyle name="20% - Accent6 2 2 3 2 3 4" xfId="5492" xr:uid="{00000000-0005-0000-0000-000070150000}"/>
    <cellStyle name="20% - Accent6 2 2 3 2 3 4 2" xfId="5493" xr:uid="{00000000-0005-0000-0000-000071150000}"/>
    <cellStyle name="20% - Accent6 2 2 3 2 3 5" xfId="5494" xr:uid="{00000000-0005-0000-0000-000072150000}"/>
    <cellStyle name="20% - Accent6 2 2 3 2 4" xfId="5495" xr:uid="{00000000-0005-0000-0000-000073150000}"/>
    <cellStyle name="20% - Accent6 2 2 3 2 4 2" xfId="5496" xr:uid="{00000000-0005-0000-0000-000074150000}"/>
    <cellStyle name="20% - Accent6 2 2 3 2 4 2 2" xfId="5497" xr:uid="{00000000-0005-0000-0000-000075150000}"/>
    <cellStyle name="20% - Accent6 2 2 3 2 4 2 2 2" xfId="5498" xr:uid="{00000000-0005-0000-0000-000076150000}"/>
    <cellStyle name="20% - Accent6 2 2 3 2 4 2 3" xfId="5499" xr:uid="{00000000-0005-0000-0000-000077150000}"/>
    <cellStyle name="20% - Accent6 2 2 3 2 4 3" xfId="5500" xr:uid="{00000000-0005-0000-0000-000078150000}"/>
    <cellStyle name="20% - Accent6 2 2 3 2 4 3 2" xfId="5501" xr:uid="{00000000-0005-0000-0000-000079150000}"/>
    <cellStyle name="20% - Accent6 2 2 3 2 4 4" xfId="5502" xr:uid="{00000000-0005-0000-0000-00007A150000}"/>
    <cellStyle name="20% - Accent6 2 2 3 2 5" xfId="5503" xr:uid="{00000000-0005-0000-0000-00007B150000}"/>
    <cellStyle name="20% - Accent6 2 2 3 2 5 2" xfId="5504" xr:uid="{00000000-0005-0000-0000-00007C150000}"/>
    <cellStyle name="20% - Accent6 2 2 3 2 5 2 2" xfId="5505" xr:uid="{00000000-0005-0000-0000-00007D150000}"/>
    <cellStyle name="20% - Accent6 2 2 3 2 5 3" xfId="5506" xr:uid="{00000000-0005-0000-0000-00007E150000}"/>
    <cellStyle name="20% - Accent6 2 2 3 2 6" xfId="5507" xr:uid="{00000000-0005-0000-0000-00007F150000}"/>
    <cellStyle name="20% - Accent6 2 2 3 2 6 2" xfId="5508" xr:uid="{00000000-0005-0000-0000-000080150000}"/>
    <cellStyle name="20% - Accent6 2 2 3 2 7" xfId="5509" xr:uid="{00000000-0005-0000-0000-000081150000}"/>
    <cellStyle name="20% - Accent6 2 2 3 3" xfId="5510" xr:uid="{00000000-0005-0000-0000-000082150000}"/>
    <cellStyle name="20% - Accent6 2 2 3 3 2" xfId="5511" xr:uid="{00000000-0005-0000-0000-000083150000}"/>
    <cellStyle name="20% - Accent6 2 2 3 3 2 2" xfId="5512" xr:uid="{00000000-0005-0000-0000-000084150000}"/>
    <cellStyle name="20% - Accent6 2 2 3 3 2 2 2" xfId="5513" xr:uid="{00000000-0005-0000-0000-000085150000}"/>
    <cellStyle name="20% - Accent6 2 2 3 3 2 2 2 2" xfId="5514" xr:uid="{00000000-0005-0000-0000-000086150000}"/>
    <cellStyle name="20% - Accent6 2 2 3 3 2 2 2 2 2" xfId="5515" xr:uid="{00000000-0005-0000-0000-000087150000}"/>
    <cellStyle name="20% - Accent6 2 2 3 3 2 2 2 3" xfId="5516" xr:uid="{00000000-0005-0000-0000-000088150000}"/>
    <cellStyle name="20% - Accent6 2 2 3 3 2 2 3" xfId="5517" xr:uid="{00000000-0005-0000-0000-000089150000}"/>
    <cellStyle name="20% - Accent6 2 2 3 3 2 2 3 2" xfId="5518" xr:uid="{00000000-0005-0000-0000-00008A150000}"/>
    <cellStyle name="20% - Accent6 2 2 3 3 2 2 4" xfId="5519" xr:uid="{00000000-0005-0000-0000-00008B150000}"/>
    <cellStyle name="20% - Accent6 2 2 3 3 2 3" xfId="5520" xr:uid="{00000000-0005-0000-0000-00008C150000}"/>
    <cellStyle name="20% - Accent6 2 2 3 3 2 3 2" xfId="5521" xr:uid="{00000000-0005-0000-0000-00008D150000}"/>
    <cellStyle name="20% - Accent6 2 2 3 3 2 3 2 2" xfId="5522" xr:uid="{00000000-0005-0000-0000-00008E150000}"/>
    <cellStyle name="20% - Accent6 2 2 3 3 2 3 3" xfId="5523" xr:uid="{00000000-0005-0000-0000-00008F150000}"/>
    <cellStyle name="20% - Accent6 2 2 3 3 2 4" xfId="5524" xr:uid="{00000000-0005-0000-0000-000090150000}"/>
    <cellStyle name="20% - Accent6 2 2 3 3 2 4 2" xfId="5525" xr:uid="{00000000-0005-0000-0000-000091150000}"/>
    <cellStyle name="20% - Accent6 2 2 3 3 2 5" xfId="5526" xr:uid="{00000000-0005-0000-0000-000092150000}"/>
    <cellStyle name="20% - Accent6 2 2 3 3 3" xfId="5527" xr:uid="{00000000-0005-0000-0000-000093150000}"/>
    <cellStyle name="20% - Accent6 2 2 3 3 3 2" xfId="5528" xr:uid="{00000000-0005-0000-0000-000094150000}"/>
    <cellStyle name="20% - Accent6 2 2 3 3 3 2 2" xfId="5529" xr:uid="{00000000-0005-0000-0000-000095150000}"/>
    <cellStyle name="20% - Accent6 2 2 3 3 3 2 2 2" xfId="5530" xr:uid="{00000000-0005-0000-0000-000096150000}"/>
    <cellStyle name="20% - Accent6 2 2 3 3 3 2 3" xfId="5531" xr:uid="{00000000-0005-0000-0000-000097150000}"/>
    <cellStyle name="20% - Accent6 2 2 3 3 3 3" xfId="5532" xr:uid="{00000000-0005-0000-0000-000098150000}"/>
    <cellStyle name="20% - Accent6 2 2 3 3 3 3 2" xfId="5533" xr:uid="{00000000-0005-0000-0000-000099150000}"/>
    <cellStyle name="20% - Accent6 2 2 3 3 3 4" xfId="5534" xr:uid="{00000000-0005-0000-0000-00009A150000}"/>
    <cellStyle name="20% - Accent6 2 2 3 3 4" xfId="5535" xr:uid="{00000000-0005-0000-0000-00009B150000}"/>
    <cellStyle name="20% - Accent6 2 2 3 3 4 2" xfId="5536" xr:uid="{00000000-0005-0000-0000-00009C150000}"/>
    <cellStyle name="20% - Accent6 2 2 3 3 4 2 2" xfId="5537" xr:uid="{00000000-0005-0000-0000-00009D150000}"/>
    <cellStyle name="20% - Accent6 2 2 3 3 4 3" xfId="5538" xr:uid="{00000000-0005-0000-0000-00009E150000}"/>
    <cellStyle name="20% - Accent6 2 2 3 3 5" xfId="5539" xr:uid="{00000000-0005-0000-0000-00009F150000}"/>
    <cellStyle name="20% - Accent6 2 2 3 3 5 2" xfId="5540" xr:uid="{00000000-0005-0000-0000-0000A0150000}"/>
    <cellStyle name="20% - Accent6 2 2 3 3 6" xfId="5541" xr:uid="{00000000-0005-0000-0000-0000A1150000}"/>
    <cellStyle name="20% - Accent6 2 2 3 4" xfId="5542" xr:uid="{00000000-0005-0000-0000-0000A2150000}"/>
    <cellStyle name="20% - Accent6 2 2 3 4 2" xfId="5543" xr:uid="{00000000-0005-0000-0000-0000A3150000}"/>
    <cellStyle name="20% - Accent6 2 2 3 4 2 2" xfId="5544" xr:uid="{00000000-0005-0000-0000-0000A4150000}"/>
    <cellStyle name="20% - Accent6 2 2 3 4 2 2 2" xfId="5545" xr:uid="{00000000-0005-0000-0000-0000A5150000}"/>
    <cellStyle name="20% - Accent6 2 2 3 4 2 2 2 2" xfId="5546" xr:uid="{00000000-0005-0000-0000-0000A6150000}"/>
    <cellStyle name="20% - Accent6 2 2 3 4 2 2 3" xfId="5547" xr:uid="{00000000-0005-0000-0000-0000A7150000}"/>
    <cellStyle name="20% - Accent6 2 2 3 4 2 3" xfId="5548" xr:uid="{00000000-0005-0000-0000-0000A8150000}"/>
    <cellStyle name="20% - Accent6 2 2 3 4 2 3 2" xfId="5549" xr:uid="{00000000-0005-0000-0000-0000A9150000}"/>
    <cellStyle name="20% - Accent6 2 2 3 4 2 4" xfId="5550" xr:uid="{00000000-0005-0000-0000-0000AA150000}"/>
    <cellStyle name="20% - Accent6 2 2 3 4 3" xfId="5551" xr:uid="{00000000-0005-0000-0000-0000AB150000}"/>
    <cellStyle name="20% - Accent6 2 2 3 4 3 2" xfId="5552" xr:uid="{00000000-0005-0000-0000-0000AC150000}"/>
    <cellStyle name="20% - Accent6 2 2 3 4 3 2 2" xfId="5553" xr:uid="{00000000-0005-0000-0000-0000AD150000}"/>
    <cellStyle name="20% - Accent6 2 2 3 4 3 3" xfId="5554" xr:uid="{00000000-0005-0000-0000-0000AE150000}"/>
    <cellStyle name="20% - Accent6 2 2 3 4 4" xfId="5555" xr:uid="{00000000-0005-0000-0000-0000AF150000}"/>
    <cellStyle name="20% - Accent6 2 2 3 4 4 2" xfId="5556" xr:uid="{00000000-0005-0000-0000-0000B0150000}"/>
    <cellStyle name="20% - Accent6 2 2 3 4 5" xfId="5557" xr:uid="{00000000-0005-0000-0000-0000B1150000}"/>
    <cellStyle name="20% - Accent6 2 2 3 5" xfId="5558" xr:uid="{00000000-0005-0000-0000-0000B2150000}"/>
    <cellStyle name="20% - Accent6 2 2 3 5 2" xfId="5559" xr:uid="{00000000-0005-0000-0000-0000B3150000}"/>
    <cellStyle name="20% - Accent6 2 2 3 5 2 2" xfId="5560" xr:uid="{00000000-0005-0000-0000-0000B4150000}"/>
    <cellStyle name="20% - Accent6 2 2 3 5 2 2 2" xfId="5561" xr:uid="{00000000-0005-0000-0000-0000B5150000}"/>
    <cellStyle name="20% - Accent6 2 2 3 5 2 3" xfId="5562" xr:uid="{00000000-0005-0000-0000-0000B6150000}"/>
    <cellStyle name="20% - Accent6 2 2 3 5 3" xfId="5563" xr:uid="{00000000-0005-0000-0000-0000B7150000}"/>
    <cellStyle name="20% - Accent6 2 2 3 5 3 2" xfId="5564" xr:uid="{00000000-0005-0000-0000-0000B8150000}"/>
    <cellStyle name="20% - Accent6 2 2 3 5 4" xfId="5565" xr:uid="{00000000-0005-0000-0000-0000B9150000}"/>
    <cellStyle name="20% - Accent6 2 2 3 6" xfId="5566" xr:uid="{00000000-0005-0000-0000-0000BA150000}"/>
    <cellStyle name="20% - Accent6 2 2 3 6 2" xfId="5567" xr:uid="{00000000-0005-0000-0000-0000BB150000}"/>
    <cellStyle name="20% - Accent6 2 2 3 6 2 2" xfId="5568" xr:uid="{00000000-0005-0000-0000-0000BC150000}"/>
    <cellStyle name="20% - Accent6 2 2 3 6 3" xfId="5569" xr:uid="{00000000-0005-0000-0000-0000BD150000}"/>
    <cellStyle name="20% - Accent6 2 2 3 7" xfId="5570" xr:uid="{00000000-0005-0000-0000-0000BE150000}"/>
    <cellStyle name="20% - Accent6 2 2 3 7 2" xfId="5571" xr:uid="{00000000-0005-0000-0000-0000BF150000}"/>
    <cellStyle name="20% - Accent6 2 2 3 8" xfId="5572" xr:uid="{00000000-0005-0000-0000-0000C0150000}"/>
    <cellStyle name="20% - Accent6 2 2 4" xfId="5573" xr:uid="{00000000-0005-0000-0000-0000C1150000}"/>
    <cellStyle name="20% - Accent6 2 2 4 2" xfId="5574" xr:uid="{00000000-0005-0000-0000-0000C2150000}"/>
    <cellStyle name="20% - Accent6 2 2 4 2 2" xfId="5575" xr:uid="{00000000-0005-0000-0000-0000C3150000}"/>
    <cellStyle name="20% - Accent6 2 2 4 2 2 2" xfId="5576" xr:uid="{00000000-0005-0000-0000-0000C4150000}"/>
    <cellStyle name="20% - Accent6 2 2 4 2 2 2 2" xfId="5577" xr:uid="{00000000-0005-0000-0000-0000C5150000}"/>
    <cellStyle name="20% - Accent6 2 2 4 2 2 2 2 2" xfId="5578" xr:uid="{00000000-0005-0000-0000-0000C6150000}"/>
    <cellStyle name="20% - Accent6 2 2 4 2 2 2 2 2 2" xfId="5579" xr:uid="{00000000-0005-0000-0000-0000C7150000}"/>
    <cellStyle name="20% - Accent6 2 2 4 2 2 2 2 3" xfId="5580" xr:uid="{00000000-0005-0000-0000-0000C8150000}"/>
    <cellStyle name="20% - Accent6 2 2 4 2 2 2 3" xfId="5581" xr:uid="{00000000-0005-0000-0000-0000C9150000}"/>
    <cellStyle name="20% - Accent6 2 2 4 2 2 2 3 2" xfId="5582" xr:uid="{00000000-0005-0000-0000-0000CA150000}"/>
    <cellStyle name="20% - Accent6 2 2 4 2 2 2 4" xfId="5583" xr:uid="{00000000-0005-0000-0000-0000CB150000}"/>
    <cellStyle name="20% - Accent6 2 2 4 2 2 3" xfId="5584" xr:uid="{00000000-0005-0000-0000-0000CC150000}"/>
    <cellStyle name="20% - Accent6 2 2 4 2 2 3 2" xfId="5585" xr:uid="{00000000-0005-0000-0000-0000CD150000}"/>
    <cellStyle name="20% - Accent6 2 2 4 2 2 3 2 2" xfId="5586" xr:uid="{00000000-0005-0000-0000-0000CE150000}"/>
    <cellStyle name="20% - Accent6 2 2 4 2 2 3 3" xfId="5587" xr:uid="{00000000-0005-0000-0000-0000CF150000}"/>
    <cellStyle name="20% - Accent6 2 2 4 2 2 4" xfId="5588" xr:uid="{00000000-0005-0000-0000-0000D0150000}"/>
    <cellStyle name="20% - Accent6 2 2 4 2 2 4 2" xfId="5589" xr:uid="{00000000-0005-0000-0000-0000D1150000}"/>
    <cellStyle name="20% - Accent6 2 2 4 2 2 5" xfId="5590" xr:uid="{00000000-0005-0000-0000-0000D2150000}"/>
    <cellStyle name="20% - Accent6 2 2 4 2 3" xfId="5591" xr:uid="{00000000-0005-0000-0000-0000D3150000}"/>
    <cellStyle name="20% - Accent6 2 2 4 2 3 2" xfId="5592" xr:uid="{00000000-0005-0000-0000-0000D4150000}"/>
    <cellStyle name="20% - Accent6 2 2 4 2 3 2 2" xfId="5593" xr:uid="{00000000-0005-0000-0000-0000D5150000}"/>
    <cellStyle name="20% - Accent6 2 2 4 2 3 2 2 2" xfId="5594" xr:uid="{00000000-0005-0000-0000-0000D6150000}"/>
    <cellStyle name="20% - Accent6 2 2 4 2 3 2 3" xfId="5595" xr:uid="{00000000-0005-0000-0000-0000D7150000}"/>
    <cellStyle name="20% - Accent6 2 2 4 2 3 3" xfId="5596" xr:uid="{00000000-0005-0000-0000-0000D8150000}"/>
    <cellStyle name="20% - Accent6 2 2 4 2 3 3 2" xfId="5597" xr:uid="{00000000-0005-0000-0000-0000D9150000}"/>
    <cellStyle name="20% - Accent6 2 2 4 2 3 4" xfId="5598" xr:uid="{00000000-0005-0000-0000-0000DA150000}"/>
    <cellStyle name="20% - Accent6 2 2 4 2 4" xfId="5599" xr:uid="{00000000-0005-0000-0000-0000DB150000}"/>
    <cellStyle name="20% - Accent6 2 2 4 2 4 2" xfId="5600" xr:uid="{00000000-0005-0000-0000-0000DC150000}"/>
    <cellStyle name="20% - Accent6 2 2 4 2 4 2 2" xfId="5601" xr:uid="{00000000-0005-0000-0000-0000DD150000}"/>
    <cellStyle name="20% - Accent6 2 2 4 2 4 3" xfId="5602" xr:uid="{00000000-0005-0000-0000-0000DE150000}"/>
    <cellStyle name="20% - Accent6 2 2 4 2 5" xfId="5603" xr:uid="{00000000-0005-0000-0000-0000DF150000}"/>
    <cellStyle name="20% - Accent6 2 2 4 2 5 2" xfId="5604" xr:uid="{00000000-0005-0000-0000-0000E0150000}"/>
    <cellStyle name="20% - Accent6 2 2 4 2 6" xfId="5605" xr:uid="{00000000-0005-0000-0000-0000E1150000}"/>
    <cellStyle name="20% - Accent6 2 2 4 3" xfId="5606" xr:uid="{00000000-0005-0000-0000-0000E2150000}"/>
    <cellStyle name="20% - Accent6 2 2 4 3 2" xfId="5607" xr:uid="{00000000-0005-0000-0000-0000E3150000}"/>
    <cellStyle name="20% - Accent6 2 2 4 3 2 2" xfId="5608" xr:uid="{00000000-0005-0000-0000-0000E4150000}"/>
    <cellStyle name="20% - Accent6 2 2 4 3 2 2 2" xfId="5609" xr:uid="{00000000-0005-0000-0000-0000E5150000}"/>
    <cellStyle name="20% - Accent6 2 2 4 3 2 2 2 2" xfId="5610" xr:uid="{00000000-0005-0000-0000-0000E6150000}"/>
    <cellStyle name="20% - Accent6 2 2 4 3 2 2 3" xfId="5611" xr:uid="{00000000-0005-0000-0000-0000E7150000}"/>
    <cellStyle name="20% - Accent6 2 2 4 3 2 3" xfId="5612" xr:uid="{00000000-0005-0000-0000-0000E8150000}"/>
    <cellStyle name="20% - Accent6 2 2 4 3 2 3 2" xfId="5613" xr:uid="{00000000-0005-0000-0000-0000E9150000}"/>
    <cellStyle name="20% - Accent6 2 2 4 3 2 4" xfId="5614" xr:uid="{00000000-0005-0000-0000-0000EA150000}"/>
    <cellStyle name="20% - Accent6 2 2 4 3 3" xfId="5615" xr:uid="{00000000-0005-0000-0000-0000EB150000}"/>
    <cellStyle name="20% - Accent6 2 2 4 3 3 2" xfId="5616" xr:uid="{00000000-0005-0000-0000-0000EC150000}"/>
    <cellStyle name="20% - Accent6 2 2 4 3 3 2 2" xfId="5617" xr:uid="{00000000-0005-0000-0000-0000ED150000}"/>
    <cellStyle name="20% - Accent6 2 2 4 3 3 3" xfId="5618" xr:uid="{00000000-0005-0000-0000-0000EE150000}"/>
    <cellStyle name="20% - Accent6 2 2 4 3 4" xfId="5619" xr:uid="{00000000-0005-0000-0000-0000EF150000}"/>
    <cellStyle name="20% - Accent6 2 2 4 3 4 2" xfId="5620" xr:uid="{00000000-0005-0000-0000-0000F0150000}"/>
    <cellStyle name="20% - Accent6 2 2 4 3 5" xfId="5621" xr:uid="{00000000-0005-0000-0000-0000F1150000}"/>
    <cellStyle name="20% - Accent6 2 2 4 4" xfId="5622" xr:uid="{00000000-0005-0000-0000-0000F2150000}"/>
    <cellStyle name="20% - Accent6 2 2 4 4 2" xfId="5623" xr:uid="{00000000-0005-0000-0000-0000F3150000}"/>
    <cellStyle name="20% - Accent6 2 2 4 4 2 2" xfId="5624" xr:uid="{00000000-0005-0000-0000-0000F4150000}"/>
    <cellStyle name="20% - Accent6 2 2 4 4 2 2 2" xfId="5625" xr:uid="{00000000-0005-0000-0000-0000F5150000}"/>
    <cellStyle name="20% - Accent6 2 2 4 4 2 3" xfId="5626" xr:uid="{00000000-0005-0000-0000-0000F6150000}"/>
    <cellStyle name="20% - Accent6 2 2 4 4 3" xfId="5627" xr:uid="{00000000-0005-0000-0000-0000F7150000}"/>
    <cellStyle name="20% - Accent6 2 2 4 4 3 2" xfId="5628" xr:uid="{00000000-0005-0000-0000-0000F8150000}"/>
    <cellStyle name="20% - Accent6 2 2 4 4 4" xfId="5629" xr:uid="{00000000-0005-0000-0000-0000F9150000}"/>
    <cellStyle name="20% - Accent6 2 2 4 5" xfId="5630" xr:uid="{00000000-0005-0000-0000-0000FA150000}"/>
    <cellStyle name="20% - Accent6 2 2 4 5 2" xfId="5631" xr:uid="{00000000-0005-0000-0000-0000FB150000}"/>
    <cellStyle name="20% - Accent6 2 2 4 5 2 2" xfId="5632" xr:uid="{00000000-0005-0000-0000-0000FC150000}"/>
    <cellStyle name="20% - Accent6 2 2 4 5 3" xfId="5633" xr:uid="{00000000-0005-0000-0000-0000FD150000}"/>
    <cellStyle name="20% - Accent6 2 2 4 6" xfId="5634" xr:uid="{00000000-0005-0000-0000-0000FE150000}"/>
    <cellStyle name="20% - Accent6 2 2 4 6 2" xfId="5635" xr:uid="{00000000-0005-0000-0000-0000FF150000}"/>
    <cellStyle name="20% - Accent6 2 2 4 7" xfId="5636" xr:uid="{00000000-0005-0000-0000-000000160000}"/>
    <cellStyle name="20% - Accent6 2 2 5" xfId="5637" xr:uid="{00000000-0005-0000-0000-000001160000}"/>
    <cellStyle name="20% - Accent6 2 2 5 2" xfId="5638" xr:uid="{00000000-0005-0000-0000-000002160000}"/>
    <cellStyle name="20% - Accent6 2 2 5 2 2" xfId="5639" xr:uid="{00000000-0005-0000-0000-000003160000}"/>
    <cellStyle name="20% - Accent6 2 2 5 2 2 2" xfId="5640" xr:uid="{00000000-0005-0000-0000-000004160000}"/>
    <cellStyle name="20% - Accent6 2 2 5 2 2 2 2" xfId="5641" xr:uid="{00000000-0005-0000-0000-000005160000}"/>
    <cellStyle name="20% - Accent6 2 2 5 2 2 2 2 2" xfId="5642" xr:uid="{00000000-0005-0000-0000-000006160000}"/>
    <cellStyle name="20% - Accent6 2 2 5 2 2 2 3" xfId="5643" xr:uid="{00000000-0005-0000-0000-000007160000}"/>
    <cellStyle name="20% - Accent6 2 2 5 2 2 3" xfId="5644" xr:uid="{00000000-0005-0000-0000-000008160000}"/>
    <cellStyle name="20% - Accent6 2 2 5 2 2 3 2" xfId="5645" xr:uid="{00000000-0005-0000-0000-000009160000}"/>
    <cellStyle name="20% - Accent6 2 2 5 2 2 4" xfId="5646" xr:uid="{00000000-0005-0000-0000-00000A160000}"/>
    <cellStyle name="20% - Accent6 2 2 5 2 3" xfId="5647" xr:uid="{00000000-0005-0000-0000-00000B160000}"/>
    <cellStyle name="20% - Accent6 2 2 5 2 3 2" xfId="5648" xr:uid="{00000000-0005-0000-0000-00000C160000}"/>
    <cellStyle name="20% - Accent6 2 2 5 2 3 2 2" xfId="5649" xr:uid="{00000000-0005-0000-0000-00000D160000}"/>
    <cellStyle name="20% - Accent6 2 2 5 2 3 3" xfId="5650" xr:uid="{00000000-0005-0000-0000-00000E160000}"/>
    <cellStyle name="20% - Accent6 2 2 5 2 4" xfId="5651" xr:uid="{00000000-0005-0000-0000-00000F160000}"/>
    <cellStyle name="20% - Accent6 2 2 5 2 4 2" xfId="5652" xr:uid="{00000000-0005-0000-0000-000010160000}"/>
    <cellStyle name="20% - Accent6 2 2 5 2 5" xfId="5653" xr:uid="{00000000-0005-0000-0000-000011160000}"/>
    <cellStyle name="20% - Accent6 2 2 5 3" xfId="5654" xr:uid="{00000000-0005-0000-0000-000012160000}"/>
    <cellStyle name="20% - Accent6 2 2 5 3 2" xfId="5655" xr:uid="{00000000-0005-0000-0000-000013160000}"/>
    <cellStyle name="20% - Accent6 2 2 5 3 2 2" xfId="5656" xr:uid="{00000000-0005-0000-0000-000014160000}"/>
    <cellStyle name="20% - Accent6 2 2 5 3 2 2 2" xfId="5657" xr:uid="{00000000-0005-0000-0000-000015160000}"/>
    <cellStyle name="20% - Accent6 2 2 5 3 2 3" xfId="5658" xr:uid="{00000000-0005-0000-0000-000016160000}"/>
    <cellStyle name="20% - Accent6 2 2 5 3 3" xfId="5659" xr:uid="{00000000-0005-0000-0000-000017160000}"/>
    <cellStyle name="20% - Accent6 2 2 5 3 3 2" xfId="5660" xr:uid="{00000000-0005-0000-0000-000018160000}"/>
    <cellStyle name="20% - Accent6 2 2 5 3 4" xfId="5661" xr:uid="{00000000-0005-0000-0000-000019160000}"/>
    <cellStyle name="20% - Accent6 2 2 5 4" xfId="5662" xr:uid="{00000000-0005-0000-0000-00001A160000}"/>
    <cellStyle name="20% - Accent6 2 2 5 4 2" xfId="5663" xr:uid="{00000000-0005-0000-0000-00001B160000}"/>
    <cellStyle name="20% - Accent6 2 2 5 4 2 2" xfId="5664" xr:uid="{00000000-0005-0000-0000-00001C160000}"/>
    <cellStyle name="20% - Accent6 2 2 5 4 3" xfId="5665" xr:uid="{00000000-0005-0000-0000-00001D160000}"/>
    <cellStyle name="20% - Accent6 2 2 5 5" xfId="5666" xr:uid="{00000000-0005-0000-0000-00001E160000}"/>
    <cellStyle name="20% - Accent6 2 2 5 5 2" xfId="5667" xr:uid="{00000000-0005-0000-0000-00001F160000}"/>
    <cellStyle name="20% - Accent6 2 2 5 6" xfId="5668" xr:uid="{00000000-0005-0000-0000-000020160000}"/>
    <cellStyle name="20% - Accent6 2 2 6" xfId="5669" xr:uid="{00000000-0005-0000-0000-000021160000}"/>
    <cellStyle name="20% - Accent6 2 2 6 2" xfId="5670" xr:uid="{00000000-0005-0000-0000-000022160000}"/>
    <cellStyle name="20% - Accent6 2 2 6 2 2" xfId="5671" xr:uid="{00000000-0005-0000-0000-000023160000}"/>
    <cellStyle name="20% - Accent6 2 2 6 2 2 2" xfId="5672" xr:uid="{00000000-0005-0000-0000-000024160000}"/>
    <cellStyle name="20% - Accent6 2 2 6 2 2 2 2" xfId="5673" xr:uid="{00000000-0005-0000-0000-000025160000}"/>
    <cellStyle name="20% - Accent6 2 2 6 2 2 3" xfId="5674" xr:uid="{00000000-0005-0000-0000-000026160000}"/>
    <cellStyle name="20% - Accent6 2 2 6 2 3" xfId="5675" xr:uid="{00000000-0005-0000-0000-000027160000}"/>
    <cellStyle name="20% - Accent6 2 2 6 2 3 2" xfId="5676" xr:uid="{00000000-0005-0000-0000-000028160000}"/>
    <cellStyle name="20% - Accent6 2 2 6 2 4" xfId="5677" xr:uid="{00000000-0005-0000-0000-000029160000}"/>
    <cellStyle name="20% - Accent6 2 2 6 3" xfId="5678" xr:uid="{00000000-0005-0000-0000-00002A160000}"/>
    <cellStyle name="20% - Accent6 2 2 6 3 2" xfId="5679" xr:uid="{00000000-0005-0000-0000-00002B160000}"/>
    <cellStyle name="20% - Accent6 2 2 6 3 2 2" xfId="5680" xr:uid="{00000000-0005-0000-0000-00002C160000}"/>
    <cellStyle name="20% - Accent6 2 2 6 3 3" xfId="5681" xr:uid="{00000000-0005-0000-0000-00002D160000}"/>
    <cellStyle name="20% - Accent6 2 2 6 4" xfId="5682" xr:uid="{00000000-0005-0000-0000-00002E160000}"/>
    <cellStyle name="20% - Accent6 2 2 6 4 2" xfId="5683" xr:uid="{00000000-0005-0000-0000-00002F160000}"/>
    <cellStyle name="20% - Accent6 2 2 6 5" xfId="5684" xr:uid="{00000000-0005-0000-0000-000030160000}"/>
    <cellStyle name="20% - Accent6 2 2 7" xfId="5685" xr:uid="{00000000-0005-0000-0000-000031160000}"/>
    <cellStyle name="20% - Accent6 2 2 7 2" xfId="5686" xr:uid="{00000000-0005-0000-0000-000032160000}"/>
    <cellStyle name="20% - Accent6 2 2 7 2 2" xfId="5687" xr:uid="{00000000-0005-0000-0000-000033160000}"/>
    <cellStyle name="20% - Accent6 2 2 7 2 2 2" xfId="5688" xr:uid="{00000000-0005-0000-0000-000034160000}"/>
    <cellStyle name="20% - Accent6 2 2 7 2 3" xfId="5689" xr:uid="{00000000-0005-0000-0000-000035160000}"/>
    <cellStyle name="20% - Accent6 2 2 7 3" xfId="5690" xr:uid="{00000000-0005-0000-0000-000036160000}"/>
    <cellStyle name="20% - Accent6 2 2 7 3 2" xfId="5691" xr:uid="{00000000-0005-0000-0000-000037160000}"/>
    <cellStyle name="20% - Accent6 2 2 7 4" xfId="5692" xr:uid="{00000000-0005-0000-0000-000038160000}"/>
    <cellStyle name="20% - Accent6 2 2 8" xfId="5693" xr:uid="{00000000-0005-0000-0000-000039160000}"/>
    <cellStyle name="20% - Accent6 2 2 8 2" xfId="5694" xr:uid="{00000000-0005-0000-0000-00003A160000}"/>
    <cellStyle name="20% - Accent6 2 2 8 2 2" xfId="5695" xr:uid="{00000000-0005-0000-0000-00003B160000}"/>
    <cellStyle name="20% - Accent6 2 2 8 3" xfId="5696" xr:uid="{00000000-0005-0000-0000-00003C160000}"/>
    <cellStyle name="20% - Accent6 2 2 9" xfId="5697" xr:uid="{00000000-0005-0000-0000-00003D160000}"/>
    <cellStyle name="20% - Accent6 2 2 9 2" xfId="5698" xr:uid="{00000000-0005-0000-0000-00003E160000}"/>
    <cellStyle name="20% - Accent6 2 3" xfId="5699" xr:uid="{00000000-0005-0000-0000-00003F160000}"/>
    <cellStyle name="20% - Accent6 2 3 2" xfId="5700" xr:uid="{00000000-0005-0000-0000-000040160000}"/>
    <cellStyle name="20% - Accent6 2 3 2 2" xfId="5701" xr:uid="{00000000-0005-0000-0000-000041160000}"/>
    <cellStyle name="20% - Accent6 2 3 2 2 2" xfId="5702" xr:uid="{00000000-0005-0000-0000-000042160000}"/>
    <cellStyle name="20% - Accent6 2 3 2 2 2 2" xfId="5703" xr:uid="{00000000-0005-0000-0000-000043160000}"/>
    <cellStyle name="20% - Accent6 2 3 2 2 2 2 2" xfId="5704" xr:uid="{00000000-0005-0000-0000-000044160000}"/>
    <cellStyle name="20% - Accent6 2 3 2 2 2 2 2 2" xfId="5705" xr:uid="{00000000-0005-0000-0000-000045160000}"/>
    <cellStyle name="20% - Accent6 2 3 2 2 2 2 2 2 2" xfId="5706" xr:uid="{00000000-0005-0000-0000-000046160000}"/>
    <cellStyle name="20% - Accent6 2 3 2 2 2 2 2 2 2 2" xfId="5707" xr:uid="{00000000-0005-0000-0000-000047160000}"/>
    <cellStyle name="20% - Accent6 2 3 2 2 2 2 2 2 3" xfId="5708" xr:uid="{00000000-0005-0000-0000-000048160000}"/>
    <cellStyle name="20% - Accent6 2 3 2 2 2 2 2 3" xfId="5709" xr:uid="{00000000-0005-0000-0000-000049160000}"/>
    <cellStyle name="20% - Accent6 2 3 2 2 2 2 2 3 2" xfId="5710" xr:uid="{00000000-0005-0000-0000-00004A160000}"/>
    <cellStyle name="20% - Accent6 2 3 2 2 2 2 2 4" xfId="5711" xr:uid="{00000000-0005-0000-0000-00004B160000}"/>
    <cellStyle name="20% - Accent6 2 3 2 2 2 2 3" xfId="5712" xr:uid="{00000000-0005-0000-0000-00004C160000}"/>
    <cellStyle name="20% - Accent6 2 3 2 2 2 2 3 2" xfId="5713" xr:uid="{00000000-0005-0000-0000-00004D160000}"/>
    <cellStyle name="20% - Accent6 2 3 2 2 2 2 3 2 2" xfId="5714" xr:uid="{00000000-0005-0000-0000-00004E160000}"/>
    <cellStyle name="20% - Accent6 2 3 2 2 2 2 3 3" xfId="5715" xr:uid="{00000000-0005-0000-0000-00004F160000}"/>
    <cellStyle name="20% - Accent6 2 3 2 2 2 2 4" xfId="5716" xr:uid="{00000000-0005-0000-0000-000050160000}"/>
    <cellStyle name="20% - Accent6 2 3 2 2 2 2 4 2" xfId="5717" xr:uid="{00000000-0005-0000-0000-000051160000}"/>
    <cellStyle name="20% - Accent6 2 3 2 2 2 2 5" xfId="5718" xr:uid="{00000000-0005-0000-0000-000052160000}"/>
    <cellStyle name="20% - Accent6 2 3 2 2 2 3" xfId="5719" xr:uid="{00000000-0005-0000-0000-000053160000}"/>
    <cellStyle name="20% - Accent6 2 3 2 2 2 3 2" xfId="5720" xr:uid="{00000000-0005-0000-0000-000054160000}"/>
    <cellStyle name="20% - Accent6 2 3 2 2 2 3 2 2" xfId="5721" xr:uid="{00000000-0005-0000-0000-000055160000}"/>
    <cellStyle name="20% - Accent6 2 3 2 2 2 3 2 2 2" xfId="5722" xr:uid="{00000000-0005-0000-0000-000056160000}"/>
    <cellStyle name="20% - Accent6 2 3 2 2 2 3 2 3" xfId="5723" xr:uid="{00000000-0005-0000-0000-000057160000}"/>
    <cellStyle name="20% - Accent6 2 3 2 2 2 3 3" xfId="5724" xr:uid="{00000000-0005-0000-0000-000058160000}"/>
    <cellStyle name="20% - Accent6 2 3 2 2 2 3 3 2" xfId="5725" xr:uid="{00000000-0005-0000-0000-000059160000}"/>
    <cellStyle name="20% - Accent6 2 3 2 2 2 3 4" xfId="5726" xr:uid="{00000000-0005-0000-0000-00005A160000}"/>
    <cellStyle name="20% - Accent6 2 3 2 2 2 4" xfId="5727" xr:uid="{00000000-0005-0000-0000-00005B160000}"/>
    <cellStyle name="20% - Accent6 2 3 2 2 2 4 2" xfId="5728" xr:uid="{00000000-0005-0000-0000-00005C160000}"/>
    <cellStyle name="20% - Accent6 2 3 2 2 2 4 2 2" xfId="5729" xr:uid="{00000000-0005-0000-0000-00005D160000}"/>
    <cellStyle name="20% - Accent6 2 3 2 2 2 4 3" xfId="5730" xr:uid="{00000000-0005-0000-0000-00005E160000}"/>
    <cellStyle name="20% - Accent6 2 3 2 2 2 5" xfId="5731" xr:uid="{00000000-0005-0000-0000-00005F160000}"/>
    <cellStyle name="20% - Accent6 2 3 2 2 2 5 2" xfId="5732" xr:uid="{00000000-0005-0000-0000-000060160000}"/>
    <cellStyle name="20% - Accent6 2 3 2 2 2 6" xfId="5733" xr:uid="{00000000-0005-0000-0000-000061160000}"/>
    <cellStyle name="20% - Accent6 2 3 2 2 3" xfId="5734" xr:uid="{00000000-0005-0000-0000-000062160000}"/>
    <cellStyle name="20% - Accent6 2 3 2 2 3 2" xfId="5735" xr:uid="{00000000-0005-0000-0000-000063160000}"/>
    <cellStyle name="20% - Accent6 2 3 2 2 3 2 2" xfId="5736" xr:uid="{00000000-0005-0000-0000-000064160000}"/>
    <cellStyle name="20% - Accent6 2 3 2 2 3 2 2 2" xfId="5737" xr:uid="{00000000-0005-0000-0000-000065160000}"/>
    <cellStyle name="20% - Accent6 2 3 2 2 3 2 2 2 2" xfId="5738" xr:uid="{00000000-0005-0000-0000-000066160000}"/>
    <cellStyle name="20% - Accent6 2 3 2 2 3 2 2 3" xfId="5739" xr:uid="{00000000-0005-0000-0000-000067160000}"/>
    <cellStyle name="20% - Accent6 2 3 2 2 3 2 3" xfId="5740" xr:uid="{00000000-0005-0000-0000-000068160000}"/>
    <cellStyle name="20% - Accent6 2 3 2 2 3 2 3 2" xfId="5741" xr:uid="{00000000-0005-0000-0000-000069160000}"/>
    <cellStyle name="20% - Accent6 2 3 2 2 3 2 4" xfId="5742" xr:uid="{00000000-0005-0000-0000-00006A160000}"/>
    <cellStyle name="20% - Accent6 2 3 2 2 3 3" xfId="5743" xr:uid="{00000000-0005-0000-0000-00006B160000}"/>
    <cellStyle name="20% - Accent6 2 3 2 2 3 3 2" xfId="5744" xr:uid="{00000000-0005-0000-0000-00006C160000}"/>
    <cellStyle name="20% - Accent6 2 3 2 2 3 3 2 2" xfId="5745" xr:uid="{00000000-0005-0000-0000-00006D160000}"/>
    <cellStyle name="20% - Accent6 2 3 2 2 3 3 3" xfId="5746" xr:uid="{00000000-0005-0000-0000-00006E160000}"/>
    <cellStyle name="20% - Accent6 2 3 2 2 3 4" xfId="5747" xr:uid="{00000000-0005-0000-0000-00006F160000}"/>
    <cellStyle name="20% - Accent6 2 3 2 2 3 4 2" xfId="5748" xr:uid="{00000000-0005-0000-0000-000070160000}"/>
    <cellStyle name="20% - Accent6 2 3 2 2 3 5" xfId="5749" xr:uid="{00000000-0005-0000-0000-000071160000}"/>
    <cellStyle name="20% - Accent6 2 3 2 2 4" xfId="5750" xr:uid="{00000000-0005-0000-0000-000072160000}"/>
    <cellStyle name="20% - Accent6 2 3 2 2 4 2" xfId="5751" xr:uid="{00000000-0005-0000-0000-000073160000}"/>
    <cellStyle name="20% - Accent6 2 3 2 2 4 2 2" xfId="5752" xr:uid="{00000000-0005-0000-0000-000074160000}"/>
    <cellStyle name="20% - Accent6 2 3 2 2 4 2 2 2" xfId="5753" xr:uid="{00000000-0005-0000-0000-000075160000}"/>
    <cellStyle name="20% - Accent6 2 3 2 2 4 2 3" xfId="5754" xr:uid="{00000000-0005-0000-0000-000076160000}"/>
    <cellStyle name="20% - Accent6 2 3 2 2 4 3" xfId="5755" xr:uid="{00000000-0005-0000-0000-000077160000}"/>
    <cellStyle name="20% - Accent6 2 3 2 2 4 3 2" xfId="5756" xr:uid="{00000000-0005-0000-0000-000078160000}"/>
    <cellStyle name="20% - Accent6 2 3 2 2 4 4" xfId="5757" xr:uid="{00000000-0005-0000-0000-000079160000}"/>
    <cellStyle name="20% - Accent6 2 3 2 2 5" xfId="5758" xr:uid="{00000000-0005-0000-0000-00007A160000}"/>
    <cellStyle name="20% - Accent6 2 3 2 2 5 2" xfId="5759" xr:uid="{00000000-0005-0000-0000-00007B160000}"/>
    <cellStyle name="20% - Accent6 2 3 2 2 5 2 2" xfId="5760" xr:uid="{00000000-0005-0000-0000-00007C160000}"/>
    <cellStyle name="20% - Accent6 2 3 2 2 5 3" xfId="5761" xr:uid="{00000000-0005-0000-0000-00007D160000}"/>
    <cellStyle name="20% - Accent6 2 3 2 2 6" xfId="5762" xr:uid="{00000000-0005-0000-0000-00007E160000}"/>
    <cellStyle name="20% - Accent6 2 3 2 2 6 2" xfId="5763" xr:uid="{00000000-0005-0000-0000-00007F160000}"/>
    <cellStyle name="20% - Accent6 2 3 2 2 7" xfId="5764" xr:uid="{00000000-0005-0000-0000-000080160000}"/>
    <cellStyle name="20% - Accent6 2 3 2 3" xfId="5765" xr:uid="{00000000-0005-0000-0000-000081160000}"/>
    <cellStyle name="20% - Accent6 2 3 2 3 2" xfId="5766" xr:uid="{00000000-0005-0000-0000-000082160000}"/>
    <cellStyle name="20% - Accent6 2 3 2 3 2 2" xfId="5767" xr:uid="{00000000-0005-0000-0000-000083160000}"/>
    <cellStyle name="20% - Accent6 2 3 2 3 2 2 2" xfId="5768" xr:uid="{00000000-0005-0000-0000-000084160000}"/>
    <cellStyle name="20% - Accent6 2 3 2 3 2 2 2 2" xfId="5769" xr:uid="{00000000-0005-0000-0000-000085160000}"/>
    <cellStyle name="20% - Accent6 2 3 2 3 2 2 2 2 2" xfId="5770" xr:uid="{00000000-0005-0000-0000-000086160000}"/>
    <cellStyle name="20% - Accent6 2 3 2 3 2 2 2 3" xfId="5771" xr:uid="{00000000-0005-0000-0000-000087160000}"/>
    <cellStyle name="20% - Accent6 2 3 2 3 2 2 3" xfId="5772" xr:uid="{00000000-0005-0000-0000-000088160000}"/>
    <cellStyle name="20% - Accent6 2 3 2 3 2 2 3 2" xfId="5773" xr:uid="{00000000-0005-0000-0000-000089160000}"/>
    <cellStyle name="20% - Accent6 2 3 2 3 2 2 4" xfId="5774" xr:uid="{00000000-0005-0000-0000-00008A160000}"/>
    <cellStyle name="20% - Accent6 2 3 2 3 2 3" xfId="5775" xr:uid="{00000000-0005-0000-0000-00008B160000}"/>
    <cellStyle name="20% - Accent6 2 3 2 3 2 3 2" xfId="5776" xr:uid="{00000000-0005-0000-0000-00008C160000}"/>
    <cellStyle name="20% - Accent6 2 3 2 3 2 3 2 2" xfId="5777" xr:uid="{00000000-0005-0000-0000-00008D160000}"/>
    <cellStyle name="20% - Accent6 2 3 2 3 2 3 3" xfId="5778" xr:uid="{00000000-0005-0000-0000-00008E160000}"/>
    <cellStyle name="20% - Accent6 2 3 2 3 2 4" xfId="5779" xr:uid="{00000000-0005-0000-0000-00008F160000}"/>
    <cellStyle name="20% - Accent6 2 3 2 3 2 4 2" xfId="5780" xr:uid="{00000000-0005-0000-0000-000090160000}"/>
    <cellStyle name="20% - Accent6 2 3 2 3 2 5" xfId="5781" xr:uid="{00000000-0005-0000-0000-000091160000}"/>
    <cellStyle name="20% - Accent6 2 3 2 3 3" xfId="5782" xr:uid="{00000000-0005-0000-0000-000092160000}"/>
    <cellStyle name="20% - Accent6 2 3 2 3 3 2" xfId="5783" xr:uid="{00000000-0005-0000-0000-000093160000}"/>
    <cellStyle name="20% - Accent6 2 3 2 3 3 2 2" xfId="5784" xr:uid="{00000000-0005-0000-0000-000094160000}"/>
    <cellStyle name="20% - Accent6 2 3 2 3 3 2 2 2" xfId="5785" xr:uid="{00000000-0005-0000-0000-000095160000}"/>
    <cellStyle name="20% - Accent6 2 3 2 3 3 2 3" xfId="5786" xr:uid="{00000000-0005-0000-0000-000096160000}"/>
    <cellStyle name="20% - Accent6 2 3 2 3 3 3" xfId="5787" xr:uid="{00000000-0005-0000-0000-000097160000}"/>
    <cellStyle name="20% - Accent6 2 3 2 3 3 3 2" xfId="5788" xr:uid="{00000000-0005-0000-0000-000098160000}"/>
    <cellStyle name="20% - Accent6 2 3 2 3 3 4" xfId="5789" xr:uid="{00000000-0005-0000-0000-000099160000}"/>
    <cellStyle name="20% - Accent6 2 3 2 3 4" xfId="5790" xr:uid="{00000000-0005-0000-0000-00009A160000}"/>
    <cellStyle name="20% - Accent6 2 3 2 3 4 2" xfId="5791" xr:uid="{00000000-0005-0000-0000-00009B160000}"/>
    <cellStyle name="20% - Accent6 2 3 2 3 4 2 2" xfId="5792" xr:uid="{00000000-0005-0000-0000-00009C160000}"/>
    <cellStyle name="20% - Accent6 2 3 2 3 4 3" xfId="5793" xr:uid="{00000000-0005-0000-0000-00009D160000}"/>
    <cellStyle name="20% - Accent6 2 3 2 3 5" xfId="5794" xr:uid="{00000000-0005-0000-0000-00009E160000}"/>
    <cellStyle name="20% - Accent6 2 3 2 3 5 2" xfId="5795" xr:uid="{00000000-0005-0000-0000-00009F160000}"/>
    <cellStyle name="20% - Accent6 2 3 2 3 6" xfId="5796" xr:uid="{00000000-0005-0000-0000-0000A0160000}"/>
    <cellStyle name="20% - Accent6 2 3 2 4" xfId="5797" xr:uid="{00000000-0005-0000-0000-0000A1160000}"/>
    <cellStyle name="20% - Accent6 2 3 2 4 2" xfId="5798" xr:uid="{00000000-0005-0000-0000-0000A2160000}"/>
    <cellStyle name="20% - Accent6 2 3 2 4 2 2" xfId="5799" xr:uid="{00000000-0005-0000-0000-0000A3160000}"/>
    <cellStyle name="20% - Accent6 2 3 2 4 2 2 2" xfId="5800" xr:uid="{00000000-0005-0000-0000-0000A4160000}"/>
    <cellStyle name="20% - Accent6 2 3 2 4 2 2 2 2" xfId="5801" xr:uid="{00000000-0005-0000-0000-0000A5160000}"/>
    <cellStyle name="20% - Accent6 2 3 2 4 2 2 3" xfId="5802" xr:uid="{00000000-0005-0000-0000-0000A6160000}"/>
    <cellStyle name="20% - Accent6 2 3 2 4 2 3" xfId="5803" xr:uid="{00000000-0005-0000-0000-0000A7160000}"/>
    <cellStyle name="20% - Accent6 2 3 2 4 2 3 2" xfId="5804" xr:uid="{00000000-0005-0000-0000-0000A8160000}"/>
    <cellStyle name="20% - Accent6 2 3 2 4 2 4" xfId="5805" xr:uid="{00000000-0005-0000-0000-0000A9160000}"/>
    <cellStyle name="20% - Accent6 2 3 2 4 3" xfId="5806" xr:uid="{00000000-0005-0000-0000-0000AA160000}"/>
    <cellStyle name="20% - Accent6 2 3 2 4 3 2" xfId="5807" xr:uid="{00000000-0005-0000-0000-0000AB160000}"/>
    <cellStyle name="20% - Accent6 2 3 2 4 3 2 2" xfId="5808" xr:uid="{00000000-0005-0000-0000-0000AC160000}"/>
    <cellStyle name="20% - Accent6 2 3 2 4 3 3" xfId="5809" xr:uid="{00000000-0005-0000-0000-0000AD160000}"/>
    <cellStyle name="20% - Accent6 2 3 2 4 4" xfId="5810" xr:uid="{00000000-0005-0000-0000-0000AE160000}"/>
    <cellStyle name="20% - Accent6 2 3 2 4 4 2" xfId="5811" xr:uid="{00000000-0005-0000-0000-0000AF160000}"/>
    <cellStyle name="20% - Accent6 2 3 2 4 5" xfId="5812" xr:uid="{00000000-0005-0000-0000-0000B0160000}"/>
    <cellStyle name="20% - Accent6 2 3 2 5" xfId="5813" xr:uid="{00000000-0005-0000-0000-0000B1160000}"/>
    <cellStyle name="20% - Accent6 2 3 2 5 2" xfId="5814" xr:uid="{00000000-0005-0000-0000-0000B2160000}"/>
    <cellStyle name="20% - Accent6 2 3 2 5 2 2" xfId="5815" xr:uid="{00000000-0005-0000-0000-0000B3160000}"/>
    <cellStyle name="20% - Accent6 2 3 2 5 2 2 2" xfId="5816" xr:uid="{00000000-0005-0000-0000-0000B4160000}"/>
    <cellStyle name="20% - Accent6 2 3 2 5 2 3" xfId="5817" xr:uid="{00000000-0005-0000-0000-0000B5160000}"/>
    <cellStyle name="20% - Accent6 2 3 2 5 3" xfId="5818" xr:uid="{00000000-0005-0000-0000-0000B6160000}"/>
    <cellStyle name="20% - Accent6 2 3 2 5 3 2" xfId="5819" xr:uid="{00000000-0005-0000-0000-0000B7160000}"/>
    <cellStyle name="20% - Accent6 2 3 2 5 4" xfId="5820" xr:uid="{00000000-0005-0000-0000-0000B8160000}"/>
    <cellStyle name="20% - Accent6 2 3 2 6" xfId="5821" xr:uid="{00000000-0005-0000-0000-0000B9160000}"/>
    <cellStyle name="20% - Accent6 2 3 2 6 2" xfId="5822" xr:uid="{00000000-0005-0000-0000-0000BA160000}"/>
    <cellStyle name="20% - Accent6 2 3 2 6 2 2" xfId="5823" xr:uid="{00000000-0005-0000-0000-0000BB160000}"/>
    <cellStyle name="20% - Accent6 2 3 2 6 3" xfId="5824" xr:uid="{00000000-0005-0000-0000-0000BC160000}"/>
    <cellStyle name="20% - Accent6 2 3 2 7" xfId="5825" xr:uid="{00000000-0005-0000-0000-0000BD160000}"/>
    <cellStyle name="20% - Accent6 2 3 2 7 2" xfId="5826" xr:uid="{00000000-0005-0000-0000-0000BE160000}"/>
    <cellStyle name="20% - Accent6 2 3 2 8" xfId="5827" xr:uid="{00000000-0005-0000-0000-0000BF160000}"/>
    <cellStyle name="20% - Accent6 2 3 3" xfId="5828" xr:uid="{00000000-0005-0000-0000-0000C0160000}"/>
    <cellStyle name="20% - Accent6 2 3 3 2" xfId="5829" xr:uid="{00000000-0005-0000-0000-0000C1160000}"/>
    <cellStyle name="20% - Accent6 2 3 3 2 2" xfId="5830" xr:uid="{00000000-0005-0000-0000-0000C2160000}"/>
    <cellStyle name="20% - Accent6 2 3 3 2 2 2" xfId="5831" xr:uid="{00000000-0005-0000-0000-0000C3160000}"/>
    <cellStyle name="20% - Accent6 2 3 3 2 2 2 2" xfId="5832" xr:uid="{00000000-0005-0000-0000-0000C4160000}"/>
    <cellStyle name="20% - Accent6 2 3 3 2 2 2 2 2" xfId="5833" xr:uid="{00000000-0005-0000-0000-0000C5160000}"/>
    <cellStyle name="20% - Accent6 2 3 3 2 2 2 2 2 2" xfId="5834" xr:uid="{00000000-0005-0000-0000-0000C6160000}"/>
    <cellStyle name="20% - Accent6 2 3 3 2 2 2 2 3" xfId="5835" xr:uid="{00000000-0005-0000-0000-0000C7160000}"/>
    <cellStyle name="20% - Accent6 2 3 3 2 2 2 3" xfId="5836" xr:uid="{00000000-0005-0000-0000-0000C8160000}"/>
    <cellStyle name="20% - Accent6 2 3 3 2 2 2 3 2" xfId="5837" xr:uid="{00000000-0005-0000-0000-0000C9160000}"/>
    <cellStyle name="20% - Accent6 2 3 3 2 2 2 4" xfId="5838" xr:uid="{00000000-0005-0000-0000-0000CA160000}"/>
    <cellStyle name="20% - Accent6 2 3 3 2 2 3" xfId="5839" xr:uid="{00000000-0005-0000-0000-0000CB160000}"/>
    <cellStyle name="20% - Accent6 2 3 3 2 2 3 2" xfId="5840" xr:uid="{00000000-0005-0000-0000-0000CC160000}"/>
    <cellStyle name="20% - Accent6 2 3 3 2 2 3 2 2" xfId="5841" xr:uid="{00000000-0005-0000-0000-0000CD160000}"/>
    <cellStyle name="20% - Accent6 2 3 3 2 2 3 3" xfId="5842" xr:uid="{00000000-0005-0000-0000-0000CE160000}"/>
    <cellStyle name="20% - Accent6 2 3 3 2 2 4" xfId="5843" xr:uid="{00000000-0005-0000-0000-0000CF160000}"/>
    <cellStyle name="20% - Accent6 2 3 3 2 2 4 2" xfId="5844" xr:uid="{00000000-0005-0000-0000-0000D0160000}"/>
    <cellStyle name="20% - Accent6 2 3 3 2 2 5" xfId="5845" xr:uid="{00000000-0005-0000-0000-0000D1160000}"/>
    <cellStyle name="20% - Accent6 2 3 3 2 3" xfId="5846" xr:uid="{00000000-0005-0000-0000-0000D2160000}"/>
    <cellStyle name="20% - Accent6 2 3 3 2 3 2" xfId="5847" xr:uid="{00000000-0005-0000-0000-0000D3160000}"/>
    <cellStyle name="20% - Accent6 2 3 3 2 3 2 2" xfId="5848" xr:uid="{00000000-0005-0000-0000-0000D4160000}"/>
    <cellStyle name="20% - Accent6 2 3 3 2 3 2 2 2" xfId="5849" xr:uid="{00000000-0005-0000-0000-0000D5160000}"/>
    <cellStyle name="20% - Accent6 2 3 3 2 3 2 3" xfId="5850" xr:uid="{00000000-0005-0000-0000-0000D6160000}"/>
    <cellStyle name="20% - Accent6 2 3 3 2 3 3" xfId="5851" xr:uid="{00000000-0005-0000-0000-0000D7160000}"/>
    <cellStyle name="20% - Accent6 2 3 3 2 3 3 2" xfId="5852" xr:uid="{00000000-0005-0000-0000-0000D8160000}"/>
    <cellStyle name="20% - Accent6 2 3 3 2 3 4" xfId="5853" xr:uid="{00000000-0005-0000-0000-0000D9160000}"/>
    <cellStyle name="20% - Accent6 2 3 3 2 4" xfId="5854" xr:uid="{00000000-0005-0000-0000-0000DA160000}"/>
    <cellStyle name="20% - Accent6 2 3 3 2 4 2" xfId="5855" xr:uid="{00000000-0005-0000-0000-0000DB160000}"/>
    <cellStyle name="20% - Accent6 2 3 3 2 4 2 2" xfId="5856" xr:uid="{00000000-0005-0000-0000-0000DC160000}"/>
    <cellStyle name="20% - Accent6 2 3 3 2 4 3" xfId="5857" xr:uid="{00000000-0005-0000-0000-0000DD160000}"/>
    <cellStyle name="20% - Accent6 2 3 3 2 5" xfId="5858" xr:uid="{00000000-0005-0000-0000-0000DE160000}"/>
    <cellStyle name="20% - Accent6 2 3 3 2 5 2" xfId="5859" xr:uid="{00000000-0005-0000-0000-0000DF160000}"/>
    <cellStyle name="20% - Accent6 2 3 3 2 6" xfId="5860" xr:uid="{00000000-0005-0000-0000-0000E0160000}"/>
    <cellStyle name="20% - Accent6 2 3 3 3" xfId="5861" xr:uid="{00000000-0005-0000-0000-0000E1160000}"/>
    <cellStyle name="20% - Accent6 2 3 3 3 2" xfId="5862" xr:uid="{00000000-0005-0000-0000-0000E2160000}"/>
    <cellStyle name="20% - Accent6 2 3 3 3 2 2" xfId="5863" xr:uid="{00000000-0005-0000-0000-0000E3160000}"/>
    <cellStyle name="20% - Accent6 2 3 3 3 2 2 2" xfId="5864" xr:uid="{00000000-0005-0000-0000-0000E4160000}"/>
    <cellStyle name="20% - Accent6 2 3 3 3 2 2 2 2" xfId="5865" xr:uid="{00000000-0005-0000-0000-0000E5160000}"/>
    <cellStyle name="20% - Accent6 2 3 3 3 2 2 3" xfId="5866" xr:uid="{00000000-0005-0000-0000-0000E6160000}"/>
    <cellStyle name="20% - Accent6 2 3 3 3 2 3" xfId="5867" xr:uid="{00000000-0005-0000-0000-0000E7160000}"/>
    <cellStyle name="20% - Accent6 2 3 3 3 2 3 2" xfId="5868" xr:uid="{00000000-0005-0000-0000-0000E8160000}"/>
    <cellStyle name="20% - Accent6 2 3 3 3 2 4" xfId="5869" xr:uid="{00000000-0005-0000-0000-0000E9160000}"/>
    <cellStyle name="20% - Accent6 2 3 3 3 3" xfId="5870" xr:uid="{00000000-0005-0000-0000-0000EA160000}"/>
    <cellStyle name="20% - Accent6 2 3 3 3 3 2" xfId="5871" xr:uid="{00000000-0005-0000-0000-0000EB160000}"/>
    <cellStyle name="20% - Accent6 2 3 3 3 3 2 2" xfId="5872" xr:uid="{00000000-0005-0000-0000-0000EC160000}"/>
    <cellStyle name="20% - Accent6 2 3 3 3 3 3" xfId="5873" xr:uid="{00000000-0005-0000-0000-0000ED160000}"/>
    <cellStyle name="20% - Accent6 2 3 3 3 4" xfId="5874" xr:uid="{00000000-0005-0000-0000-0000EE160000}"/>
    <cellStyle name="20% - Accent6 2 3 3 3 4 2" xfId="5875" xr:uid="{00000000-0005-0000-0000-0000EF160000}"/>
    <cellStyle name="20% - Accent6 2 3 3 3 5" xfId="5876" xr:uid="{00000000-0005-0000-0000-0000F0160000}"/>
    <cellStyle name="20% - Accent6 2 3 3 4" xfId="5877" xr:uid="{00000000-0005-0000-0000-0000F1160000}"/>
    <cellStyle name="20% - Accent6 2 3 3 4 2" xfId="5878" xr:uid="{00000000-0005-0000-0000-0000F2160000}"/>
    <cellStyle name="20% - Accent6 2 3 3 4 2 2" xfId="5879" xr:uid="{00000000-0005-0000-0000-0000F3160000}"/>
    <cellStyle name="20% - Accent6 2 3 3 4 2 2 2" xfId="5880" xr:uid="{00000000-0005-0000-0000-0000F4160000}"/>
    <cellStyle name="20% - Accent6 2 3 3 4 2 3" xfId="5881" xr:uid="{00000000-0005-0000-0000-0000F5160000}"/>
    <cellStyle name="20% - Accent6 2 3 3 4 3" xfId="5882" xr:uid="{00000000-0005-0000-0000-0000F6160000}"/>
    <cellStyle name="20% - Accent6 2 3 3 4 3 2" xfId="5883" xr:uid="{00000000-0005-0000-0000-0000F7160000}"/>
    <cellStyle name="20% - Accent6 2 3 3 4 4" xfId="5884" xr:uid="{00000000-0005-0000-0000-0000F8160000}"/>
    <cellStyle name="20% - Accent6 2 3 3 5" xfId="5885" xr:uid="{00000000-0005-0000-0000-0000F9160000}"/>
    <cellStyle name="20% - Accent6 2 3 3 5 2" xfId="5886" xr:uid="{00000000-0005-0000-0000-0000FA160000}"/>
    <cellStyle name="20% - Accent6 2 3 3 5 2 2" xfId="5887" xr:uid="{00000000-0005-0000-0000-0000FB160000}"/>
    <cellStyle name="20% - Accent6 2 3 3 5 3" xfId="5888" xr:uid="{00000000-0005-0000-0000-0000FC160000}"/>
    <cellStyle name="20% - Accent6 2 3 3 6" xfId="5889" xr:uid="{00000000-0005-0000-0000-0000FD160000}"/>
    <cellStyle name="20% - Accent6 2 3 3 6 2" xfId="5890" xr:uid="{00000000-0005-0000-0000-0000FE160000}"/>
    <cellStyle name="20% - Accent6 2 3 3 7" xfId="5891" xr:uid="{00000000-0005-0000-0000-0000FF160000}"/>
    <cellStyle name="20% - Accent6 2 3 4" xfId="5892" xr:uid="{00000000-0005-0000-0000-000000170000}"/>
    <cellStyle name="20% - Accent6 2 3 4 2" xfId="5893" xr:uid="{00000000-0005-0000-0000-000001170000}"/>
    <cellStyle name="20% - Accent6 2 3 4 2 2" xfId="5894" xr:uid="{00000000-0005-0000-0000-000002170000}"/>
    <cellStyle name="20% - Accent6 2 3 4 2 2 2" xfId="5895" xr:uid="{00000000-0005-0000-0000-000003170000}"/>
    <cellStyle name="20% - Accent6 2 3 4 2 2 2 2" xfId="5896" xr:uid="{00000000-0005-0000-0000-000004170000}"/>
    <cellStyle name="20% - Accent6 2 3 4 2 2 2 2 2" xfId="5897" xr:uid="{00000000-0005-0000-0000-000005170000}"/>
    <cellStyle name="20% - Accent6 2 3 4 2 2 2 3" xfId="5898" xr:uid="{00000000-0005-0000-0000-000006170000}"/>
    <cellStyle name="20% - Accent6 2 3 4 2 2 3" xfId="5899" xr:uid="{00000000-0005-0000-0000-000007170000}"/>
    <cellStyle name="20% - Accent6 2 3 4 2 2 3 2" xfId="5900" xr:uid="{00000000-0005-0000-0000-000008170000}"/>
    <cellStyle name="20% - Accent6 2 3 4 2 2 4" xfId="5901" xr:uid="{00000000-0005-0000-0000-000009170000}"/>
    <cellStyle name="20% - Accent6 2 3 4 2 3" xfId="5902" xr:uid="{00000000-0005-0000-0000-00000A170000}"/>
    <cellStyle name="20% - Accent6 2 3 4 2 3 2" xfId="5903" xr:uid="{00000000-0005-0000-0000-00000B170000}"/>
    <cellStyle name="20% - Accent6 2 3 4 2 3 2 2" xfId="5904" xr:uid="{00000000-0005-0000-0000-00000C170000}"/>
    <cellStyle name="20% - Accent6 2 3 4 2 3 3" xfId="5905" xr:uid="{00000000-0005-0000-0000-00000D170000}"/>
    <cellStyle name="20% - Accent6 2 3 4 2 4" xfId="5906" xr:uid="{00000000-0005-0000-0000-00000E170000}"/>
    <cellStyle name="20% - Accent6 2 3 4 2 4 2" xfId="5907" xr:uid="{00000000-0005-0000-0000-00000F170000}"/>
    <cellStyle name="20% - Accent6 2 3 4 2 5" xfId="5908" xr:uid="{00000000-0005-0000-0000-000010170000}"/>
    <cellStyle name="20% - Accent6 2 3 4 3" xfId="5909" xr:uid="{00000000-0005-0000-0000-000011170000}"/>
    <cellStyle name="20% - Accent6 2 3 4 3 2" xfId="5910" xr:uid="{00000000-0005-0000-0000-000012170000}"/>
    <cellStyle name="20% - Accent6 2 3 4 3 2 2" xfId="5911" xr:uid="{00000000-0005-0000-0000-000013170000}"/>
    <cellStyle name="20% - Accent6 2 3 4 3 2 2 2" xfId="5912" xr:uid="{00000000-0005-0000-0000-000014170000}"/>
    <cellStyle name="20% - Accent6 2 3 4 3 2 3" xfId="5913" xr:uid="{00000000-0005-0000-0000-000015170000}"/>
    <cellStyle name="20% - Accent6 2 3 4 3 3" xfId="5914" xr:uid="{00000000-0005-0000-0000-000016170000}"/>
    <cellStyle name="20% - Accent6 2 3 4 3 3 2" xfId="5915" xr:uid="{00000000-0005-0000-0000-000017170000}"/>
    <cellStyle name="20% - Accent6 2 3 4 3 4" xfId="5916" xr:uid="{00000000-0005-0000-0000-000018170000}"/>
    <cellStyle name="20% - Accent6 2 3 4 4" xfId="5917" xr:uid="{00000000-0005-0000-0000-000019170000}"/>
    <cellStyle name="20% - Accent6 2 3 4 4 2" xfId="5918" xr:uid="{00000000-0005-0000-0000-00001A170000}"/>
    <cellStyle name="20% - Accent6 2 3 4 4 2 2" xfId="5919" xr:uid="{00000000-0005-0000-0000-00001B170000}"/>
    <cellStyle name="20% - Accent6 2 3 4 4 3" xfId="5920" xr:uid="{00000000-0005-0000-0000-00001C170000}"/>
    <cellStyle name="20% - Accent6 2 3 4 5" xfId="5921" xr:uid="{00000000-0005-0000-0000-00001D170000}"/>
    <cellStyle name="20% - Accent6 2 3 4 5 2" xfId="5922" xr:uid="{00000000-0005-0000-0000-00001E170000}"/>
    <cellStyle name="20% - Accent6 2 3 4 6" xfId="5923" xr:uid="{00000000-0005-0000-0000-00001F170000}"/>
    <cellStyle name="20% - Accent6 2 3 5" xfId="5924" xr:uid="{00000000-0005-0000-0000-000020170000}"/>
    <cellStyle name="20% - Accent6 2 3 5 2" xfId="5925" xr:uid="{00000000-0005-0000-0000-000021170000}"/>
    <cellStyle name="20% - Accent6 2 3 5 2 2" xfId="5926" xr:uid="{00000000-0005-0000-0000-000022170000}"/>
    <cellStyle name="20% - Accent6 2 3 5 2 2 2" xfId="5927" xr:uid="{00000000-0005-0000-0000-000023170000}"/>
    <cellStyle name="20% - Accent6 2 3 5 2 2 2 2" xfId="5928" xr:uid="{00000000-0005-0000-0000-000024170000}"/>
    <cellStyle name="20% - Accent6 2 3 5 2 2 3" xfId="5929" xr:uid="{00000000-0005-0000-0000-000025170000}"/>
    <cellStyle name="20% - Accent6 2 3 5 2 3" xfId="5930" xr:uid="{00000000-0005-0000-0000-000026170000}"/>
    <cellStyle name="20% - Accent6 2 3 5 2 3 2" xfId="5931" xr:uid="{00000000-0005-0000-0000-000027170000}"/>
    <cellStyle name="20% - Accent6 2 3 5 2 4" xfId="5932" xr:uid="{00000000-0005-0000-0000-000028170000}"/>
    <cellStyle name="20% - Accent6 2 3 5 3" xfId="5933" xr:uid="{00000000-0005-0000-0000-000029170000}"/>
    <cellStyle name="20% - Accent6 2 3 5 3 2" xfId="5934" xr:uid="{00000000-0005-0000-0000-00002A170000}"/>
    <cellStyle name="20% - Accent6 2 3 5 3 2 2" xfId="5935" xr:uid="{00000000-0005-0000-0000-00002B170000}"/>
    <cellStyle name="20% - Accent6 2 3 5 3 3" xfId="5936" xr:uid="{00000000-0005-0000-0000-00002C170000}"/>
    <cellStyle name="20% - Accent6 2 3 5 4" xfId="5937" xr:uid="{00000000-0005-0000-0000-00002D170000}"/>
    <cellStyle name="20% - Accent6 2 3 5 4 2" xfId="5938" xr:uid="{00000000-0005-0000-0000-00002E170000}"/>
    <cellStyle name="20% - Accent6 2 3 5 5" xfId="5939" xr:uid="{00000000-0005-0000-0000-00002F170000}"/>
    <cellStyle name="20% - Accent6 2 3 6" xfId="5940" xr:uid="{00000000-0005-0000-0000-000030170000}"/>
    <cellStyle name="20% - Accent6 2 3 6 2" xfId="5941" xr:uid="{00000000-0005-0000-0000-000031170000}"/>
    <cellStyle name="20% - Accent6 2 3 6 2 2" xfId="5942" xr:uid="{00000000-0005-0000-0000-000032170000}"/>
    <cellStyle name="20% - Accent6 2 3 6 2 2 2" xfId="5943" xr:uid="{00000000-0005-0000-0000-000033170000}"/>
    <cellStyle name="20% - Accent6 2 3 6 2 3" xfId="5944" xr:uid="{00000000-0005-0000-0000-000034170000}"/>
    <cellStyle name="20% - Accent6 2 3 6 3" xfId="5945" xr:uid="{00000000-0005-0000-0000-000035170000}"/>
    <cellStyle name="20% - Accent6 2 3 6 3 2" xfId="5946" xr:uid="{00000000-0005-0000-0000-000036170000}"/>
    <cellStyle name="20% - Accent6 2 3 6 4" xfId="5947" xr:uid="{00000000-0005-0000-0000-000037170000}"/>
    <cellStyle name="20% - Accent6 2 3 7" xfId="5948" xr:uid="{00000000-0005-0000-0000-000038170000}"/>
    <cellStyle name="20% - Accent6 2 3 7 2" xfId="5949" xr:uid="{00000000-0005-0000-0000-000039170000}"/>
    <cellStyle name="20% - Accent6 2 3 7 2 2" xfId="5950" xr:uid="{00000000-0005-0000-0000-00003A170000}"/>
    <cellStyle name="20% - Accent6 2 3 7 3" xfId="5951" xr:uid="{00000000-0005-0000-0000-00003B170000}"/>
    <cellStyle name="20% - Accent6 2 3 8" xfId="5952" xr:uid="{00000000-0005-0000-0000-00003C170000}"/>
    <cellStyle name="20% - Accent6 2 3 8 2" xfId="5953" xr:uid="{00000000-0005-0000-0000-00003D170000}"/>
    <cellStyle name="20% - Accent6 2 3 9" xfId="5954" xr:uid="{00000000-0005-0000-0000-00003E170000}"/>
    <cellStyle name="20% - Accent6 2 4" xfId="5955" xr:uid="{00000000-0005-0000-0000-00003F170000}"/>
    <cellStyle name="20% - Accent6 2 4 2" xfId="5956" xr:uid="{00000000-0005-0000-0000-000040170000}"/>
    <cellStyle name="20% - Accent6 2 4 2 2" xfId="5957" xr:uid="{00000000-0005-0000-0000-000041170000}"/>
    <cellStyle name="20% - Accent6 2 4 2 2 2" xfId="5958" xr:uid="{00000000-0005-0000-0000-000042170000}"/>
    <cellStyle name="20% - Accent6 2 4 2 2 2 2" xfId="5959" xr:uid="{00000000-0005-0000-0000-000043170000}"/>
    <cellStyle name="20% - Accent6 2 4 2 2 2 2 2" xfId="5960" xr:uid="{00000000-0005-0000-0000-000044170000}"/>
    <cellStyle name="20% - Accent6 2 4 2 2 2 2 2 2" xfId="5961" xr:uid="{00000000-0005-0000-0000-000045170000}"/>
    <cellStyle name="20% - Accent6 2 4 2 2 2 2 2 2 2" xfId="5962" xr:uid="{00000000-0005-0000-0000-000046170000}"/>
    <cellStyle name="20% - Accent6 2 4 2 2 2 2 2 3" xfId="5963" xr:uid="{00000000-0005-0000-0000-000047170000}"/>
    <cellStyle name="20% - Accent6 2 4 2 2 2 2 3" xfId="5964" xr:uid="{00000000-0005-0000-0000-000048170000}"/>
    <cellStyle name="20% - Accent6 2 4 2 2 2 2 3 2" xfId="5965" xr:uid="{00000000-0005-0000-0000-000049170000}"/>
    <cellStyle name="20% - Accent6 2 4 2 2 2 2 4" xfId="5966" xr:uid="{00000000-0005-0000-0000-00004A170000}"/>
    <cellStyle name="20% - Accent6 2 4 2 2 2 3" xfId="5967" xr:uid="{00000000-0005-0000-0000-00004B170000}"/>
    <cellStyle name="20% - Accent6 2 4 2 2 2 3 2" xfId="5968" xr:uid="{00000000-0005-0000-0000-00004C170000}"/>
    <cellStyle name="20% - Accent6 2 4 2 2 2 3 2 2" xfId="5969" xr:uid="{00000000-0005-0000-0000-00004D170000}"/>
    <cellStyle name="20% - Accent6 2 4 2 2 2 3 3" xfId="5970" xr:uid="{00000000-0005-0000-0000-00004E170000}"/>
    <cellStyle name="20% - Accent6 2 4 2 2 2 4" xfId="5971" xr:uid="{00000000-0005-0000-0000-00004F170000}"/>
    <cellStyle name="20% - Accent6 2 4 2 2 2 4 2" xfId="5972" xr:uid="{00000000-0005-0000-0000-000050170000}"/>
    <cellStyle name="20% - Accent6 2 4 2 2 2 5" xfId="5973" xr:uid="{00000000-0005-0000-0000-000051170000}"/>
    <cellStyle name="20% - Accent6 2 4 2 2 3" xfId="5974" xr:uid="{00000000-0005-0000-0000-000052170000}"/>
    <cellStyle name="20% - Accent6 2 4 2 2 3 2" xfId="5975" xr:uid="{00000000-0005-0000-0000-000053170000}"/>
    <cellStyle name="20% - Accent6 2 4 2 2 3 2 2" xfId="5976" xr:uid="{00000000-0005-0000-0000-000054170000}"/>
    <cellStyle name="20% - Accent6 2 4 2 2 3 2 2 2" xfId="5977" xr:uid="{00000000-0005-0000-0000-000055170000}"/>
    <cellStyle name="20% - Accent6 2 4 2 2 3 2 3" xfId="5978" xr:uid="{00000000-0005-0000-0000-000056170000}"/>
    <cellStyle name="20% - Accent6 2 4 2 2 3 3" xfId="5979" xr:uid="{00000000-0005-0000-0000-000057170000}"/>
    <cellStyle name="20% - Accent6 2 4 2 2 3 3 2" xfId="5980" xr:uid="{00000000-0005-0000-0000-000058170000}"/>
    <cellStyle name="20% - Accent6 2 4 2 2 3 4" xfId="5981" xr:uid="{00000000-0005-0000-0000-000059170000}"/>
    <cellStyle name="20% - Accent6 2 4 2 2 4" xfId="5982" xr:uid="{00000000-0005-0000-0000-00005A170000}"/>
    <cellStyle name="20% - Accent6 2 4 2 2 4 2" xfId="5983" xr:uid="{00000000-0005-0000-0000-00005B170000}"/>
    <cellStyle name="20% - Accent6 2 4 2 2 4 2 2" xfId="5984" xr:uid="{00000000-0005-0000-0000-00005C170000}"/>
    <cellStyle name="20% - Accent6 2 4 2 2 4 3" xfId="5985" xr:uid="{00000000-0005-0000-0000-00005D170000}"/>
    <cellStyle name="20% - Accent6 2 4 2 2 5" xfId="5986" xr:uid="{00000000-0005-0000-0000-00005E170000}"/>
    <cellStyle name="20% - Accent6 2 4 2 2 5 2" xfId="5987" xr:uid="{00000000-0005-0000-0000-00005F170000}"/>
    <cellStyle name="20% - Accent6 2 4 2 2 6" xfId="5988" xr:uid="{00000000-0005-0000-0000-000060170000}"/>
    <cellStyle name="20% - Accent6 2 4 2 3" xfId="5989" xr:uid="{00000000-0005-0000-0000-000061170000}"/>
    <cellStyle name="20% - Accent6 2 4 2 3 2" xfId="5990" xr:uid="{00000000-0005-0000-0000-000062170000}"/>
    <cellStyle name="20% - Accent6 2 4 2 3 2 2" xfId="5991" xr:uid="{00000000-0005-0000-0000-000063170000}"/>
    <cellStyle name="20% - Accent6 2 4 2 3 2 2 2" xfId="5992" xr:uid="{00000000-0005-0000-0000-000064170000}"/>
    <cellStyle name="20% - Accent6 2 4 2 3 2 2 2 2" xfId="5993" xr:uid="{00000000-0005-0000-0000-000065170000}"/>
    <cellStyle name="20% - Accent6 2 4 2 3 2 2 3" xfId="5994" xr:uid="{00000000-0005-0000-0000-000066170000}"/>
    <cellStyle name="20% - Accent6 2 4 2 3 2 3" xfId="5995" xr:uid="{00000000-0005-0000-0000-000067170000}"/>
    <cellStyle name="20% - Accent6 2 4 2 3 2 3 2" xfId="5996" xr:uid="{00000000-0005-0000-0000-000068170000}"/>
    <cellStyle name="20% - Accent6 2 4 2 3 2 4" xfId="5997" xr:uid="{00000000-0005-0000-0000-000069170000}"/>
    <cellStyle name="20% - Accent6 2 4 2 3 3" xfId="5998" xr:uid="{00000000-0005-0000-0000-00006A170000}"/>
    <cellStyle name="20% - Accent6 2 4 2 3 3 2" xfId="5999" xr:uid="{00000000-0005-0000-0000-00006B170000}"/>
    <cellStyle name="20% - Accent6 2 4 2 3 3 2 2" xfId="6000" xr:uid="{00000000-0005-0000-0000-00006C170000}"/>
    <cellStyle name="20% - Accent6 2 4 2 3 3 3" xfId="6001" xr:uid="{00000000-0005-0000-0000-00006D170000}"/>
    <cellStyle name="20% - Accent6 2 4 2 3 4" xfId="6002" xr:uid="{00000000-0005-0000-0000-00006E170000}"/>
    <cellStyle name="20% - Accent6 2 4 2 3 4 2" xfId="6003" xr:uid="{00000000-0005-0000-0000-00006F170000}"/>
    <cellStyle name="20% - Accent6 2 4 2 3 5" xfId="6004" xr:uid="{00000000-0005-0000-0000-000070170000}"/>
    <cellStyle name="20% - Accent6 2 4 2 4" xfId="6005" xr:uid="{00000000-0005-0000-0000-000071170000}"/>
    <cellStyle name="20% - Accent6 2 4 2 4 2" xfId="6006" xr:uid="{00000000-0005-0000-0000-000072170000}"/>
    <cellStyle name="20% - Accent6 2 4 2 4 2 2" xfId="6007" xr:uid="{00000000-0005-0000-0000-000073170000}"/>
    <cellStyle name="20% - Accent6 2 4 2 4 2 2 2" xfId="6008" xr:uid="{00000000-0005-0000-0000-000074170000}"/>
    <cellStyle name="20% - Accent6 2 4 2 4 2 3" xfId="6009" xr:uid="{00000000-0005-0000-0000-000075170000}"/>
    <cellStyle name="20% - Accent6 2 4 2 4 3" xfId="6010" xr:uid="{00000000-0005-0000-0000-000076170000}"/>
    <cellStyle name="20% - Accent6 2 4 2 4 3 2" xfId="6011" xr:uid="{00000000-0005-0000-0000-000077170000}"/>
    <cellStyle name="20% - Accent6 2 4 2 4 4" xfId="6012" xr:uid="{00000000-0005-0000-0000-000078170000}"/>
    <cellStyle name="20% - Accent6 2 4 2 5" xfId="6013" xr:uid="{00000000-0005-0000-0000-000079170000}"/>
    <cellStyle name="20% - Accent6 2 4 2 5 2" xfId="6014" xr:uid="{00000000-0005-0000-0000-00007A170000}"/>
    <cellStyle name="20% - Accent6 2 4 2 5 2 2" xfId="6015" xr:uid="{00000000-0005-0000-0000-00007B170000}"/>
    <cellStyle name="20% - Accent6 2 4 2 5 3" xfId="6016" xr:uid="{00000000-0005-0000-0000-00007C170000}"/>
    <cellStyle name="20% - Accent6 2 4 2 6" xfId="6017" xr:uid="{00000000-0005-0000-0000-00007D170000}"/>
    <cellStyle name="20% - Accent6 2 4 2 6 2" xfId="6018" xr:uid="{00000000-0005-0000-0000-00007E170000}"/>
    <cellStyle name="20% - Accent6 2 4 2 7" xfId="6019" xr:uid="{00000000-0005-0000-0000-00007F170000}"/>
    <cellStyle name="20% - Accent6 2 4 3" xfId="6020" xr:uid="{00000000-0005-0000-0000-000080170000}"/>
    <cellStyle name="20% - Accent6 2 4 3 2" xfId="6021" xr:uid="{00000000-0005-0000-0000-000081170000}"/>
    <cellStyle name="20% - Accent6 2 4 3 2 2" xfId="6022" xr:uid="{00000000-0005-0000-0000-000082170000}"/>
    <cellStyle name="20% - Accent6 2 4 3 2 2 2" xfId="6023" xr:uid="{00000000-0005-0000-0000-000083170000}"/>
    <cellStyle name="20% - Accent6 2 4 3 2 2 2 2" xfId="6024" xr:uid="{00000000-0005-0000-0000-000084170000}"/>
    <cellStyle name="20% - Accent6 2 4 3 2 2 2 2 2" xfId="6025" xr:uid="{00000000-0005-0000-0000-000085170000}"/>
    <cellStyle name="20% - Accent6 2 4 3 2 2 2 3" xfId="6026" xr:uid="{00000000-0005-0000-0000-000086170000}"/>
    <cellStyle name="20% - Accent6 2 4 3 2 2 3" xfId="6027" xr:uid="{00000000-0005-0000-0000-000087170000}"/>
    <cellStyle name="20% - Accent6 2 4 3 2 2 3 2" xfId="6028" xr:uid="{00000000-0005-0000-0000-000088170000}"/>
    <cellStyle name="20% - Accent6 2 4 3 2 2 4" xfId="6029" xr:uid="{00000000-0005-0000-0000-000089170000}"/>
    <cellStyle name="20% - Accent6 2 4 3 2 3" xfId="6030" xr:uid="{00000000-0005-0000-0000-00008A170000}"/>
    <cellStyle name="20% - Accent6 2 4 3 2 3 2" xfId="6031" xr:uid="{00000000-0005-0000-0000-00008B170000}"/>
    <cellStyle name="20% - Accent6 2 4 3 2 3 2 2" xfId="6032" xr:uid="{00000000-0005-0000-0000-00008C170000}"/>
    <cellStyle name="20% - Accent6 2 4 3 2 3 3" xfId="6033" xr:uid="{00000000-0005-0000-0000-00008D170000}"/>
    <cellStyle name="20% - Accent6 2 4 3 2 4" xfId="6034" xr:uid="{00000000-0005-0000-0000-00008E170000}"/>
    <cellStyle name="20% - Accent6 2 4 3 2 4 2" xfId="6035" xr:uid="{00000000-0005-0000-0000-00008F170000}"/>
    <cellStyle name="20% - Accent6 2 4 3 2 5" xfId="6036" xr:uid="{00000000-0005-0000-0000-000090170000}"/>
    <cellStyle name="20% - Accent6 2 4 3 3" xfId="6037" xr:uid="{00000000-0005-0000-0000-000091170000}"/>
    <cellStyle name="20% - Accent6 2 4 3 3 2" xfId="6038" xr:uid="{00000000-0005-0000-0000-000092170000}"/>
    <cellStyle name="20% - Accent6 2 4 3 3 2 2" xfId="6039" xr:uid="{00000000-0005-0000-0000-000093170000}"/>
    <cellStyle name="20% - Accent6 2 4 3 3 2 2 2" xfId="6040" xr:uid="{00000000-0005-0000-0000-000094170000}"/>
    <cellStyle name="20% - Accent6 2 4 3 3 2 3" xfId="6041" xr:uid="{00000000-0005-0000-0000-000095170000}"/>
    <cellStyle name="20% - Accent6 2 4 3 3 3" xfId="6042" xr:uid="{00000000-0005-0000-0000-000096170000}"/>
    <cellStyle name="20% - Accent6 2 4 3 3 3 2" xfId="6043" xr:uid="{00000000-0005-0000-0000-000097170000}"/>
    <cellStyle name="20% - Accent6 2 4 3 3 4" xfId="6044" xr:uid="{00000000-0005-0000-0000-000098170000}"/>
    <cellStyle name="20% - Accent6 2 4 3 4" xfId="6045" xr:uid="{00000000-0005-0000-0000-000099170000}"/>
    <cellStyle name="20% - Accent6 2 4 3 4 2" xfId="6046" xr:uid="{00000000-0005-0000-0000-00009A170000}"/>
    <cellStyle name="20% - Accent6 2 4 3 4 2 2" xfId="6047" xr:uid="{00000000-0005-0000-0000-00009B170000}"/>
    <cellStyle name="20% - Accent6 2 4 3 4 3" xfId="6048" xr:uid="{00000000-0005-0000-0000-00009C170000}"/>
    <cellStyle name="20% - Accent6 2 4 3 5" xfId="6049" xr:uid="{00000000-0005-0000-0000-00009D170000}"/>
    <cellStyle name="20% - Accent6 2 4 3 5 2" xfId="6050" xr:uid="{00000000-0005-0000-0000-00009E170000}"/>
    <cellStyle name="20% - Accent6 2 4 3 6" xfId="6051" xr:uid="{00000000-0005-0000-0000-00009F170000}"/>
    <cellStyle name="20% - Accent6 2 4 4" xfId="6052" xr:uid="{00000000-0005-0000-0000-0000A0170000}"/>
    <cellStyle name="20% - Accent6 2 4 4 2" xfId="6053" xr:uid="{00000000-0005-0000-0000-0000A1170000}"/>
    <cellStyle name="20% - Accent6 2 4 4 2 2" xfId="6054" xr:uid="{00000000-0005-0000-0000-0000A2170000}"/>
    <cellStyle name="20% - Accent6 2 4 4 2 2 2" xfId="6055" xr:uid="{00000000-0005-0000-0000-0000A3170000}"/>
    <cellStyle name="20% - Accent6 2 4 4 2 2 2 2" xfId="6056" xr:uid="{00000000-0005-0000-0000-0000A4170000}"/>
    <cellStyle name="20% - Accent6 2 4 4 2 2 3" xfId="6057" xr:uid="{00000000-0005-0000-0000-0000A5170000}"/>
    <cellStyle name="20% - Accent6 2 4 4 2 3" xfId="6058" xr:uid="{00000000-0005-0000-0000-0000A6170000}"/>
    <cellStyle name="20% - Accent6 2 4 4 2 3 2" xfId="6059" xr:uid="{00000000-0005-0000-0000-0000A7170000}"/>
    <cellStyle name="20% - Accent6 2 4 4 2 4" xfId="6060" xr:uid="{00000000-0005-0000-0000-0000A8170000}"/>
    <cellStyle name="20% - Accent6 2 4 4 3" xfId="6061" xr:uid="{00000000-0005-0000-0000-0000A9170000}"/>
    <cellStyle name="20% - Accent6 2 4 4 3 2" xfId="6062" xr:uid="{00000000-0005-0000-0000-0000AA170000}"/>
    <cellStyle name="20% - Accent6 2 4 4 3 2 2" xfId="6063" xr:uid="{00000000-0005-0000-0000-0000AB170000}"/>
    <cellStyle name="20% - Accent6 2 4 4 3 3" xfId="6064" xr:uid="{00000000-0005-0000-0000-0000AC170000}"/>
    <cellStyle name="20% - Accent6 2 4 4 4" xfId="6065" xr:uid="{00000000-0005-0000-0000-0000AD170000}"/>
    <cellStyle name="20% - Accent6 2 4 4 4 2" xfId="6066" xr:uid="{00000000-0005-0000-0000-0000AE170000}"/>
    <cellStyle name="20% - Accent6 2 4 4 5" xfId="6067" xr:uid="{00000000-0005-0000-0000-0000AF170000}"/>
    <cellStyle name="20% - Accent6 2 4 5" xfId="6068" xr:uid="{00000000-0005-0000-0000-0000B0170000}"/>
    <cellStyle name="20% - Accent6 2 4 5 2" xfId="6069" xr:uid="{00000000-0005-0000-0000-0000B1170000}"/>
    <cellStyle name="20% - Accent6 2 4 5 2 2" xfId="6070" xr:uid="{00000000-0005-0000-0000-0000B2170000}"/>
    <cellStyle name="20% - Accent6 2 4 5 2 2 2" xfId="6071" xr:uid="{00000000-0005-0000-0000-0000B3170000}"/>
    <cellStyle name="20% - Accent6 2 4 5 2 3" xfId="6072" xr:uid="{00000000-0005-0000-0000-0000B4170000}"/>
    <cellStyle name="20% - Accent6 2 4 5 3" xfId="6073" xr:uid="{00000000-0005-0000-0000-0000B5170000}"/>
    <cellStyle name="20% - Accent6 2 4 5 3 2" xfId="6074" xr:uid="{00000000-0005-0000-0000-0000B6170000}"/>
    <cellStyle name="20% - Accent6 2 4 5 4" xfId="6075" xr:uid="{00000000-0005-0000-0000-0000B7170000}"/>
    <cellStyle name="20% - Accent6 2 4 6" xfId="6076" xr:uid="{00000000-0005-0000-0000-0000B8170000}"/>
    <cellStyle name="20% - Accent6 2 4 6 2" xfId="6077" xr:uid="{00000000-0005-0000-0000-0000B9170000}"/>
    <cellStyle name="20% - Accent6 2 4 6 2 2" xfId="6078" xr:uid="{00000000-0005-0000-0000-0000BA170000}"/>
    <cellStyle name="20% - Accent6 2 4 6 3" xfId="6079" xr:uid="{00000000-0005-0000-0000-0000BB170000}"/>
    <cellStyle name="20% - Accent6 2 4 7" xfId="6080" xr:uid="{00000000-0005-0000-0000-0000BC170000}"/>
    <cellStyle name="20% - Accent6 2 4 7 2" xfId="6081" xr:uid="{00000000-0005-0000-0000-0000BD170000}"/>
    <cellStyle name="20% - Accent6 2 4 8" xfId="6082" xr:uid="{00000000-0005-0000-0000-0000BE170000}"/>
    <cellStyle name="20% - Accent6 2 5" xfId="6083" xr:uid="{00000000-0005-0000-0000-0000BF170000}"/>
    <cellStyle name="20% - Accent6 2 5 2" xfId="6084" xr:uid="{00000000-0005-0000-0000-0000C0170000}"/>
    <cellStyle name="20% - Accent6 2 5 2 2" xfId="6085" xr:uid="{00000000-0005-0000-0000-0000C1170000}"/>
    <cellStyle name="20% - Accent6 2 5 2 2 2" xfId="6086" xr:uid="{00000000-0005-0000-0000-0000C2170000}"/>
    <cellStyle name="20% - Accent6 2 5 2 2 2 2" xfId="6087" xr:uid="{00000000-0005-0000-0000-0000C3170000}"/>
    <cellStyle name="20% - Accent6 2 5 2 2 2 2 2" xfId="6088" xr:uid="{00000000-0005-0000-0000-0000C4170000}"/>
    <cellStyle name="20% - Accent6 2 5 2 2 2 2 2 2" xfId="6089" xr:uid="{00000000-0005-0000-0000-0000C5170000}"/>
    <cellStyle name="20% - Accent6 2 5 2 2 2 2 3" xfId="6090" xr:uid="{00000000-0005-0000-0000-0000C6170000}"/>
    <cellStyle name="20% - Accent6 2 5 2 2 2 3" xfId="6091" xr:uid="{00000000-0005-0000-0000-0000C7170000}"/>
    <cellStyle name="20% - Accent6 2 5 2 2 2 3 2" xfId="6092" xr:uid="{00000000-0005-0000-0000-0000C8170000}"/>
    <cellStyle name="20% - Accent6 2 5 2 2 2 4" xfId="6093" xr:uid="{00000000-0005-0000-0000-0000C9170000}"/>
    <cellStyle name="20% - Accent6 2 5 2 2 3" xfId="6094" xr:uid="{00000000-0005-0000-0000-0000CA170000}"/>
    <cellStyle name="20% - Accent6 2 5 2 2 3 2" xfId="6095" xr:uid="{00000000-0005-0000-0000-0000CB170000}"/>
    <cellStyle name="20% - Accent6 2 5 2 2 3 2 2" xfId="6096" xr:uid="{00000000-0005-0000-0000-0000CC170000}"/>
    <cellStyle name="20% - Accent6 2 5 2 2 3 3" xfId="6097" xr:uid="{00000000-0005-0000-0000-0000CD170000}"/>
    <cellStyle name="20% - Accent6 2 5 2 2 4" xfId="6098" xr:uid="{00000000-0005-0000-0000-0000CE170000}"/>
    <cellStyle name="20% - Accent6 2 5 2 2 4 2" xfId="6099" xr:uid="{00000000-0005-0000-0000-0000CF170000}"/>
    <cellStyle name="20% - Accent6 2 5 2 2 5" xfId="6100" xr:uid="{00000000-0005-0000-0000-0000D0170000}"/>
    <cellStyle name="20% - Accent6 2 5 2 3" xfId="6101" xr:uid="{00000000-0005-0000-0000-0000D1170000}"/>
    <cellStyle name="20% - Accent6 2 5 2 3 2" xfId="6102" xr:uid="{00000000-0005-0000-0000-0000D2170000}"/>
    <cellStyle name="20% - Accent6 2 5 2 3 2 2" xfId="6103" xr:uid="{00000000-0005-0000-0000-0000D3170000}"/>
    <cellStyle name="20% - Accent6 2 5 2 3 2 2 2" xfId="6104" xr:uid="{00000000-0005-0000-0000-0000D4170000}"/>
    <cellStyle name="20% - Accent6 2 5 2 3 2 3" xfId="6105" xr:uid="{00000000-0005-0000-0000-0000D5170000}"/>
    <cellStyle name="20% - Accent6 2 5 2 3 3" xfId="6106" xr:uid="{00000000-0005-0000-0000-0000D6170000}"/>
    <cellStyle name="20% - Accent6 2 5 2 3 3 2" xfId="6107" xr:uid="{00000000-0005-0000-0000-0000D7170000}"/>
    <cellStyle name="20% - Accent6 2 5 2 3 4" xfId="6108" xr:uid="{00000000-0005-0000-0000-0000D8170000}"/>
    <cellStyle name="20% - Accent6 2 5 2 4" xfId="6109" xr:uid="{00000000-0005-0000-0000-0000D9170000}"/>
    <cellStyle name="20% - Accent6 2 5 2 4 2" xfId="6110" xr:uid="{00000000-0005-0000-0000-0000DA170000}"/>
    <cellStyle name="20% - Accent6 2 5 2 4 2 2" xfId="6111" xr:uid="{00000000-0005-0000-0000-0000DB170000}"/>
    <cellStyle name="20% - Accent6 2 5 2 4 3" xfId="6112" xr:uid="{00000000-0005-0000-0000-0000DC170000}"/>
    <cellStyle name="20% - Accent6 2 5 2 5" xfId="6113" xr:uid="{00000000-0005-0000-0000-0000DD170000}"/>
    <cellStyle name="20% - Accent6 2 5 2 5 2" xfId="6114" xr:uid="{00000000-0005-0000-0000-0000DE170000}"/>
    <cellStyle name="20% - Accent6 2 5 2 6" xfId="6115" xr:uid="{00000000-0005-0000-0000-0000DF170000}"/>
    <cellStyle name="20% - Accent6 2 5 3" xfId="6116" xr:uid="{00000000-0005-0000-0000-0000E0170000}"/>
    <cellStyle name="20% - Accent6 2 5 3 2" xfId="6117" xr:uid="{00000000-0005-0000-0000-0000E1170000}"/>
    <cellStyle name="20% - Accent6 2 5 3 2 2" xfId="6118" xr:uid="{00000000-0005-0000-0000-0000E2170000}"/>
    <cellStyle name="20% - Accent6 2 5 3 2 2 2" xfId="6119" xr:uid="{00000000-0005-0000-0000-0000E3170000}"/>
    <cellStyle name="20% - Accent6 2 5 3 2 2 2 2" xfId="6120" xr:uid="{00000000-0005-0000-0000-0000E4170000}"/>
    <cellStyle name="20% - Accent6 2 5 3 2 2 3" xfId="6121" xr:uid="{00000000-0005-0000-0000-0000E5170000}"/>
    <cellStyle name="20% - Accent6 2 5 3 2 3" xfId="6122" xr:uid="{00000000-0005-0000-0000-0000E6170000}"/>
    <cellStyle name="20% - Accent6 2 5 3 2 3 2" xfId="6123" xr:uid="{00000000-0005-0000-0000-0000E7170000}"/>
    <cellStyle name="20% - Accent6 2 5 3 2 4" xfId="6124" xr:uid="{00000000-0005-0000-0000-0000E8170000}"/>
    <cellStyle name="20% - Accent6 2 5 3 3" xfId="6125" xr:uid="{00000000-0005-0000-0000-0000E9170000}"/>
    <cellStyle name="20% - Accent6 2 5 3 3 2" xfId="6126" xr:uid="{00000000-0005-0000-0000-0000EA170000}"/>
    <cellStyle name="20% - Accent6 2 5 3 3 2 2" xfId="6127" xr:uid="{00000000-0005-0000-0000-0000EB170000}"/>
    <cellStyle name="20% - Accent6 2 5 3 3 3" xfId="6128" xr:uid="{00000000-0005-0000-0000-0000EC170000}"/>
    <cellStyle name="20% - Accent6 2 5 3 4" xfId="6129" xr:uid="{00000000-0005-0000-0000-0000ED170000}"/>
    <cellStyle name="20% - Accent6 2 5 3 4 2" xfId="6130" xr:uid="{00000000-0005-0000-0000-0000EE170000}"/>
    <cellStyle name="20% - Accent6 2 5 3 5" xfId="6131" xr:uid="{00000000-0005-0000-0000-0000EF170000}"/>
    <cellStyle name="20% - Accent6 2 5 4" xfId="6132" xr:uid="{00000000-0005-0000-0000-0000F0170000}"/>
    <cellStyle name="20% - Accent6 2 5 4 2" xfId="6133" xr:uid="{00000000-0005-0000-0000-0000F1170000}"/>
    <cellStyle name="20% - Accent6 2 5 4 2 2" xfId="6134" xr:uid="{00000000-0005-0000-0000-0000F2170000}"/>
    <cellStyle name="20% - Accent6 2 5 4 2 2 2" xfId="6135" xr:uid="{00000000-0005-0000-0000-0000F3170000}"/>
    <cellStyle name="20% - Accent6 2 5 4 2 3" xfId="6136" xr:uid="{00000000-0005-0000-0000-0000F4170000}"/>
    <cellStyle name="20% - Accent6 2 5 4 3" xfId="6137" xr:uid="{00000000-0005-0000-0000-0000F5170000}"/>
    <cellStyle name="20% - Accent6 2 5 4 3 2" xfId="6138" xr:uid="{00000000-0005-0000-0000-0000F6170000}"/>
    <cellStyle name="20% - Accent6 2 5 4 4" xfId="6139" xr:uid="{00000000-0005-0000-0000-0000F7170000}"/>
    <cellStyle name="20% - Accent6 2 5 5" xfId="6140" xr:uid="{00000000-0005-0000-0000-0000F8170000}"/>
    <cellStyle name="20% - Accent6 2 5 5 2" xfId="6141" xr:uid="{00000000-0005-0000-0000-0000F9170000}"/>
    <cellStyle name="20% - Accent6 2 5 5 2 2" xfId="6142" xr:uid="{00000000-0005-0000-0000-0000FA170000}"/>
    <cellStyle name="20% - Accent6 2 5 5 3" xfId="6143" xr:uid="{00000000-0005-0000-0000-0000FB170000}"/>
    <cellStyle name="20% - Accent6 2 5 6" xfId="6144" xr:uid="{00000000-0005-0000-0000-0000FC170000}"/>
    <cellStyle name="20% - Accent6 2 5 6 2" xfId="6145" xr:uid="{00000000-0005-0000-0000-0000FD170000}"/>
    <cellStyle name="20% - Accent6 2 5 7" xfId="6146" xr:uid="{00000000-0005-0000-0000-0000FE170000}"/>
    <cellStyle name="20% - Accent6 2 6" xfId="6147" xr:uid="{00000000-0005-0000-0000-0000FF170000}"/>
    <cellStyle name="20% - Accent6 2 6 2" xfId="6148" xr:uid="{00000000-0005-0000-0000-000000180000}"/>
    <cellStyle name="20% - Accent6 2 6 2 2" xfId="6149" xr:uid="{00000000-0005-0000-0000-000001180000}"/>
    <cellStyle name="20% - Accent6 2 6 2 2 2" xfId="6150" xr:uid="{00000000-0005-0000-0000-000002180000}"/>
    <cellStyle name="20% - Accent6 2 6 2 2 2 2" xfId="6151" xr:uid="{00000000-0005-0000-0000-000003180000}"/>
    <cellStyle name="20% - Accent6 2 6 2 2 2 2 2" xfId="6152" xr:uid="{00000000-0005-0000-0000-000004180000}"/>
    <cellStyle name="20% - Accent6 2 6 2 2 2 3" xfId="6153" xr:uid="{00000000-0005-0000-0000-000005180000}"/>
    <cellStyle name="20% - Accent6 2 6 2 2 3" xfId="6154" xr:uid="{00000000-0005-0000-0000-000006180000}"/>
    <cellStyle name="20% - Accent6 2 6 2 2 3 2" xfId="6155" xr:uid="{00000000-0005-0000-0000-000007180000}"/>
    <cellStyle name="20% - Accent6 2 6 2 2 4" xfId="6156" xr:uid="{00000000-0005-0000-0000-000008180000}"/>
    <cellStyle name="20% - Accent6 2 6 2 3" xfId="6157" xr:uid="{00000000-0005-0000-0000-000009180000}"/>
    <cellStyle name="20% - Accent6 2 6 2 3 2" xfId="6158" xr:uid="{00000000-0005-0000-0000-00000A180000}"/>
    <cellStyle name="20% - Accent6 2 6 2 3 2 2" xfId="6159" xr:uid="{00000000-0005-0000-0000-00000B180000}"/>
    <cellStyle name="20% - Accent6 2 6 2 3 3" xfId="6160" xr:uid="{00000000-0005-0000-0000-00000C180000}"/>
    <cellStyle name="20% - Accent6 2 6 2 4" xfId="6161" xr:uid="{00000000-0005-0000-0000-00000D180000}"/>
    <cellStyle name="20% - Accent6 2 6 2 4 2" xfId="6162" xr:uid="{00000000-0005-0000-0000-00000E180000}"/>
    <cellStyle name="20% - Accent6 2 6 2 5" xfId="6163" xr:uid="{00000000-0005-0000-0000-00000F180000}"/>
    <cellStyle name="20% - Accent6 2 6 3" xfId="6164" xr:uid="{00000000-0005-0000-0000-000010180000}"/>
    <cellStyle name="20% - Accent6 2 6 3 2" xfId="6165" xr:uid="{00000000-0005-0000-0000-000011180000}"/>
    <cellStyle name="20% - Accent6 2 6 3 2 2" xfId="6166" xr:uid="{00000000-0005-0000-0000-000012180000}"/>
    <cellStyle name="20% - Accent6 2 6 3 2 2 2" xfId="6167" xr:uid="{00000000-0005-0000-0000-000013180000}"/>
    <cellStyle name="20% - Accent6 2 6 3 2 3" xfId="6168" xr:uid="{00000000-0005-0000-0000-000014180000}"/>
    <cellStyle name="20% - Accent6 2 6 3 3" xfId="6169" xr:uid="{00000000-0005-0000-0000-000015180000}"/>
    <cellStyle name="20% - Accent6 2 6 3 3 2" xfId="6170" xr:uid="{00000000-0005-0000-0000-000016180000}"/>
    <cellStyle name="20% - Accent6 2 6 3 4" xfId="6171" xr:uid="{00000000-0005-0000-0000-000017180000}"/>
    <cellStyle name="20% - Accent6 2 6 4" xfId="6172" xr:uid="{00000000-0005-0000-0000-000018180000}"/>
    <cellStyle name="20% - Accent6 2 6 4 2" xfId="6173" xr:uid="{00000000-0005-0000-0000-000019180000}"/>
    <cellStyle name="20% - Accent6 2 6 4 2 2" xfId="6174" xr:uid="{00000000-0005-0000-0000-00001A180000}"/>
    <cellStyle name="20% - Accent6 2 6 4 3" xfId="6175" xr:uid="{00000000-0005-0000-0000-00001B180000}"/>
    <cellStyle name="20% - Accent6 2 6 5" xfId="6176" xr:uid="{00000000-0005-0000-0000-00001C180000}"/>
    <cellStyle name="20% - Accent6 2 6 5 2" xfId="6177" xr:uid="{00000000-0005-0000-0000-00001D180000}"/>
    <cellStyle name="20% - Accent6 2 6 6" xfId="6178" xr:uid="{00000000-0005-0000-0000-00001E180000}"/>
    <cellStyle name="20% - Accent6 2 7" xfId="6179" xr:uid="{00000000-0005-0000-0000-00001F180000}"/>
    <cellStyle name="20% - Accent6 2 7 2" xfId="6180" xr:uid="{00000000-0005-0000-0000-000020180000}"/>
    <cellStyle name="20% - Accent6 2 7 2 2" xfId="6181" xr:uid="{00000000-0005-0000-0000-000021180000}"/>
    <cellStyle name="20% - Accent6 2 7 2 2 2" xfId="6182" xr:uid="{00000000-0005-0000-0000-000022180000}"/>
    <cellStyle name="20% - Accent6 2 7 2 2 2 2" xfId="6183" xr:uid="{00000000-0005-0000-0000-000023180000}"/>
    <cellStyle name="20% - Accent6 2 7 2 2 3" xfId="6184" xr:uid="{00000000-0005-0000-0000-000024180000}"/>
    <cellStyle name="20% - Accent6 2 7 2 3" xfId="6185" xr:uid="{00000000-0005-0000-0000-000025180000}"/>
    <cellStyle name="20% - Accent6 2 7 2 3 2" xfId="6186" xr:uid="{00000000-0005-0000-0000-000026180000}"/>
    <cellStyle name="20% - Accent6 2 7 2 4" xfId="6187" xr:uid="{00000000-0005-0000-0000-000027180000}"/>
    <cellStyle name="20% - Accent6 2 7 3" xfId="6188" xr:uid="{00000000-0005-0000-0000-000028180000}"/>
    <cellStyle name="20% - Accent6 2 7 3 2" xfId="6189" xr:uid="{00000000-0005-0000-0000-000029180000}"/>
    <cellStyle name="20% - Accent6 2 7 3 2 2" xfId="6190" xr:uid="{00000000-0005-0000-0000-00002A180000}"/>
    <cellStyle name="20% - Accent6 2 7 3 3" xfId="6191" xr:uid="{00000000-0005-0000-0000-00002B180000}"/>
    <cellStyle name="20% - Accent6 2 7 4" xfId="6192" xr:uid="{00000000-0005-0000-0000-00002C180000}"/>
    <cellStyle name="20% - Accent6 2 7 4 2" xfId="6193" xr:uid="{00000000-0005-0000-0000-00002D180000}"/>
    <cellStyle name="20% - Accent6 2 7 5" xfId="6194" xr:uid="{00000000-0005-0000-0000-00002E180000}"/>
    <cellStyle name="20% - Accent6 2 8" xfId="6195" xr:uid="{00000000-0005-0000-0000-00002F180000}"/>
    <cellStyle name="20% - Accent6 2 8 2" xfId="6196" xr:uid="{00000000-0005-0000-0000-000030180000}"/>
    <cellStyle name="20% - Accent6 2 8 2 2" xfId="6197" xr:uid="{00000000-0005-0000-0000-000031180000}"/>
    <cellStyle name="20% - Accent6 2 8 2 2 2" xfId="6198" xr:uid="{00000000-0005-0000-0000-000032180000}"/>
    <cellStyle name="20% - Accent6 2 8 2 3" xfId="6199" xr:uid="{00000000-0005-0000-0000-000033180000}"/>
    <cellStyle name="20% - Accent6 2 8 3" xfId="6200" xr:uid="{00000000-0005-0000-0000-000034180000}"/>
    <cellStyle name="20% - Accent6 2 8 3 2" xfId="6201" xr:uid="{00000000-0005-0000-0000-000035180000}"/>
    <cellStyle name="20% - Accent6 2 8 4" xfId="6202" xr:uid="{00000000-0005-0000-0000-000036180000}"/>
    <cellStyle name="20% - Accent6 2 9" xfId="6203" xr:uid="{00000000-0005-0000-0000-000037180000}"/>
    <cellStyle name="20% - Accent6 2 9 2" xfId="6204" xr:uid="{00000000-0005-0000-0000-000038180000}"/>
    <cellStyle name="20% - Accent6 2 9 2 2" xfId="6205" xr:uid="{00000000-0005-0000-0000-000039180000}"/>
    <cellStyle name="20% - Accent6 2 9 3" xfId="6206" xr:uid="{00000000-0005-0000-0000-00003A180000}"/>
    <cellStyle name="20% - Accent6 3" xfId="6207" xr:uid="{00000000-0005-0000-0000-00003B180000}"/>
    <cellStyle name="20% - Accent6 4" xfId="6208" xr:uid="{00000000-0005-0000-0000-00003C180000}"/>
    <cellStyle name="20% - Accent6 5" xfId="6209" xr:uid="{00000000-0005-0000-0000-00003D180000}"/>
    <cellStyle name="20% - Accent6 6" xfId="6210" xr:uid="{00000000-0005-0000-0000-00003E180000}"/>
    <cellStyle name="20% - Accent6 7" xfId="6211" xr:uid="{00000000-0005-0000-0000-00003F180000}"/>
    <cellStyle name="20% - Accent6 8" xfId="6212" xr:uid="{00000000-0005-0000-0000-000040180000}"/>
    <cellStyle name="20% - Accent6 9" xfId="6213" xr:uid="{00000000-0005-0000-0000-000041180000}"/>
    <cellStyle name="40% - Accent1 10" xfId="6214" xr:uid="{00000000-0005-0000-0000-000042180000}"/>
    <cellStyle name="40% - Accent1 11" xfId="6215" xr:uid="{00000000-0005-0000-0000-000043180000}"/>
    <cellStyle name="40% - Accent1 12" xfId="6216" xr:uid="{00000000-0005-0000-0000-000044180000}"/>
    <cellStyle name="40% - Accent1 13" xfId="6217" xr:uid="{00000000-0005-0000-0000-000045180000}"/>
    <cellStyle name="40% - Accent1 2" xfId="6218" xr:uid="{00000000-0005-0000-0000-000046180000}"/>
    <cellStyle name="40% - Accent1 2 10" xfId="6219" xr:uid="{00000000-0005-0000-0000-000047180000}"/>
    <cellStyle name="40% - Accent1 2 10 2" xfId="6220" xr:uid="{00000000-0005-0000-0000-000048180000}"/>
    <cellStyle name="40% - Accent1 2 11" xfId="6221" xr:uid="{00000000-0005-0000-0000-000049180000}"/>
    <cellStyle name="40% - Accent1 2 2" xfId="6222" xr:uid="{00000000-0005-0000-0000-00004A180000}"/>
    <cellStyle name="40% - Accent1 2 2 10" xfId="6223" xr:uid="{00000000-0005-0000-0000-00004B180000}"/>
    <cellStyle name="40% - Accent1 2 2 2" xfId="6224" xr:uid="{00000000-0005-0000-0000-00004C180000}"/>
    <cellStyle name="40% - Accent1 2 2 2 2" xfId="6225" xr:uid="{00000000-0005-0000-0000-00004D180000}"/>
    <cellStyle name="40% - Accent1 2 2 2 2 2" xfId="6226" xr:uid="{00000000-0005-0000-0000-00004E180000}"/>
    <cellStyle name="40% - Accent1 2 2 2 2 2 2" xfId="6227" xr:uid="{00000000-0005-0000-0000-00004F180000}"/>
    <cellStyle name="40% - Accent1 2 2 2 2 2 2 2" xfId="6228" xr:uid="{00000000-0005-0000-0000-000050180000}"/>
    <cellStyle name="40% - Accent1 2 2 2 2 2 2 2 2" xfId="6229" xr:uid="{00000000-0005-0000-0000-000051180000}"/>
    <cellStyle name="40% - Accent1 2 2 2 2 2 2 2 2 2" xfId="6230" xr:uid="{00000000-0005-0000-0000-000052180000}"/>
    <cellStyle name="40% - Accent1 2 2 2 2 2 2 2 2 2 2" xfId="6231" xr:uid="{00000000-0005-0000-0000-000053180000}"/>
    <cellStyle name="40% - Accent1 2 2 2 2 2 2 2 2 2 2 2" xfId="6232" xr:uid="{00000000-0005-0000-0000-000054180000}"/>
    <cellStyle name="40% - Accent1 2 2 2 2 2 2 2 2 2 3" xfId="6233" xr:uid="{00000000-0005-0000-0000-000055180000}"/>
    <cellStyle name="40% - Accent1 2 2 2 2 2 2 2 2 3" xfId="6234" xr:uid="{00000000-0005-0000-0000-000056180000}"/>
    <cellStyle name="40% - Accent1 2 2 2 2 2 2 2 2 3 2" xfId="6235" xr:uid="{00000000-0005-0000-0000-000057180000}"/>
    <cellStyle name="40% - Accent1 2 2 2 2 2 2 2 2 4" xfId="6236" xr:uid="{00000000-0005-0000-0000-000058180000}"/>
    <cellStyle name="40% - Accent1 2 2 2 2 2 2 2 3" xfId="6237" xr:uid="{00000000-0005-0000-0000-000059180000}"/>
    <cellStyle name="40% - Accent1 2 2 2 2 2 2 2 3 2" xfId="6238" xr:uid="{00000000-0005-0000-0000-00005A180000}"/>
    <cellStyle name="40% - Accent1 2 2 2 2 2 2 2 3 2 2" xfId="6239" xr:uid="{00000000-0005-0000-0000-00005B180000}"/>
    <cellStyle name="40% - Accent1 2 2 2 2 2 2 2 3 3" xfId="6240" xr:uid="{00000000-0005-0000-0000-00005C180000}"/>
    <cellStyle name="40% - Accent1 2 2 2 2 2 2 2 4" xfId="6241" xr:uid="{00000000-0005-0000-0000-00005D180000}"/>
    <cellStyle name="40% - Accent1 2 2 2 2 2 2 2 4 2" xfId="6242" xr:uid="{00000000-0005-0000-0000-00005E180000}"/>
    <cellStyle name="40% - Accent1 2 2 2 2 2 2 2 5" xfId="6243" xr:uid="{00000000-0005-0000-0000-00005F180000}"/>
    <cellStyle name="40% - Accent1 2 2 2 2 2 2 3" xfId="6244" xr:uid="{00000000-0005-0000-0000-000060180000}"/>
    <cellStyle name="40% - Accent1 2 2 2 2 2 2 3 2" xfId="6245" xr:uid="{00000000-0005-0000-0000-000061180000}"/>
    <cellStyle name="40% - Accent1 2 2 2 2 2 2 3 2 2" xfId="6246" xr:uid="{00000000-0005-0000-0000-000062180000}"/>
    <cellStyle name="40% - Accent1 2 2 2 2 2 2 3 2 2 2" xfId="6247" xr:uid="{00000000-0005-0000-0000-000063180000}"/>
    <cellStyle name="40% - Accent1 2 2 2 2 2 2 3 2 3" xfId="6248" xr:uid="{00000000-0005-0000-0000-000064180000}"/>
    <cellStyle name="40% - Accent1 2 2 2 2 2 2 3 3" xfId="6249" xr:uid="{00000000-0005-0000-0000-000065180000}"/>
    <cellStyle name="40% - Accent1 2 2 2 2 2 2 3 3 2" xfId="6250" xr:uid="{00000000-0005-0000-0000-000066180000}"/>
    <cellStyle name="40% - Accent1 2 2 2 2 2 2 3 4" xfId="6251" xr:uid="{00000000-0005-0000-0000-000067180000}"/>
    <cellStyle name="40% - Accent1 2 2 2 2 2 2 4" xfId="6252" xr:uid="{00000000-0005-0000-0000-000068180000}"/>
    <cellStyle name="40% - Accent1 2 2 2 2 2 2 4 2" xfId="6253" xr:uid="{00000000-0005-0000-0000-000069180000}"/>
    <cellStyle name="40% - Accent1 2 2 2 2 2 2 4 2 2" xfId="6254" xr:uid="{00000000-0005-0000-0000-00006A180000}"/>
    <cellStyle name="40% - Accent1 2 2 2 2 2 2 4 3" xfId="6255" xr:uid="{00000000-0005-0000-0000-00006B180000}"/>
    <cellStyle name="40% - Accent1 2 2 2 2 2 2 5" xfId="6256" xr:uid="{00000000-0005-0000-0000-00006C180000}"/>
    <cellStyle name="40% - Accent1 2 2 2 2 2 2 5 2" xfId="6257" xr:uid="{00000000-0005-0000-0000-00006D180000}"/>
    <cellStyle name="40% - Accent1 2 2 2 2 2 2 6" xfId="6258" xr:uid="{00000000-0005-0000-0000-00006E180000}"/>
    <cellStyle name="40% - Accent1 2 2 2 2 2 3" xfId="6259" xr:uid="{00000000-0005-0000-0000-00006F180000}"/>
    <cellStyle name="40% - Accent1 2 2 2 2 2 3 2" xfId="6260" xr:uid="{00000000-0005-0000-0000-000070180000}"/>
    <cellStyle name="40% - Accent1 2 2 2 2 2 3 2 2" xfId="6261" xr:uid="{00000000-0005-0000-0000-000071180000}"/>
    <cellStyle name="40% - Accent1 2 2 2 2 2 3 2 2 2" xfId="6262" xr:uid="{00000000-0005-0000-0000-000072180000}"/>
    <cellStyle name="40% - Accent1 2 2 2 2 2 3 2 2 2 2" xfId="6263" xr:uid="{00000000-0005-0000-0000-000073180000}"/>
    <cellStyle name="40% - Accent1 2 2 2 2 2 3 2 2 3" xfId="6264" xr:uid="{00000000-0005-0000-0000-000074180000}"/>
    <cellStyle name="40% - Accent1 2 2 2 2 2 3 2 3" xfId="6265" xr:uid="{00000000-0005-0000-0000-000075180000}"/>
    <cellStyle name="40% - Accent1 2 2 2 2 2 3 2 3 2" xfId="6266" xr:uid="{00000000-0005-0000-0000-000076180000}"/>
    <cellStyle name="40% - Accent1 2 2 2 2 2 3 2 4" xfId="6267" xr:uid="{00000000-0005-0000-0000-000077180000}"/>
    <cellStyle name="40% - Accent1 2 2 2 2 2 3 3" xfId="6268" xr:uid="{00000000-0005-0000-0000-000078180000}"/>
    <cellStyle name="40% - Accent1 2 2 2 2 2 3 3 2" xfId="6269" xr:uid="{00000000-0005-0000-0000-000079180000}"/>
    <cellStyle name="40% - Accent1 2 2 2 2 2 3 3 2 2" xfId="6270" xr:uid="{00000000-0005-0000-0000-00007A180000}"/>
    <cellStyle name="40% - Accent1 2 2 2 2 2 3 3 3" xfId="6271" xr:uid="{00000000-0005-0000-0000-00007B180000}"/>
    <cellStyle name="40% - Accent1 2 2 2 2 2 3 4" xfId="6272" xr:uid="{00000000-0005-0000-0000-00007C180000}"/>
    <cellStyle name="40% - Accent1 2 2 2 2 2 3 4 2" xfId="6273" xr:uid="{00000000-0005-0000-0000-00007D180000}"/>
    <cellStyle name="40% - Accent1 2 2 2 2 2 3 5" xfId="6274" xr:uid="{00000000-0005-0000-0000-00007E180000}"/>
    <cellStyle name="40% - Accent1 2 2 2 2 2 4" xfId="6275" xr:uid="{00000000-0005-0000-0000-00007F180000}"/>
    <cellStyle name="40% - Accent1 2 2 2 2 2 4 2" xfId="6276" xr:uid="{00000000-0005-0000-0000-000080180000}"/>
    <cellStyle name="40% - Accent1 2 2 2 2 2 4 2 2" xfId="6277" xr:uid="{00000000-0005-0000-0000-000081180000}"/>
    <cellStyle name="40% - Accent1 2 2 2 2 2 4 2 2 2" xfId="6278" xr:uid="{00000000-0005-0000-0000-000082180000}"/>
    <cellStyle name="40% - Accent1 2 2 2 2 2 4 2 3" xfId="6279" xr:uid="{00000000-0005-0000-0000-000083180000}"/>
    <cellStyle name="40% - Accent1 2 2 2 2 2 4 3" xfId="6280" xr:uid="{00000000-0005-0000-0000-000084180000}"/>
    <cellStyle name="40% - Accent1 2 2 2 2 2 4 3 2" xfId="6281" xr:uid="{00000000-0005-0000-0000-000085180000}"/>
    <cellStyle name="40% - Accent1 2 2 2 2 2 4 4" xfId="6282" xr:uid="{00000000-0005-0000-0000-000086180000}"/>
    <cellStyle name="40% - Accent1 2 2 2 2 2 5" xfId="6283" xr:uid="{00000000-0005-0000-0000-000087180000}"/>
    <cellStyle name="40% - Accent1 2 2 2 2 2 5 2" xfId="6284" xr:uid="{00000000-0005-0000-0000-000088180000}"/>
    <cellStyle name="40% - Accent1 2 2 2 2 2 5 2 2" xfId="6285" xr:uid="{00000000-0005-0000-0000-000089180000}"/>
    <cellStyle name="40% - Accent1 2 2 2 2 2 5 3" xfId="6286" xr:uid="{00000000-0005-0000-0000-00008A180000}"/>
    <cellStyle name="40% - Accent1 2 2 2 2 2 6" xfId="6287" xr:uid="{00000000-0005-0000-0000-00008B180000}"/>
    <cellStyle name="40% - Accent1 2 2 2 2 2 6 2" xfId="6288" xr:uid="{00000000-0005-0000-0000-00008C180000}"/>
    <cellStyle name="40% - Accent1 2 2 2 2 2 7" xfId="6289" xr:uid="{00000000-0005-0000-0000-00008D180000}"/>
    <cellStyle name="40% - Accent1 2 2 2 2 3" xfId="6290" xr:uid="{00000000-0005-0000-0000-00008E180000}"/>
    <cellStyle name="40% - Accent1 2 2 2 2 3 2" xfId="6291" xr:uid="{00000000-0005-0000-0000-00008F180000}"/>
    <cellStyle name="40% - Accent1 2 2 2 2 3 2 2" xfId="6292" xr:uid="{00000000-0005-0000-0000-000090180000}"/>
    <cellStyle name="40% - Accent1 2 2 2 2 3 2 2 2" xfId="6293" xr:uid="{00000000-0005-0000-0000-000091180000}"/>
    <cellStyle name="40% - Accent1 2 2 2 2 3 2 2 2 2" xfId="6294" xr:uid="{00000000-0005-0000-0000-000092180000}"/>
    <cellStyle name="40% - Accent1 2 2 2 2 3 2 2 2 2 2" xfId="6295" xr:uid="{00000000-0005-0000-0000-000093180000}"/>
    <cellStyle name="40% - Accent1 2 2 2 2 3 2 2 2 3" xfId="6296" xr:uid="{00000000-0005-0000-0000-000094180000}"/>
    <cellStyle name="40% - Accent1 2 2 2 2 3 2 2 3" xfId="6297" xr:uid="{00000000-0005-0000-0000-000095180000}"/>
    <cellStyle name="40% - Accent1 2 2 2 2 3 2 2 3 2" xfId="6298" xr:uid="{00000000-0005-0000-0000-000096180000}"/>
    <cellStyle name="40% - Accent1 2 2 2 2 3 2 2 4" xfId="6299" xr:uid="{00000000-0005-0000-0000-000097180000}"/>
    <cellStyle name="40% - Accent1 2 2 2 2 3 2 3" xfId="6300" xr:uid="{00000000-0005-0000-0000-000098180000}"/>
    <cellStyle name="40% - Accent1 2 2 2 2 3 2 3 2" xfId="6301" xr:uid="{00000000-0005-0000-0000-000099180000}"/>
    <cellStyle name="40% - Accent1 2 2 2 2 3 2 3 2 2" xfId="6302" xr:uid="{00000000-0005-0000-0000-00009A180000}"/>
    <cellStyle name="40% - Accent1 2 2 2 2 3 2 3 3" xfId="6303" xr:uid="{00000000-0005-0000-0000-00009B180000}"/>
    <cellStyle name="40% - Accent1 2 2 2 2 3 2 4" xfId="6304" xr:uid="{00000000-0005-0000-0000-00009C180000}"/>
    <cellStyle name="40% - Accent1 2 2 2 2 3 2 4 2" xfId="6305" xr:uid="{00000000-0005-0000-0000-00009D180000}"/>
    <cellStyle name="40% - Accent1 2 2 2 2 3 2 5" xfId="6306" xr:uid="{00000000-0005-0000-0000-00009E180000}"/>
    <cellStyle name="40% - Accent1 2 2 2 2 3 3" xfId="6307" xr:uid="{00000000-0005-0000-0000-00009F180000}"/>
    <cellStyle name="40% - Accent1 2 2 2 2 3 3 2" xfId="6308" xr:uid="{00000000-0005-0000-0000-0000A0180000}"/>
    <cellStyle name="40% - Accent1 2 2 2 2 3 3 2 2" xfId="6309" xr:uid="{00000000-0005-0000-0000-0000A1180000}"/>
    <cellStyle name="40% - Accent1 2 2 2 2 3 3 2 2 2" xfId="6310" xr:uid="{00000000-0005-0000-0000-0000A2180000}"/>
    <cellStyle name="40% - Accent1 2 2 2 2 3 3 2 3" xfId="6311" xr:uid="{00000000-0005-0000-0000-0000A3180000}"/>
    <cellStyle name="40% - Accent1 2 2 2 2 3 3 3" xfId="6312" xr:uid="{00000000-0005-0000-0000-0000A4180000}"/>
    <cellStyle name="40% - Accent1 2 2 2 2 3 3 3 2" xfId="6313" xr:uid="{00000000-0005-0000-0000-0000A5180000}"/>
    <cellStyle name="40% - Accent1 2 2 2 2 3 3 4" xfId="6314" xr:uid="{00000000-0005-0000-0000-0000A6180000}"/>
    <cellStyle name="40% - Accent1 2 2 2 2 3 4" xfId="6315" xr:uid="{00000000-0005-0000-0000-0000A7180000}"/>
    <cellStyle name="40% - Accent1 2 2 2 2 3 4 2" xfId="6316" xr:uid="{00000000-0005-0000-0000-0000A8180000}"/>
    <cellStyle name="40% - Accent1 2 2 2 2 3 4 2 2" xfId="6317" xr:uid="{00000000-0005-0000-0000-0000A9180000}"/>
    <cellStyle name="40% - Accent1 2 2 2 2 3 4 3" xfId="6318" xr:uid="{00000000-0005-0000-0000-0000AA180000}"/>
    <cellStyle name="40% - Accent1 2 2 2 2 3 5" xfId="6319" xr:uid="{00000000-0005-0000-0000-0000AB180000}"/>
    <cellStyle name="40% - Accent1 2 2 2 2 3 5 2" xfId="6320" xr:uid="{00000000-0005-0000-0000-0000AC180000}"/>
    <cellStyle name="40% - Accent1 2 2 2 2 3 6" xfId="6321" xr:uid="{00000000-0005-0000-0000-0000AD180000}"/>
    <cellStyle name="40% - Accent1 2 2 2 2 4" xfId="6322" xr:uid="{00000000-0005-0000-0000-0000AE180000}"/>
    <cellStyle name="40% - Accent1 2 2 2 2 4 2" xfId="6323" xr:uid="{00000000-0005-0000-0000-0000AF180000}"/>
    <cellStyle name="40% - Accent1 2 2 2 2 4 2 2" xfId="6324" xr:uid="{00000000-0005-0000-0000-0000B0180000}"/>
    <cellStyle name="40% - Accent1 2 2 2 2 4 2 2 2" xfId="6325" xr:uid="{00000000-0005-0000-0000-0000B1180000}"/>
    <cellStyle name="40% - Accent1 2 2 2 2 4 2 2 2 2" xfId="6326" xr:uid="{00000000-0005-0000-0000-0000B2180000}"/>
    <cellStyle name="40% - Accent1 2 2 2 2 4 2 2 3" xfId="6327" xr:uid="{00000000-0005-0000-0000-0000B3180000}"/>
    <cellStyle name="40% - Accent1 2 2 2 2 4 2 3" xfId="6328" xr:uid="{00000000-0005-0000-0000-0000B4180000}"/>
    <cellStyle name="40% - Accent1 2 2 2 2 4 2 3 2" xfId="6329" xr:uid="{00000000-0005-0000-0000-0000B5180000}"/>
    <cellStyle name="40% - Accent1 2 2 2 2 4 2 4" xfId="6330" xr:uid="{00000000-0005-0000-0000-0000B6180000}"/>
    <cellStyle name="40% - Accent1 2 2 2 2 4 3" xfId="6331" xr:uid="{00000000-0005-0000-0000-0000B7180000}"/>
    <cellStyle name="40% - Accent1 2 2 2 2 4 3 2" xfId="6332" xr:uid="{00000000-0005-0000-0000-0000B8180000}"/>
    <cellStyle name="40% - Accent1 2 2 2 2 4 3 2 2" xfId="6333" xr:uid="{00000000-0005-0000-0000-0000B9180000}"/>
    <cellStyle name="40% - Accent1 2 2 2 2 4 3 3" xfId="6334" xr:uid="{00000000-0005-0000-0000-0000BA180000}"/>
    <cellStyle name="40% - Accent1 2 2 2 2 4 4" xfId="6335" xr:uid="{00000000-0005-0000-0000-0000BB180000}"/>
    <cellStyle name="40% - Accent1 2 2 2 2 4 4 2" xfId="6336" xr:uid="{00000000-0005-0000-0000-0000BC180000}"/>
    <cellStyle name="40% - Accent1 2 2 2 2 4 5" xfId="6337" xr:uid="{00000000-0005-0000-0000-0000BD180000}"/>
    <cellStyle name="40% - Accent1 2 2 2 2 5" xfId="6338" xr:uid="{00000000-0005-0000-0000-0000BE180000}"/>
    <cellStyle name="40% - Accent1 2 2 2 2 5 2" xfId="6339" xr:uid="{00000000-0005-0000-0000-0000BF180000}"/>
    <cellStyle name="40% - Accent1 2 2 2 2 5 2 2" xfId="6340" xr:uid="{00000000-0005-0000-0000-0000C0180000}"/>
    <cellStyle name="40% - Accent1 2 2 2 2 5 2 2 2" xfId="6341" xr:uid="{00000000-0005-0000-0000-0000C1180000}"/>
    <cellStyle name="40% - Accent1 2 2 2 2 5 2 3" xfId="6342" xr:uid="{00000000-0005-0000-0000-0000C2180000}"/>
    <cellStyle name="40% - Accent1 2 2 2 2 5 3" xfId="6343" xr:uid="{00000000-0005-0000-0000-0000C3180000}"/>
    <cellStyle name="40% - Accent1 2 2 2 2 5 3 2" xfId="6344" xr:uid="{00000000-0005-0000-0000-0000C4180000}"/>
    <cellStyle name="40% - Accent1 2 2 2 2 5 4" xfId="6345" xr:uid="{00000000-0005-0000-0000-0000C5180000}"/>
    <cellStyle name="40% - Accent1 2 2 2 2 6" xfId="6346" xr:uid="{00000000-0005-0000-0000-0000C6180000}"/>
    <cellStyle name="40% - Accent1 2 2 2 2 6 2" xfId="6347" xr:uid="{00000000-0005-0000-0000-0000C7180000}"/>
    <cellStyle name="40% - Accent1 2 2 2 2 6 2 2" xfId="6348" xr:uid="{00000000-0005-0000-0000-0000C8180000}"/>
    <cellStyle name="40% - Accent1 2 2 2 2 6 3" xfId="6349" xr:uid="{00000000-0005-0000-0000-0000C9180000}"/>
    <cellStyle name="40% - Accent1 2 2 2 2 7" xfId="6350" xr:uid="{00000000-0005-0000-0000-0000CA180000}"/>
    <cellStyle name="40% - Accent1 2 2 2 2 7 2" xfId="6351" xr:uid="{00000000-0005-0000-0000-0000CB180000}"/>
    <cellStyle name="40% - Accent1 2 2 2 2 8" xfId="6352" xr:uid="{00000000-0005-0000-0000-0000CC180000}"/>
    <cellStyle name="40% - Accent1 2 2 2 3" xfId="6353" xr:uid="{00000000-0005-0000-0000-0000CD180000}"/>
    <cellStyle name="40% - Accent1 2 2 2 3 2" xfId="6354" xr:uid="{00000000-0005-0000-0000-0000CE180000}"/>
    <cellStyle name="40% - Accent1 2 2 2 3 2 2" xfId="6355" xr:uid="{00000000-0005-0000-0000-0000CF180000}"/>
    <cellStyle name="40% - Accent1 2 2 2 3 2 2 2" xfId="6356" xr:uid="{00000000-0005-0000-0000-0000D0180000}"/>
    <cellStyle name="40% - Accent1 2 2 2 3 2 2 2 2" xfId="6357" xr:uid="{00000000-0005-0000-0000-0000D1180000}"/>
    <cellStyle name="40% - Accent1 2 2 2 3 2 2 2 2 2" xfId="6358" xr:uid="{00000000-0005-0000-0000-0000D2180000}"/>
    <cellStyle name="40% - Accent1 2 2 2 3 2 2 2 2 2 2" xfId="6359" xr:uid="{00000000-0005-0000-0000-0000D3180000}"/>
    <cellStyle name="40% - Accent1 2 2 2 3 2 2 2 2 3" xfId="6360" xr:uid="{00000000-0005-0000-0000-0000D4180000}"/>
    <cellStyle name="40% - Accent1 2 2 2 3 2 2 2 3" xfId="6361" xr:uid="{00000000-0005-0000-0000-0000D5180000}"/>
    <cellStyle name="40% - Accent1 2 2 2 3 2 2 2 3 2" xfId="6362" xr:uid="{00000000-0005-0000-0000-0000D6180000}"/>
    <cellStyle name="40% - Accent1 2 2 2 3 2 2 2 4" xfId="6363" xr:uid="{00000000-0005-0000-0000-0000D7180000}"/>
    <cellStyle name="40% - Accent1 2 2 2 3 2 2 3" xfId="6364" xr:uid="{00000000-0005-0000-0000-0000D8180000}"/>
    <cellStyle name="40% - Accent1 2 2 2 3 2 2 3 2" xfId="6365" xr:uid="{00000000-0005-0000-0000-0000D9180000}"/>
    <cellStyle name="40% - Accent1 2 2 2 3 2 2 3 2 2" xfId="6366" xr:uid="{00000000-0005-0000-0000-0000DA180000}"/>
    <cellStyle name="40% - Accent1 2 2 2 3 2 2 3 3" xfId="6367" xr:uid="{00000000-0005-0000-0000-0000DB180000}"/>
    <cellStyle name="40% - Accent1 2 2 2 3 2 2 4" xfId="6368" xr:uid="{00000000-0005-0000-0000-0000DC180000}"/>
    <cellStyle name="40% - Accent1 2 2 2 3 2 2 4 2" xfId="6369" xr:uid="{00000000-0005-0000-0000-0000DD180000}"/>
    <cellStyle name="40% - Accent1 2 2 2 3 2 2 5" xfId="6370" xr:uid="{00000000-0005-0000-0000-0000DE180000}"/>
    <cellStyle name="40% - Accent1 2 2 2 3 2 3" xfId="6371" xr:uid="{00000000-0005-0000-0000-0000DF180000}"/>
    <cellStyle name="40% - Accent1 2 2 2 3 2 3 2" xfId="6372" xr:uid="{00000000-0005-0000-0000-0000E0180000}"/>
    <cellStyle name="40% - Accent1 2 2 2 3 2 3 2 2" xfId="6373" xr:uid="{00000000-0005-0000-0000-0000E1180000}"/>
    <cellStyle name="40% - Accent1 2 2 2 3 2 3 2 2 2" xfId="6374" xr:uid="{00000000-0005-0000-0000-0000E2180000}"/>
    <cellStyle name="40% - Accent1 2 2 2 3 2 3 2 3" xfId="6375" xr:uid="{00000000-0005-0000-0000-0000E3180000}"/>
    <cellStyle name="40% - Accent1 2 2 2 3 2 3 3" xfId="6376" xr:uid="{00000000-0005-0000-0000-0000E4180000}"/>
    <cellStyle name="40% - Accent1 2 2 2 3 2 3 3 2" xfId="6377" xr:uid="{00000000-0005-0000-0000-0000E5180000}"/>
    <cellStyle name="40% - Accent1 2 2 2 3 2 3 4" xfId="6378" xr:uid="{00000000-0005-0000-0000-0000E6180000}"/>
    <cellStyle name="40% - Accent1 2 2 2 3 2 4" xfId="6379" xr:uid="{00000000-0005-0000-0000-0000E7180000}"/>
    <cellStyle name="40% - Accent1 2 2 2 3 2 4 2" xfId="6380" xr:uid="{00000000-0005-0000-0000-0000E8180000}"/>
    <cellStyle name="40% - Accent1 2 2 2 3 2 4 2 2" xfId="6381" xr:uid="{00000000-0005-0000-0000-0000E9180000}"/>
    <cellStyle name="40% - Accent1 2 2 2 3 2 4 3" xfId="6382" xr:uid="{00000000-0005-0000-0000-0000EA180000}"/>
    <cellStyle name="40% - Accent1 2 2 2 3 2 5" xfId="6383" xr:uid="{00000000-0005-0000-0000-0000EB180000}"/>
    <cellStyle name="40% - Accent1 2 2 2 3 2 5 2" xfId="6384" xr:uid="{00000000-0005-0000-0000-0000EC180000}"/>
    <cellStyle name="40% - Accent1 2 2 2 3 2 6" xfId="6385" xr:uid="{00000000-0005-0000-0000-0000ED180000}"/>
    <cellStyle name="40% - Accent1 2 2 2 3 3" xfId="6386" xr:uid="{00000000-0005-0000-0000-0000EE180000}"/>
    <cellStyle name="40% - Accent1 2 2 2 3 3 2" xfId="6387" xr:uid="{00000000-0005-0000-0000-0000EF180000}"/>
    <cellStyle name="40% - Accent1 2 2 2 3 3 2 2" xfId="6388" xr:uid="{00000000-0005-0000-0000-0000F0180000}"/>
    <cellStyle name="40% - Accent1 2 2 2 3 3 2 2 2" xfId="6389" xr:uid="{00000000-0005-0000-0000-0000F1180000}"/>
    <cellStyle name="40% - Accent1 2 2 2 3 3 2 2 2 2" xfId="6390" xr:uid="{00000000-0005-0000-0000-0000F2180000}"/>
    <cellStyle name="40% - Accent1 2 2 2 3 3 2 2 3" xfId="6391" xr:uid="{00000000-0005-0000-0000-0000F3180000}"/>
    <cellStyle name="40% - Accent1 2 2 2 3 3 2 3" xfId="6392" xr:uid="{00000000-0005-0000-0000-0000F4180000}"/>
    <cellStyle name="40% - Accent1 2 2 2 3 3 2 3 2" xfId="6393" xr:uid="{00000000-0005-0000-0000-0000F5180000}"/>
    <cellStyle name="40% - Accent1 2 2 2 3 3 2 4" xfId="6394" xr:uid="{00000000-0005-0000-0000-0000F6180000}"/>
    <cellStyle name="40% - Accent1 2 2 2 3 3 3" xfId="6395" xr:uid="{00000000-0005-0000-0000-0000F7180000}"/>
    <cellStyle name="40% - Accent1 2 2 2 3 3 3 2" xfId="6396" xr:uid="{00000000-0005-0000-0000-0000F8180000}"/>
    <cellStyle name="40% - Accent1 2 2 2 3 3 3 2 2" xfId="6397" xr:uid="{00000000-0005-0000-0000-0000F9180000}"/>
    <cellStyle name="40% - Accent1 2 2 2 3 3 3 3" xfId="6398" xr:uid="{00000000-0005-0000-0000-0000FA180000}"/>
    <cellStyle name="40% - Accent1 2 2 2 3 3 4" xfId="6399" xr:uid="{00000000-0005-0000-0000-0000FB180000}"/>
    <cellStyle name="40% - Accent1 2 2 2 3 3 4 2" xfId="6400" xr:uid="{00000000-0005-0000-0000-0000FC180000}"/>
    <cellStyle name="40% - Accent1 2 2 2 3 3 5" xfId="6401" xr:uid="{00000000-0005-0000-0000-0000FD180000}"/>
    <cellStyle name="40% - Accent1 2 2 2 3 4" xfId="6402" xr:uid="{00000000-0005-0000-0000-0000FE180000}"/>
    <cellStyle name="40% - Accent1 2 2 2 3 4 2" xfId="6403" xr:uid="{00000000-0005-0000-0000-0000FF180000}"/>
    <cellStyle name="40% - Accent1 2 2 2 3 4 2 2" xfId="6404" xr:uid="{00000000-0005-0000-0000-000000190000}"/>
    <cellStyle name="40% - Accent1 2 2 2 3 4 2 2 2" xfId="6405" xr:uid="{00000000-0005-0000-0000-000001190000}"/>
    <cellStyle name="40% - Accent1 2 2 2 3 4 2 3" xfId="6406" xr:uid="{00000000-0005-0000-0000-000002190000}"/>
    <cellStyle name="40% - Accent1 2 2 2 3 4 3" xfId="6407" xr:uid="{00000000-0005-0000-0000-000003190000}"/>
    <cellStyle name="40% - Accent1 2 2 2 3 4 3 2" xfId="6408" xr:uid="{00000000-0005-0000-0000-000004190000}"/>
    <cellStyle name="40% - Accent1 2 2 2 3 4 4" xfId="6409" xr:uid="{00000000-0005-0000-0000-000005190000}"/>
    <cellStyle name="40% - Accent1 2 2 2 3 5" xfId="6410" xr:uid="{00000000-0005-0000-0000-000006190000}"/>
    <cellStyle name="40% - Accent1 2 2 2 3 5 2" xfId="6411" xr:uid="{00000000-0005-0000-0000-000007190000}"/>
    <cellStyle name="40% - Accent1 2 2 2 3 5 2 2" xfId="6412" xr:uid="{00000000-0005-0000-0000-000008190000}"/>
    <cellStyle name="40% - Accent1 2 2 2 3 5 3" xfId="6413" xr:uid="{00000000-0005-0000-0000-000009190000}"/>
    <cellStyle name="40% - Accent1 2 2 2 3 6" xfId="6414" xr:uid="{00000000-0005-0000-0000-00000A190000}"/>
    <cellStyle name="40% - Accent1 2 2 2 3 6 2" xfId="6415" xr:uid="{00000000-0005-0000-0000-00000B190000}"/>
    <cellStyle name="40% - Accent1 2 2 2 3 7" xfId="6416" xr:uid="{00000000-0005-0000-0000-00000C190000}"/>
    <cellStyle name="40% - Accent1 2 2 2 4" xfId="6417" xr:uid="{00000000-0005-0000-0000-00000D190000}"/>
    <cellStyle name="40% - Accent1 2 2 2 4 2" xfId="6418" xr:uid="{00000000-0005-0000-0000-00000E190000}"/>
    <cellStyle name="40% - Accent1 2 2 2 4 2 2" xfId="6419" xr:uid="{00000000-0005-0000-0000-00000F190000}"/>
    <cellStyle name="40% - Accent1 2 2 2 4 2 2 2" xfId="6420" xr:uid="{00000000-0005-0000-0000-000010190000}"/>
    <cellStyle name="40% - Accent1 2 2 2 4 2 2 2 2" xfId="6421" xr:uid="{00000000-0005-0000-0000-000011190000}"/>
    <cellStyle name="40% - Accent1 2 2 2 4 2 2 2 2 2" xfId="6422" xr:uid="{00000000-0005-0000-0000-000012190000}"/>
    <cellStyle name="40% - Accent1 2 2 2 4 2 2 2 3" xfId="6423" xr:uid="{00000000-0005-0000-0000-000013190000}"/>
    <cellStyle name="40% - Accent1 2 2 2 4 2 2 3" xfId="6424" xr:uid="{00000000-0005-0000-0000-000014190000}"/>
    <cellStyle name="40% - Accent1 2 2 2 4 2 2 3 2" xfId="6425" xr:uid="{00000000-0005-0000-0000-000015190000}"/>
    <cellStyle name="40% - Accent1 2 2 2 4 2 2 4" xfId="6426" xr:uid="{00000000-0005-0000-0000-000016190000}"/>
    <cellStyle name="40% - Accent1 2 2 2 4 2 3" xfId="6427" xr:uid="{00000000-0005-0000-0000-000017190000}"/>
    <cellStyle name="40% - Accent1 2 2 2 4 2 3 2" xfId="6428" xr:uid="{00000000-0005-0000-0000-000018190000}"/>
    <cellStyle name="40% - Accent1 2 2 2 4 2 3 2 2" xfId="6429" xr:uid="{00000000-0005-0000-0000-000019190000}"/>
    <cellStyle name="40% - Accent1 2 2 2 4 2 3 3" xfId="6430" xr:uid="{00000000-0005-0000-0000-00001A190000}"/>
    <cellStyle name="40% - Accent1 2 2 2 4 2 4" xfId="6431" xr:uid="{00000000-0005-0000-0000-00001B190000}"/>
    <cellStyle name="40% - Accent1 2 2 2 4 2 4 2" xfId="6432" xr:uid="{00000000-0005-0000-0000-00001C190000}"/>
    <cellStyle name="40% - Accent1 2 2 2 4 2 5" xfId="6433" xr:uid="{00000000-0005-0000-0000-00001D190000}"/>
    <cellStyle name="40% - Accent1 2 2 2 4 3" xfId="6434" xr:uid="{00000000-0005-0000-0000-00001E190000}"/>
    <cellStyle name="40% - Accent1 2 2 2 4 3 2" xfId="6435" xr:uid="{00000000-0005-0000-0000-00001F190000}"/>
    <cellStyle name="40% - Accent1 2 2 2 4 3 2 2" xfId="6436" xr:uid="{00000000-0005-0000-0000-000020190000}"/>
    <cellStyle name="40% - Accent1 2 2 2 4 3 2 2 2" xfId="6437" xr:uid="{00000000-0005-0000-0000-000021190000}"/>
    <cellStyle name="40% - Accent1 2 2 2 4 3 2 3" xfId="6438" xr:uid="{00000000-0005-0000-0000-000022190000}"/>
    <cellStyle name="40% - Accent1 2 2 2 4 3 3" xfId="6439" xr:uid="{00000000-0005-0000-0000-000023190000}"/>
    <cellStyle name="40% - Accent1 2 2 2 4 3 3 2" xfId="6440" xr:uid="{00000000-0005-0000-0000-000024190000}"/>
    <cellStyle name="40% - Accent1 2 2 2 4 3 4" xfId="6441" xr:uid="{00000000-0005-0000-0000-000025190000}"/>
    <cellStyle name="40% - Accent1 2 2 2 4 4" xfId="6442" xr:uid="{00000000-0005-0000-0000-000026190000}"/>
    <cellStyle name="40% - Accent1 2 2 2 4 4 2" xfId="6443" xr:uid="{00000000-0005-0000-0000-000027190000}"/>
    <cellStyle name="40% - Accent1 2 2 2 4 4 2 2" xfId="6444" xr:uid="{00000000-0005-0000-0000-000028190000}"/>
    <cellStyle name="40% - Accent1 2 2 2 4 4 3" xfId="6445" xr:uid="{00000000-0005-0000-0000-000029190000}"/>
    <cellStyle name="40% - Accent1 2 2 2 4 5" xfId="6446" xr:uid="{00000000-0005-0000-0000-00002A190000}"/>
    <cellStyle name="40% - Accent1 2 2 2 4 5 2" xfId="6447" xr:uid="{00000000-0005-0000-0000-00002B190000}"/>
    <cellStyle name="40% - Accent1 2 2 2 4 6" xfId="6448" xr:uid="{00000000-0005-0000-0000-00002C190000}"/>
    <cellStyle name="40% - Accent1 2 2 2 5" xfId="6449" xr:uid="{00000000-0005-0000-0000-00002D190000}"/>
    <cellStyle name="40% - Accent1 2 2 2 5 2" xfId="6450" xr:uid="{00000000-0005-0000-0000-00002E190000}"/>
    <cellStyle name="40% - Accent1 2 2 2 5 2 2" xfId="6451" xr:uid="{00000000-0005-0000-0000-00002F190000}"/>
    <cellStyle name="40% - Accent1 2 2 2 5 2 2 2" xfId="6452" xr:uid="{00000000-0005-0000-0000-000030190000}"/>
    <cellStyle name="40% - Accent1 2 2 2 5 2 2 2 2" xfId="6453" xr:uid="{00000000-0005-0000-0000-000031190000}"/>
    <cellStyle name="40% - Accent1 2 2 2 5 2 2 3" xfId="6454" xr:uid="{00000000-0005-0000-0000-000032190000}"/>
    <cellStyle name="40% - Accent1 2 2 2 5 2 3" xfId="6455" xr:uid="{00000000-0005-0000-0000-000033190000}"/>
    <cellStyle name="40% - Accent1 2 2 2 5 2 3 2" xfId="6456" xr:uid="{00000000-0005-0000-0000-000034190000}"/>
    <cellStyle name="40% - Accent1 2 2 2 5 2 4" xfId="6457" xr:uid="{00000000-0005-0000-0000-000035190000}"/>
    <cellStyle name="40% - Accent1 2 2 2 5 3" xfId="6458" xr:uid="{00000000-0005-0000-0000-000036190000}"/>
    <cellStyle name="40% - Accent1 2 2 2 5 3 2" xfId="6459" xr:uid="{00000000-0005-0000-0000-000037190000}"/>
    <cellStyle name="40% - Accent1 2 2 2 5 3 2 2" xfId="6460" xr:uid="{00000000-0005-0000-0000-000038190000}"/>
    <cellStyle name="40% - Accent1 2 2 2 5 3 3" xfId="6461" xr:uid="{00000000-0005-0000-0000-000039190000}"/>
    <cellStyle name="40% - Accent1 2 2 2 5 4" xfId="6462" xr:uid="{00000000-0005-0000-0000-00003A190000}"/>
    <cellStyle name="40% - Accent1 2 2 2 5 4 2" xfId="6463" xr:uid="{00000000-0005-0000-0000-00003B190000}"/>
    <cellStyle name="40% - Accent1 2 2 2 5 5" xfId="6464" xr:uid="{00000000-0005-0000-0000-00003C190000}"/>
    <cellStyle name="40% - Accent1 2 2 2 6" xfId="6465" xr:uid="{00000000-0005-0000-0000-00003D190000}"/>
    <cellStyle name="40% - Accent1 2 2 2 6 2" xfId="6466" xr:uid="{00000000-0005-0000-0000-00003E190000}"/>
    <cellStyle name="40% - Accent1 2 2 2 6 2 2" xfId="6467" xr:uid="{00000000-0005-0000-0000-00003F190000}"/>
    <cellStyle name="40% - Accent1 2 2 2 6 2 2 2" xfId="6468" xr:uid="{00000000-0005-0000-0000-000040190000}"/>
    <cellStyle name="40% - Accent1 2 2 2 6 2 3" xfId="6469" xr:uid="{00000000-0005-0000-0000-000041190000}"/>
    <cellStyle name="40% - Accent1 2 2 2 6 3" xfId="6470" xr:uid="{00000000-0005-0000-0000-000042190000}"/>
    <cellStyle name="40% - Accent1 2 2 2 6 3 2" xfId="6471" xr:uid="{00000000-0005-0000-0000-000043190000}"/>
    <cellStyle name="40% - Accent1 2 2 2 6 4" xfId="6472" xr:uid="{00000000-0005-0000-0000-000044190000}"/>
    <cellStyle name="40% - Accent1 2 2 2 7" xfId="6473" xr:uid="{00000000-0005-0000-0000-000045190000}"/>
    <cellStyle name="40% - Accent1 2 2 2 7 2" xfId="6474" xr:uid="{00000000-0005-0000-0000-000046190000}"/>
    <cellStyle name="40% - Accent1 2 2 2 7 2 2" xfId="6475" xr:uid="{00000000-0005-0000-0000-000047190000}"/>
    <cellStyle name="40% - Accent1 2 2 2 7 3" xfId="6476" xr:uid="{00000000-0005-0000-0000-000048190000}"/>
    <cellStyle name="40% - Accent1 2 2 2 8" xfId="6477" xr:uid="{00000000-0005-0000-0000-000049190000}"/>
    <cellStyle name="40% - Accent1 2 2 2 8 2" xfId="6478" xr:uid="{00000000-0005-0000-0000-00004A190000}"/>
    <cellStyle name="40% - Accent1 2 2 2 9" xfId="6479" xr:uid="{00000000-0005-0000-0000-00004B190000}"/>
    <cellStyle name="40% - Accent1 2 2 3" xfId="6480" xr:uid="{00000000-0005-0000-0000-00004C190000}"/>
    <cellStyle name="40% - Accent1 2 2 3 2" xfId="6481" xr:uid="{00000000-0005-0000-0000-00004D190000}"/>
    <cellStyle name="40% - Accent1 2 2 3 2 2" xfId="6482" xr:uid="{00000000-0005-0000-0000-00004E190000}"/>
    <cellStyle name="40% - Accent1 2 2 3 2 2 2" xfId="6483" xr:uid="{00000000-0005-0000-0000-00004F190000}"/>
    <cellStyle name="40% - Accent1 2 2 3 2 2 2 2" xfId="6484" xr:uid="{00000000-0005-0000-0000-000050190000}"/>
    <cellStyle name="40% - Accent1 2 2 3 2 2 2 2 2" xfId="6485" xr:uid="{00000000-0005-0000-0000-000051190000}"/>
    <cellStyle name="40% - Accent1 2 2 3 2 2 2 2 2 2" xfId="6486" xr:uid="{00000000-0005-0000-0000-000052190000}"/>
    <cellStyle name="40% - Accent1 2 2 3 2 2 2 2 2 2 2" xfId="6487" xr:uid="{00000000-0005-0000-0000-000053190000}"/>
    <cellStyle name="40% - Accent1 2 2 3 2 2 2 2 2 3" xfId="6488" xr:uid="{00000000-0005-0000-0000-000054190000}"/>
    <cellStyle name="40% - Accent1 2 2 3 2 2 2 2 3" xfId="6489" xr:uid="{00000000-0005-0000-0000-000055190000}"/>
    <cellStyle name="40% - Accent1 2 2 3 2 2 2 2 3 2" xfId="6490" xr:uid="{00000000-0005-0000-0000-000056190000}"/>
    <cellStyle name="40% - Accent1 2 2 3 2 2 2 2 4" xfId="6491" xr:uid="{00000000-0005-0000-0000-000057190000}"/>
    <cellStyle name="40% - Accent1 2 2 3 2 2 2 3" xfId="6492" xr:uid="{00000000-0005-0000-0000-000058190000}"/>
    <cellStyle name="40% - Accent1 2 2 3 2 2 2 3 2" xfId="6493" xr:uid="{00000000-0005-0000-0000-000059190000}"/>
    <cellStyle name="40% - Accent1 2 2 3 2 2 2 3 2 2" xfId="6494" xr:uid="{00000000-0005-0000-0000-00005A190000}"/>
    <cellStyle name="40% - Accent1 2 2 3 2 2 2 3 3" xfId="6495" xr:uid="{00000000-0005-0000-0000-00005B190000}"/>
    <cellStyle name="40% - Accent1 2 2 3 2 2 2 4" xfId="6496" xr:uid="{00000000-0005-0000-0000-00005C190000}"/>
    <cellStyle name="40% - Accent1 2 2 3 2 2 2 4 2" xfId="6497" xr:uid="{00000000-0005-0000-0000-00005D190000}"/>
    <cellStyle name="40% - Accent1 2 2 3 2 2 2 5" xfId="6498" xr:uid="{00000000-0005-0000-0000-00005E190000}"/>
    <cellStyle name="40% - Accent1 2 2 3 2 2 3" xfId="6499" xr:uid="{00000000-0005-0000-0000-00005F190000}"/>
    <cellStyle name="40% - Accent1 2 2 3 2 2 3 2" xfId="6500" xr:uid="{00000000-0005-0000-0000-000060190000}"/>
    <cellStyle name="40% - Accent1 2 2 3 2 2 3 2 2" xfId="6501" xr:uid="{00000000-0005-0000-0000-000061190000}"/>
    <cellStyle name="40% - Accent1 2 2 3 2 2 3 2 2 2" xfId="6502" xr:uid="{00000000-0005-0000-0000-000062190000}"/>
    <cellStyle name="40% - Accent1 2 2 3 2 2 3 2 3" xfId="6503" xr:uid="{00000000-0005-0000-0000-000063190000}"/>
    <cellStyle name="40% - Accent1 2 2 3 2 2 3 3" xfId="6504" xr:uid="{00000000-0005-0000-0000-000064190000}"/>
    <cellStyle name="40% - Accent1 2 2 3 2 2 3 3 2" xfId="6505" xr:uid="{00000000-0005-0000-0000-000065190000}"/>
    <cellStyle name="40% - Accent1 2 2 3 2 2 3 4" xfId="6506" xr:uid="{00000000-0005-0000-0000-000066190000}"/>
    <cellStyle name="40% - Accent1 2 2 3 2 2 4" xfId="6507" xr:uid="{00000000-0005-0000-0000-000067190000}"/>
    <cellStyle name="40% - Accent1 2 2 3 2 2 4 2" xfId="6508" xr:uid="{00000000-0005-0000-0000-000068190000}"/>
    <cellStyle name="40% - Accent1 2 2 3 2 2 4 2 2" xfId="6509" xr:uid="{00000000-0005-0000-0000-000069190000}"/>
    <cellStyle name="40% - Accent1 2 2 3 2 2 4 3" xfId="6510" xr:uid="{00000000-0005-0000-0000-00006A190000}"/>
    <cellStyle name="40% - Accent1 2 2 3 2 2 5" xfId="6511" xr:uid="{00000000-0005-0000-0000-00006B190000}"/>
    <cellStyle name="40% - Accent1 2 2 3 2 2 5 2" xfId="6512" xr:uid="{00000000-0005-0000-0000-00006C190000}"/>
    <cellStyle name="40% - Accent1 2 2 3 2 2 6" xfId="6513" xr:uid="{00000000-0005-0000-0000-00006D190000}"/>
    <cellStyle name="40% - Accent1 2 2 3 2 3" xfId="6514" xr:uid="{00000000-0005-0000-0000-00006E190000}"/>
    <cellStyle name="40% - Accent1 2 2 3 2 3 2" xfId="6515" xr:uid="{00000000-0005-0000-0000-00006F190000}"/>
    <cellStyle name="40% - Accent1 2 2 3 2 3 2 2" xfId="6516" xr:uid="{00000000-0005-0000-0000-000070190000}"/>
    <cellStyle name="40% - Accent1 2 2 3 2 3 2 2 2" xfId="6517" xr:uid="{00000000-0005-0000-0000-000071190000}"/>
    <cellStyle name="40% - Accent1 2 2 3 2 3 2 2 2 2" xfId="6518" xr:uid="{00000000-0005-0000-0000-000072190000}"/>
    <cellStyle name="40% - Accent1 2 2 3 2 3 2 2 3" xfId="6519" xr:uid="{00000000-0005-0000-0000-000073190000}"/>
    <cellStyle name="40% - Accent1 2 2 3 2 3 2 3" xfId="6520" xr:uid="{00000000-0005-0000-0000-000074190000}"/>
    <cellStyle name="40% - Accent1 2 2 3 2 3 2 3 2" xfId="6521" xr:uid="{00000000-0005-0000-0000-000075190000}"/>
    <cellStyle name="40% - Accent1 2 2 3 2 3 2 4" xfId="6522" xr:uid="{00000000-0005-0000-0000-000076190000}"/>
    <cellStyle name="40% - Accent1 2 2 3 2 3 3" xfId="6523" xr:uid="{00000000-0005-0000-0000-000077190000}"/>
    <cellStyle name="40% - Accent1 2 2 3 2 3 3 2" xfId="6524" xr:uid="{00000000-0005-0000-0000-000078190000}"/>
    <cellStyle name="40% - Accent1 2 2 3 2 3 3 2 2" xfId="6525" xr:uid="{00000000-0005-0000-0000-000079190000}"/>
    <cellStyle name="40% - Accent1 2 2 3 2 3 3 3" xfId="6526" xr:uid="{00000000-0005-0000-0000-00007A190000}"/>
    <cellStyle name="40% - Accent1 2 2 3 2 3 4" xfId="6527" xr:uid="{00000000-0005-0000-0000-00007B190000}"/>
    <cellStyle name="40% - Accent1 2 2 3 2 3 4 2" xfId="6528" xr:uid="{00000000-0005-0000-0000-00007C190000}"/>
    <cellStyle name="40% - Accent1 2 2 3 2 3 5" xfId="6529" xr:uid="{00000000-0005-0000-0000-00007D190000}"/>
    <cellStyle name="40% - Accent1 2 2 3 2 4" xfId="6530" xr:uid="{00000000-0005-0000-0000-00007E190000}"/>
    <cellStyle name="40% - Accent1 2 2 3 2 4 2" xfId="6531" xr:uid="{00000000-0005-0000-0000-00007F190000}"/>
    <cellStyle name="40% - Accent1 2 2 3 2 4 2 2" xfId="6532" xr:uid="{00000000-0005-0000-0000-000080190000}"/>
    <cellStyle name="40% - Accent1 2 2 3 2 4 2 2 2" xfId="6533" xr:uid="{00000000-0005-0000-0000-000081190000}"/>
    <cellStyle name="40% - Accent1 2 2 3 2 4 2 3" xfId="6534" xr:uid="{00000000-0005-0000-0000-000082190000}"/>
    <cellStyle name="40% - Accent1 2 2 3 2 4 3" xfId="6535" xr:uid="{00000000-0005-0000-0000-000083190000}"/>
    <cellStyle name="40% - Accent1 2 2 3 2 4 3 2" xfId="6536" xr:uid="{00000000-0005-0000-0000-000084190000}"/>
    <cellStyle name="40% - Accent1 2 2 3 2 4 4" xfId="6537" xr:uid="{00000000-0005-0000-0000-000085190000}"/>
    <cellStyle name="40% - Accent1 2 2 3 2 5" xfId="6538" xr:uid="{00000000-0005-0000-0000-000086190000}"/>
    <cellStyle name="40% - Accent1 2 2 3 2 5 2" xfId="6539" xr:uid="{00000000-0005-0000-0000-000087190000}"/>
    <cellStyle name="40% - Accent1 2 2 3 2 5 2 2" xfId="6540" xr:uid="{00000000-0005-0000-0000-000088190000}"/>
    <cellStyle name="40% - Accent1 2 2 3 2 5 3" xfId="6541" xr:uid="{00000000-0005-0000-0000-000089190000}"/>
    <cellStyle name="40% - Accent1 2 2 3 2 6" xfId="6542" xr:uid="{00000000-0005-0000-0000-00008A190000}"/>
    <cellStyle name="40% - Accent1 2 2 3 2 6 2" xfId="6543" xr:uid="{00000000-0005-0000-0000-00008B190000}"/>
    <cellStyle name="40% - Accent1 2 2 3 2 7" xfId="6544" xr:uid="{00000000-0005-0000-0000-00008C190000}"/>
    <cellStyle name="40% - Accent1 2 2 3 3" xfId="6545" xr:uid="{00000000-0005-0000-0000-00008D190000}"/>
    <cellStyle name="40% - Accent1 2 2 3 3 2" xfId="6546" xr:uid="{00000000-0005-0000-0000-00008E190000}"/>
    <cellStyle name="40% - Accent1 2 2 3 3 2 2" xfId="6547" xr:uid="{00000000-0005-0000-0000-00008F190000}"/>
    <cellStyle name="40% - Accent1 2 2 3 3 2 2 2" xfId="6548" xr:uid="{00000000-0005-0000-0000-000090190000}"/>
    <cellStyle name="40% - Accent1 2 2 3 3 2 2 2 2" xfId="6549" xr:uid="{00000000-0005-0000-0000-000091190000}"/>
    <cellStyle name="40% - Accent1 2 2 3 3 2 2 2 2 2" xfId="6550" xr:uid="{00000000-0005-0000-0000-000092190000}"/>
    <cellStyle name="40% - Accent1 2 2 3 3 2 2 2 3" xfId="6551" xr:uid="{00000000-0005-0000-0000-000093190000}"/>
    <cellStyle name="40% - Accent1 2 2 3 3 2 2 3" xfId="6552" xr:uid="{00000000-0005-0000-0000-000094190000}"/>
    <cellStyle name="40% - Accent1 2 2 3 3 2 2 3 2" xfId="6553" xr:uid="{00000000-0005-0000-0000-000095190000}"/>
    <cellStyle name="40% - Accent1 2 2 3 3 2 2 4" xfId="6554" xr:uid="{00000000-0005-0000-0000-000096190000}"/>
    <cellStyle name="40% - Accent1 2 2 3 3 2 3" xfId="6555" xr:uid="{00000000-0005-0000-0000-000097190000}"/>
    <cellStyle name="40% - Accent1 2 2 3 3 2 3 2" xfId="6556" xr:uid="{00000000-0005-0000-0000-000098190000}"/>
    <cellStyle name="40% - Accent1 2 2 3 3 2 3 2 2" xfId="6557" xr:uid="{00000000-0005-0000-0000-000099190000}"/>
    <cellStyle name="40% - Accent1 2 2 3 3 2 3 3" xfId="6558" xr:uid="{00000000-0005-0000-0000-00009A190000}"/>
    <cellStyle name="40% - Accent1 2 2 3 3 2 4" xfId="6559" xr:uid="{00000000-0005-0000-0000-00009B190000}"/>
    <cellStyle name="40% - Accent1 2 2 3 3 2 4 2" xfId="6560" xr:uid="{00000000-0005-0000-0000-00009C190000}"/>
    <cellStyle name="40% - Accent1 2 2 3 3 2 5" xfId="6561" xr:uid="{00000000-0005-0000-0000-00009D190000}"/>
    <cellStyle name="40% - Accent1 2 2 3 3 3" xfId="6562" xr:uid="{00000000-0005-0000-0000-00009E190000}"/>
    <cellStyle name="40% - Accent1 2 2 3 3 3 2" xfId="6563" xr:uid="{00000000-0005-0000-0000-00009F190000}"/>
    <cellStyle name="40% - Accent1 2 2 3 3 3 2 2" xfId="6564" xr:uid="{00000000-0005-0000-0000-0000A0190000}"/>
    <cellStyle name="40% - Accent1 2 2 3 3 3 2 2 2" xfId="6565" xr:uid="{00000000-0005-0000-0000-0000A1190000}"/>
    <cellStyle name="40% - Accent1 2 2 3 3 3 2 3" xfId="6566" xr:uid="{00000000-0005-0000-0000-0000A2190000}"/>
    <cellStyle name="40% - Accent1 2 2 3 3 3 3" xfId="6567" xr:uid="{00000000-0005-0000-0000-0000A3190000}"/>
    <cellStyle name="40% - Accent1 2 2 3 3 3 3 2" xfId="6568" xr:uid="{00000000-0005-0000-0000-0000A4190000}"/>
    <cellStyle name="40% - Accent1 2 2 3 3 3 4" xfId="6569" xr:uid="{00000000-0005-0000-0000-0000A5190000}"/>
    <cellStyle name="40% - Accent1 2 2 3 3 4" xfId="6570" xr:uid="{00000000-0005-0000-0000-0000A6190000}"/>
    <cellStyle name="40% - Accent1 2 2 3 3 4 2" xfId="6571" xr:uid="{00000000-0005-0000-0000-0000A7190000}"/>
    <cellStyle name="40% - Accent1 2 2 3 3 4 2 2" xfId="6572" xr:uid="{00000000-0005-0000-0000-0000A8190000}"/>
    <cellStyle name="40% - Accent1 2 2 3 3 4 3" xfId="6573" xr:uid="{00000000-0005-0000-0000-0000A9190000}"/>
    <cellStyle name="40% - Accent1 2 2 3 3 5" xfId="6574" xr:uid="{00000000-0005-0000-0000-0000AA190000}"/>
    <cellStyle name="40% - Accent1 2 2 3 3 5 2" xfId="6575" xr:uid="{00000000-0005-0000-0000-0000AB190000}"/>
    <cellStyle name="40% - Accent1 2 2 3 3 6" xfId="6576" xr:uid="{00000000-0005-0000-0000-0000AC190000}"/>
    <cellStyle name="40% - Accent1 2 2 3 4" xfId="6577" xr:uid="{00000000-0005-0000-0000-0000AD190000}"/>
    <cellStyle name="40% - Accent1 2 2 3 4 2" xfId="6578" xr:uid="{00000000-0005-0000-0000-0000AE190000}"/>
    <cellStyle name="40% - Accent1 2 2 3 4 2 2" xfId="6579" xr:uid="{00000000-0005-0000-0000-0000AF190000}"/>
    <cellStyle name="40% - Accent1 2 2 3 4 2 2 2" xfId="6580" xr:uid="{00000000-0005-0000-0000-0000B0190000}"/>
    <cellStyle name="40% - Accent1 2 2 3 4 2 2 2 2" xfId="6581" xr:uid="{00000000-0005-0000-0000-0000B1190000}"/>
    <cellStyle name="40% - Accent1 2 2 3 4 2 2 3" xfId="6582" xr:uid="{00000000-0005-0000-0000-0000B2190000}"/>
    <cellStyle name="40% - Accent1 2 2 3 4 2 3" xfId="6583" xr:uid="{00000000-0005-0000-0000-0000B3190000}"/>
    <cellStyle name="40% - Accent1 2 2 3 4 2 3 2" xfId="6584" xr:uid="{00000000-0005-0000-0000-0000B4190000}"/>
    <cellStyle name="40% - Accent1 2 2 3 4 2 4" xfId="6585" xr:uid="{00000000-0005-0000-0000-0000B5190000}"/>
    <cellStyle name="40% - Accent1 2 2 3 4 3" xfId="6586" xr:uid="{00000000-0005-0000-0000-0000B6190000}"/>
    <cellStyle name="40% - Accent1 2 2 3 4 3 2" xfId="6587" xr:uid="{00000000-0005-0000-0000-0000B7190000}"/>
    <cellStyle name="40% - Accent1 2 2 3 4 3 2 2" xfId="6588" xr:uid="{00000000-0005-0000-0000-0000B8190000}"/>
    <cellStyle name="40% - Accent1 2 2 3 4 3 3" xfId="6589" xr:uid="{00000000-0005-0000-0000-0000B9190000}"/>
    <cellStyle name="40% - Accent1 2 2 3 4 4" xfId="6590" xr:uid="{00000000-0005-0000-0000-0000BA190000}"/>
    <cellStyle name="40% - Accent1 2 2 3 4 4 2" xfId="6591" xr:uid="{00000000-0005-0000-0000-0000BB190000}"/>
    <cellStyle name="40% - Accent1 2 2 3 4 5" xfId="6592" xr:uid="{00000000-0005-0000-0000-0000BC190000}"/>
    <cellStyle name="40% - Accent1 2 2 3 5" xfId="6593" xr:uid="{00000000-0005-0000-0000-0000BD190000}"/>
    <cellStyle name="40% - Accent1 2 2 3 5 2" xfId="6594" xr:uid="{00000000-0005-0000-0000-0000BE190000}"/>
    <cellStyle name="40% - Accent1 2 2 3 5 2 2" xfId="6595" xr:uid="{00000000-0005-0000-0000-0000BF190000}"/>
    <cellStyle name="40% - Accent1 2 2 3 5 2 2 2" xfId="6596" xr:uid="{00000000-0005-0000-0000-0000C0190000}"/>
    <cellStyle name="40% - Accent1 2 2 3 5 2 3" xfId="6597" xr:uid="{00000000-0005-0000-0000-0000C1190000}"/>
    <cellStyle name="40% - Accent1 2 2 3 5 3" xfId="6598" xr:uid="{00000000-0005-0000-0000-0000C2190000}"/>
    <cellStyle name="40% - Accent1 2 2 3 5 3 2" xfId="6599" xr:uid="{00000000-0005-0000-0000-0000C3190000}"/>
    <cellStyle name="40% - Accent1 2 2 3 5 4" xfId="6600" xr:uid="{00000000-0005-0000-0000-0000C4190000}"/>
    <cellStyle name="40% - Accent1 2 2 3 6" xfId="6601" xr:uid="{00000000-0005-0000-0000-0000C5190000}"/>
    <cellStyle name="40% - Accent1 2 2 3 6 2" xfId="6602" xr:uid="{00000000-0005-0000-0000-0000C6190000}"/>
    <cellStyle name="40% - Accent1 2 2 3 6 2 2" xfId="6603" xr:uid="{00000000-0005-0000-0000-0000C7190000}"/>
    <cellStyle name="40% - Accent1 2 2 3 6 3" xfId="6604" xr:uid="{00000000-0005-0000-0000-0000C8190000}"/>
    <cellStyle name="40% - Accent1 2 2 3 7" xfId="6605" xr:uid="{00000000-0005-0000-0000-0000C9190000}"/>
    <cellStyle name="40% - Accent1 2 2 3 7 2" xfId="6606" xr:uid="{00000000-0005-0000-0000-0000CA190000}"/>
    <cellStyle name="40% - Accent1 2 2 3 8" xfId="6607" xr:uid="{00000000-0005-0000-0000-0000CB190000}"/>
    <cellStyle name="40% - Accent1 2 2 4" xfId="6608" xr:uid="{00000000-0005-0000-0000-0000CC190000}"/>
    <cellStyle name="40% - Accent1 2 2 4 2" xfId="6609" xr:uid="{00000000-0005-0000-0000-0000CD190000}"/>
    <cellStyle name="40% - Accent1 2 2 4 2 2" xfId="6610" xr:uid="{00000000-0005-0000-0000-0000CE190000}"/>
    <cellStyle name="40% - Accent1 2 2 4 2 2 2" xfId="6611" xr:uid="{00000000-0005-0000-0000-0000CF190000}"/>
    <cellStyle name="40% - Accent1 2 2 4 2 2 2 2" xfId="6612" xr:uid="{00000000-0005-0000-0000-0000D0190000}"/>
    <cellStyle name="40% - Accent1 2 2 4 2 2 2 2 2" xfId="6613" xr:uid="{00000000-0005-0000-0000-0000D1190000}"/>
    <cellStyle name="40% - Accent1 2 2 4 2 2 2 2 2 2" xfId="6614" xr:uid="{00000000-0005-0000-0000-0000D2190000}"/>
    <cellStyle name="40% - Accent1 2 2 4 2 2 2 2 3" xfId="6615" xr:uid="{00000000-0005-0000-0000-0000D3190000}"/>
    <cellStyle name="40% - Accent1 2 2 4 2 2 2 3" xfId="6616" xr:uid="{00000000-0005-0000-0000-0000D4190000}"/>
    <cellStyle name="40% - Accent1 2 2 4 2 2 2 3 2" xfId="6617" xr:uid="{00000000-0005-0000-0000-0000D5190000}"/>
    <cellStyle name="40% - Accent1 2 2 4 2 2 2 4" xfId="6618" xr:uid="{00000000-0005-0000-0000-0000D6190000}"/>
    <cellStyle name="40% - Accent1 2 2 4 2 2 3" xfId="6619" xr:uid="{00000000-0005-0000-0000-0000D7190000}"/>
    <cellStyle name="40% - Accent1 2 2 4 2 2 3 2" xfId="6620" xr:uid="{00000000-0005-0000-0000-0000D8190000}"/>
    <cellStyle name="40% - Accent1 2 2 4 2 2 3 2 2" xfId="6621" xr:uid="{00000000-0005-0000-0000-0000D9190000}"/>
    <cellStyle name="40% - Accent1 2 2 4 2 2 3 3" xfId="6622" xr:uid="{00000000-0005-0000-0000-0000DA190000}"/>
    <cellStyle name="40% - Accent1 2 2 4 2 2 4" xfId="6623" xr:uid="{00000000-0005-0000-0000-0000DB190000}"/>
    <cellStyle name="40% - Accent1 2 2 4 2 2 4 2" xfId="6624" xr:uid="{00000000-0005-0000-0000-0000DC190000}"/>
    <cellStyle name="40% - Accent1 2 2 4 2 2 5" xfId="6625" xr:uid="{00000000-0005-0000-0000-0000DD190000}"/>
    <cellStyle name="40% - Accent1 2 2 4 2 3" xfId="6626" xr:uid="{00000000-0005-0000-0000-0000DE190000}"/>
    <cellStyle name="40% - Accent1 2 2 4 2 3 2" xfId="6627" xr:uid="{00000000-0005-0000-0000-0000DF190000}"/>
    <cellStyle name="40% - Accent1 2 2 4 2 3 2 2" xfId="6628" xr:uid="{00000000-0005-0000-0000-0000E0190000}"/>
    <cellStyle name="40% - Accent1 2 2 4 2 3 2 2 2" xfId="6629" xr:uid="{00000000-0005-0000-0000-0000E1190000}"/>
    <cellStyle name="40% - Accent1 2 2 4 2 3 2 3" xfId="6630" xr:uid="{00000000-0005-0000-0000-0000E2190000}"/>
    <cellStyle name="40% - Accent1 2 2 4 2 3 3" xfId="6631" xr:uid="{00000000-0005-0000-0000-0000E3190000}"/>
    <cellStyle name="40% - Accent1 2 2 4 2 3 3 2" xfId="6632" xr:uid="{00000000-0005-0000-0000-0000E4190000}"/>
    <cellStyle name="40% - Accent1 2 2 4 2 3 4" xfId="6633" xr:uid="{00000000-0005-0000-0000-0000E5190000}"/>
    <cellStyle name="40% - Accent1 2 2 4 2 4" xfId="6634" xr:uid="{00000000-0005-0000-0000-0000E6190000}"/>
    <cellStyle name="40% - Accent1 2 2 4 2 4 2" xfId="6635" xr:uid="{00000000-0005-0000-0000-0000E7190000}"/>
    <cellStyle name="40% - Accent1 2 2 4 2 4 2 2" xfId="6636" xr:uid="{00000000-0005-0000-0000-0000E8190000}"/>
    <cellStyle name="40% - Accent1 2 2 4 2 4 3" xfId="6637" xr:uid="{00000000-0005-0000-0000-0000E9190000}"/>
    <cellStyle name="40% - Accent1 2 2 4 2 5" xfId="6638" xr:uid="{00000000-0005-0000-0000-0000EA190000}"/>
    <cellStyle name="40% - Accent1 2 2 4 2 5 2" xfId="6639" xr:uid="{00000000-0005-0000-0000-0000EB190000}"/>
    <cellStyle name="40% - Accent1 2 2 4 2 6" xfId="6640" xr:uid="{00000000-0005-0000-0000-0000EC190000}"/>
    <cellStyle name="40% - Accent1 2 2 4 3" xfId="6641" xr:uid="{00000000-0005-0000-0000-0000ED190000}"/>
    <cellStyle name="40% - Accent1 2 2 4 3 2" xfId="6642" xr:uid="{00000000-0005-0000-0000-0000EE190000}"/>
    <cellStyle name="40% - Accent1 2 2 4 3 2 2" xfId="6643" xr:uid="{00000000-0005-0000-0000-0000EF190000}"/>
    <cellStyle name="40% - Accent1 2 2 4 3 2 2 2" xfId="6644" xr:uid="{00000000-0005-0000-0000-0000F0190000}"/>
    <cellStyle name="40% - Accent1 2 2 4 3 2 2 2 2" xfId="6645" xr:uid="{00000000-0005-0000-0000-0000F1190000}"/>
    <cellStyle name="40% - Accent1 2 2 4 3 2 2 3" xfId="6646" xr:uid="{00000000-0005-0000-0000-0000F2190000}"/>
    <cellStyle name="40% - Accent1 2 2 4 3 2 3" xfId="6647" xr:uid="{00000000-0005-0000-0000-0000F3190000}"/>
    <cellStyle name="40% - Accent1 2 2 4 3 2 3 2" xfId="6648" xr:uid="{00000000-0005-0000-0000-0000F4190000}"/>
    <cellStyle name="40% - Accent1 2 2 4 3 2 4" xfId="6649" xr:uid="{00000000-0005-0000-0000-0000F5190000}"/>
    <cellStyle name="40% - Accent1 2 2 4 3 3" xfId="6650" xr:uid="{00000000-0005-0000-0000-0000F6190000}"/>
    <cellStyle name="40% - Accent1 2 2 4 3 3 2" xfId="6651" xr:uid="{00000000-0005-0000-0000-0000F7190000}"/>
    <cellStyle name="40% - Accent1 2 2 4 3 3 2 2" xfId="6652" xr:uid="{00000000-0005-0000-0000-0000F8190000}"/>
    <cellStyle name="40% - Accent1 2 2 4 3 3 3" xfId="6653" xr:uid="{00000000-0005-0000-0000-0000F9190000}"/>
    <cellStyle name="40% - Accent1 2 2 4 3 4" xfId="6654" xr:uid="{00000000-0005-0000-0000-0000FA190000}"/>
    <cellStyle name="40% - Accent1 2 2 4 3 4 2" xfId="6655" xr:uid="{00000000-0005-0000-0000-0000FB190000}"/>
    <cellStyle name="40% - Accent1 2 2 4 3 5" xfId="6656" xr:uid="{00000000-0005-0000-0000-0000FC190000}"/>
    <cellStyle name="40% - Accent1 2 2 4 4" xfId="6657" xr:uid="{00000000-0005-0000-0000-0000FD190000}"/>
    <cellStyle name="40% - Accent1 2 2 4 4 2" xfId="6658" xr:uid="{00000000-0005-0000-0000-0000FE190000}"/>
    <cellStyle name="40% - Accent1 2 2 4 4 2 2" xfId="6659" xr:uid="{00000000-0005-0000-0000-0000FF190000}"/>
    <cellStyle name="40% - Accent1 2 2 4 4 2 2 2" xfId="6660" xr:uid="{00000000-0005-0000-0000-0000001A0000}"/>
    <cellStyle name="40% - Accent1 2 2 4 4 2 3" xfId="6661" xr:uid="{00000000-0005-0000-0000-0000011A0000}"/>
    <cellStyle name="40% - Accent1 2 2 4 4 3" xfId="6662" xr:uid="{00000000-0005-0000-0000-0000021A0000}"/>
    <cellStyle name="40% - Accent1 2 2 4 4 3 2" xfId="6663" xr:uid="{00000000-0005-0000-0000-0000031A0000}"/>
    <cellStyle name="40% - Accent1 2 2 4 4 4" xfId="6664" xr:uid="{00000000-0005-0000-0000-0000041A0000}"/>
    <cellStyle name="40% - Accent1 2 2 4 5" xfId="6665" xr:uid="{00000000-0005-0000-0000-0000051A0000}"/>
    <cellStyle name="40% - Accent1 2 2 4 5 2" xfId="6666" xr:uid="{00000000-0005-0000-0000-0000061A0000}"/>
    <cellStyle name="40% - Accent1 2 2 4 5 2 2" xfId="6667" xr:uid="{00000000-0005-0000-0000-0000071A0000}"/>
    <cellStyle name="40% - Accent1 2 2 4 5 3" xfId="6668" xr:uid="{00000000-0005-0000-0000-0000081A0000}"/>
    <cellStyle name="40% - Accent1 2 2 4 6" xfId="6669" xr:uid="{00000000-0005-0000-0000-0000091A0000}"/>
    <cellStyle name="40% - Accent1 2 2 4 6 2" xfId="6670" xr:uid="{00000000-0005-0000-0000-00000A1A0000}"/>
    <cellStyle name="40% - Accent1 2 2 4 7" xfId="6671" xr:uid="{00000000-0005-0000-0000-00000B1A0000}"/>
    <cellStyle name="40% - Accent1 2 2 5" xfId="6672" xr:uid="{00000000-0005-0000-0000-00000C1A0000}"/>
    <cellStyle name="40% - Accent1 2 2 5 2" xfId="6673" xr:uid="{00000000-0005-0000-0000-00000D1A0000}"/>
    <cellStyle name="40% - Accent1 2 2 5 2 2" xfId="6674" xr:uid="{00000000-0005-0000-0000-00000E1A0000}"/>
    <cellStyle name="40% - Accent1 2 2 5 2 2 2" xfId="6675" xr:uid="{00000000-0005-0000-0000-00000F1A0000}"/>
    <cellStyle name="40% - Accent1 2 2 5 2 2 2 2" xfId="6676" xr:uid="{00000000-0005-0000-0000-0000101A0000}"/>
    <cellStyle name="40% - Accent1 2 2 5 2 2 2 2 2" xfId="6677" xr:uid="{00000000-0005-0000-0000-0000111A0000}"/>
    <cellStyle name="40% - Accent1 2 2 5 2 2 2 3" xfId="6678" xr:uid="{00000000-0005-0000-0000-0000121A0000}"/>
    <cellStyle name="40% - Accent1 2 2 5 2 2 3" xfId="6679" xr:uid="{00000000-0005-0000-0000-0000131A0000}"/>
    <cellStyle name="40% - Accent1 2 2 5 2 2 3 2" xfId="6680" xr:uid="{00000000-0005-0000-0000-0000141A0000}"/>
    <cellStyle name="40% - Accent1 2 2 5 2 2 4" xfId="6681" xr:uid="{00000000-0005-0000-0000-0000151A0000}"/>
    <cellStyle name="40% - Accent1 2 2 5 2 3" xfId="6682" xr:uid="{00000000-0005-0000-0000-0000161A0000}"/>
    <cellStyle name="40% - Accent1 2 2 5 2 3 2" xfId="6683" xr:uid="{00000000-0005-0000-0000-0000171A0000}"/>
    <cellStyle name="40% - Accent1 2 2 5 2 3 2 2" xfId="6684" xr:uid="{00000000-0005-0000-0000-0000181A0000}"/>
    <cellStyle name="40% - Accent1 2 2 5 2 3 3" xfId="6685" xr:uid="{00000000-0005-0000-0000-0000191A0000}"/>
    <cellStyle name="40% - Accent1 2 2 5 2 4" xfId="6686" xr:uid="{00000000-0005-0000-0000-00001A1A0000}"/>
    <cellStyle name="40% - Accent1 2 2 5 2 4 2" xfId="6687" xr:uid="{00000000-0005-0000-0000-00001B1A0000}"/>
    <cellStyle name="40% - Accent1 2 2 5 2 5" xfId="6688" xr:uid="{00000000-0005-0000-0000-00001C1A0000}"/>
    <cellStyle name="40% - Accent1 2 2 5 3" xfId="6689" xr:uid="{00000000-0005-0000-0000-00001D1A0000}"/>
    <cellStyle name="40% - Accent1 2 2 5 3 2" xfId="6690" xr:uid="{00000000-0005-0000-0000-00001E1A0000}"/>
    <cellStyle name="40% - Accent1 2 2 5 3 2 2" xfId="6691" xr:uid="{00000000-0005-0000-0000-00001F1A0000}"/>
    <cellStyle name="40% - Accent1 2 2 5 3 2 2 2" xfId="6692" xr:uid="{00000000-0005-0000-0000-0000201A0000}"/>
    <cellStyle name="40% - Accent1 2 2 5 3 2 3" xfId="6693" xr:uid="{00000000-0005-0000-0000-0000211A0000}"/>
    <cellStyle name="40% - Accent1 2 2 5 3 3" xfId="6694" xr:uid="{00000000-0005-0000-0000-0000221A0000}"/>
    <cellStyle name="40% - Accent1 2 2 5 3 3 2" xfId="6695" xr:uid="{00000000-0005-0000-0000-0000231A0000}"/>
    <cellStyle name="40% - Accent1 2 2 5 3 4" xfId="6696" xr:uid="{00000000-0005-0000-0000-0000241A0000}"/>
    <cellStyle name="40% - Accent1 2 2 5 4" xfId="6697" xr:uid="{00000000-0005-0000-0000-0000251A0000}"/>
    <cellStyle name="40% - Accent1 2 2 5 4 2" xfId="6698" xr:uid="{00000000-0005-0000-0000-0000261A0000}"/>
    <cellStyle name="40% - Accent1 2 2 5 4 2 2" xfId="6699" xr:uid="{00000000-0005-0000-0000-0000271A0000}"/>
    <cellStyle name="40% - Accent1 2 2 5 4 3" xfId="6700" xr:uid="{00000000-0005-0000-0000-0000281A0000}"/>
    <cellStyle name="40% - Accent1 2 2 5 5" xfId="6701" xr:uid="{00000000-0005-0000-0000-0000291A0000}"/>
    <cellStyle name="40% - Accent1 2 2 5 5 2" xfId="6702" xr:uid="{00000000-0005-0000-0000-00002A1A0000}"/>
    <cellStyle name="40% - Accent1 2 2 5 6" xfId="6703" xr:uid="{00000000-0005-0000-0000-00002B1A0000}"/>
    <cellStyle name="40% - Accent1 2 2 6" xfId="6704" xr:uid="{00000000-0005-0000-0000-00002C1A0000}"/>
    <cellStyle name="40% - Accent1 2 2 6 2" xfId="6705" xr:uid="{00000000-0005-0000-0000-00002D1A0000}"/>
    <cellStyle name="40% - Accent1 2 2 6 2 2" xfId="6706" xr:uid="{00000000-0005-0000-0000-00002E1A0000}"/>
    <cellStyle name="40% - Accent1 2 2 6 2 2 2" xfId="6707" xr:uid="{00000000-0005-0000-0000-00002F1A0000}"/>
    <cellStyle name="40% - Accent1 2 2 6 2 2 2 2" xfId="6708" xr:uid="{00000000-0005-0000-0000-0000301A0000}"/>
    <cellStyle name="40% - Accent1 2 2 6 2 2 3" xfId="6709" xr:uid="{00000000-0005-0000-0000-0000311A0000}"/>
    <cellStyle name="40% - Accent1 2 2 6 2 3" xfId="6710" xr:uid="{00000000-0005-0000-0000-0000321A0000}"/>
    <cellStyle name="40% - Accent1 2 2 6 2 3 2" xfId="6711" xr:uid="{00000000-0005-0000-0000-0000331A0000}"/>
    <cellStyle name="40% - Accent1 2 2 6 2 4" xfId="6712" xr:uid="{00000000-0005-0000-0000-0000341A0000}"/>
    <cellStyle name="40% - Accent1 2 2 6 3" xfId="6713" xr:uid="{00000000-0005-0000-0000-0000351A0000}"/>
    <cellStyle name="40% - Accent1 2 2 6 3 2" xfId="6714" xr:uid="{00000000-0005-0000-0000-0000361A0000}"/>
    <cellStyle name="40% - Accent1 2 2 6 3 2 2" xfId="6715" xr:uid="{00000000-0005-0000-0000-0000371A0000}"/>
    <cellStyle name="40% - Accent1 2 2 6 3 3" xfId="6716" xr:uid="{00000000-0005-0000-0000-0000381A0000}"/>
    <cellStyle name="40% - Accent1 2 2 6 4" xfId="6717" xr:uid="{00000000-0005-0000-0000-0000391A0000}"/>
    <cellStyle name="40% - Accent1 2 2 6 4 2" xfId="6718" xr:uid="{00000000-0005-0000-0000-00003A1A0000}"/>
    <cellStyle name="40% - Accent1 2 2 6 5" xfId="6719" xr:uid="{00000000-0005-0000-0000-00003B1A0000}"/>
    <cellStyle name="40% - Accent1 2 2 7" xfId="6720" xr:uid="{00000000-0005-0000-0000-00003C1A0000}"/>
    <cellStyle name="40% - Accent1 2 2 7 2" xfId="6721" xr:uid="{00000000-0005-0000-0000-00003D1A0000}"/>
    <cellStyle name="40% - Accent1 2 2 7 2 2" xfId="6722" xr:uid="{00000000-0005-0000-0000-00003E1A0000}"/>
    <cellStyle name="40% - Accent1 2 2 7 2 2 2" xfId="6723" xr:uid="{00000000-0005-0000-0000-00003F1A0000}"/>
    <cellStyle name="40% - Accent1 2 2 7 2 3" xfId="6724" xr:uid="{00000000-0005-0000-0000-0000401A0000}"/>
    <cellStyle name="40% - Accent1 2 2 7 3" xfId="6725" xr:uid="{00000000-0005-0000-0000-0000411A0000}"/>
    <cellStyle name="40% - Accent1 2 2 7 3 2" xfId="6726" xr:uid="{00000000-0005-0000-0000-0000421A0000}"/>
    <cellStyle name="40% - Accent1 2 2 7 4" xfId="6727" xr:uid="{00000000-0005-0000-0000-0000431A0000}"/>
    <cellStyle name="40% - Accent1 2 2 8" xfId="6728" xr:uid="{00000000-0005-0000-0000-0000441A0000}"/>
    <cellStyle name="40% - Accent1 2 2 8 2" xfId="6729" xr:uid="{00000000-0005-0000-0000-0000451A0000}"/>
    <cellStyle name="40% - Accent1 2 2 8 2 2" xfId="6730" xr:uid="{00000000-0005-0000-0000-0000461A0000}"/>
    <cellStyle name="40% - Accent1 2 2 8 3" xfId="6731" xr:uid="{00000000-0005-0000-0000-0000471A0000}"/>
    <cellStyle name="40% - Accent1 2 2 9" xfId="6732" xr:uid="{00000000-0005-0000-0000-0000481A0000}"/>
    <cellStyle name="40% - Accent1 2 2 9 2" xfId="6733" xr:uid="{00000000-0005-0000-0000-0000491A0000}"/>
    <cellStyle name="40% - Accent1 2 3" xfId="6734" xr:uid="{00000000-0005-0000-0000-00004A1A0000}"/>
    <cellStyle name="40% - Accent1 2 3 2" xfId="6735" xr:uid="{00000000-0005-0000-0000-00004B1A0000}"/>
    <cellStyle name="40% - Accent1 2 3 2 2" xfId="6736" xr:uid="{00000000-0005-0000-0000-00004C1A0000}"/>
    <cellStyle name="40% - Accent1 2 3 2 2 2" xfId="6737" xr:uid="{00000000-0005-0000-0000-00004D1A0000}"/>
    <cellStyle name="40% - Accent1 2 3 2 2 2 2" xfId="6738" xr:uid="{00000000-0005-0000-0000-00004E1A0000}"/>
    <cellStyle name="40% - Accent1 2 3 2 2 2 2 2" xfId="6739" xr:uid="{00000000-0005-0000-0000-00004F1A0000}"/>
    <cellStyle name="40% - Accent1 2 3 2 2 2 2 2 2" xfId="6740" xr:uid="{00000000-0005-0000-0000-0000501A0000}"/>
    <cellStyle name="40% - Accent1 2 3 2 2 2 2 2 2 2" xfId="6741" xr:uid="{00000000-0005-0000-0000-0000511A0000}"/>
    <cellStyle name="40% - Accent1 2 3 2 2 2 2 2 2 2 2" xfId="6742" xr:uid="{00000000-0005-0000-0000-0000521A0000}"/>
    <cellStyle name="40% - Accent1 2 3 2 2 2 2 2 2 3" xfId="6743" xr:uid="{00000000-0005-0000-0000-0000531A0000}"/>
    <cellStyle name="40% - Accent1 2 3 2 2 2 2 2 3" xfId="6744" xr:uid="{00000000-0005-0000-0000-0000541A0000}"/>
    <cellStyle name="40% - Accent1 2 3 2 2 2 2 2 3 2" xfId="6745" xr:uid="{00000000-0005-0000-0000-0000551A0000}"/>
    <cellStyle name="40% - Accent1 2 3 2 2 2 2 2 4" xfId="6746" xr:uid="{00000000-0005-0000-0000-0000561A0000}"/>
    <cellStyle name="40% - Accent1 2 3 2 2 2 2 3" xfId="6747" xr:uid="{00000000-0005-0000-0000-0000571A0000}"/>
    <cellStyle name="40% - Accent1 2 3 2 2 2 2 3 2" xfId="6748" xr:uid="{00000000-0005-0000-0000-0000581A0000}"/>
    <cellStyle name="40% - Accent1 2 3 2 2 2 2 3 2 2" xfId="6749" xr:uid="{00000000-0005-0000-0000-0000591A0000}"/>
    <cellStyle name="40% - Accent1 2 3 2 2 2 2 3 3" xfId="6750" xr:uid="{00000000-0005-0000-0000-00005A1A0000}"/>
    <cellStyle name="40% - Accent1 2 3 2 2 2 2 4" xfId="6751" xr:uid="{00000000-0005-0000-0000-00005B1A0000}"/>
    <cellStyle name="40% - Accent1 2 3 2 2 2 2 4 2" xfId="6752" xr:uid="{00000000-0005-0000-0000-00005C1A0000}"/>
    <cellStyle name="40% - Accent1 2 3 2 2 2 2 5" xfId="6753" xr:uid="{00000000-0005-0000-0000-00005D1A0000}"/>
    <cellStyle name="40% - Accent1 2 3 2 2 2 3" xfId="6754" xr:uid="{00000000-0005-0000-0000-00005E1A0000}"/>
    <cellStyle name="40% - Accent1 2 3 2 2 2 3 2" xfId="6755" xr:uid="{00000000-0005-0000-0000-00005F1A0000}"/>
    <cellStyle name="40% - Accent1 2 3 2 2 2 3 2 2" xfId="6756" xr:uid="{00000000-0005-0000-0000-0000601A0000}"/>
    <cellStyle name="40% - Accent1 2 3 2 2 2 3 2 2 2" xfId="6757" xr:uid="{00000000-0005-0000-0000-0000611A0000}"/>
    <cellStyle name="40% - Accent1 2 3 2 2 2 3 2 3" xfId="6758" xr:uid="{00000000-0005-0000-0000-0000621A0000}"/>
    <cellStyle name="40% - Accent1 2 3 2 2 2 3 3" xfId="6759" xr:uid="{00000000-0005-0000-0000-0000631A0000}"/>
    <cellStyle name="40% - Accent1 2 3 2 2 2 3 3 2" xfId="6760" xr:uid="{00000000-0005-0000-0000-0000641A0000}"/>
    <cellStyle name="40% - Accent1 2 3 2 2 2 3 4" xfId="6761" xr:uid="{00000000-0005-0000-0000-0000651A0000}"/>
    <cellStyle name="40% - Accent1 2 3 2 2 2 4" xfId="6762" xr:uid="{00000000-0005-0000-0000-0000661A0000}"/>
    <cellStyle name="40% - Accent1 2 3 2 2 2 4 2" xfId="6763" xr:uid="{00000000-0005-0000-0000-0000671A0000}"/>
    <cellStyle name="40% - Accent1 2 3 2 2 2 4 2 2" xfId="6764" xr:uid="{00000000-0005-0000-0000-0000681A0000}"/>
    <cellStyle name="40% - Accent1 2 3 2 2 2 4 3" xfId="6765" xr:uid="{00000000-0005-0000-0000-0000691A0000}"/>
    <cellStyle name="40% - Accent1 2 3 2 2 2 5" xfId="6766" xr:uid="{00000000-0005-0000-0000-00006A1A0000}"/>
    <cellStyle name="40% - Accent1 2 3 2 2 2 5 2" xfId="6767" xr:uid="{00000000-0005-0000-0000-00006B1A0000}"/>
    <cellStyle name="40% - Accent1 2 3 2 2 2 6" xfId="6768" xr:uid="{00000000-0005-0000-0000-00006C1A0000}"/>
    <cellStyle name="40% - Accent1 2 3 2 2 3" xfId="6769" xr:uid="{00000000-0005-0000-0000-00006D1A0000}"/>
    <cellStyle name="40% - Accent1 2 3 2 2 3 2" xfId="6770" xr:uid="{00000000-0005-0000-0000-00006E1A0000}"/>
    <cellStyle name="40% - Accent1 2 3 2 2 3 2 2" xfId="6771" xr:uid="{00000000-0005-0000-0000-00006F1A0000}"/>
    <cellStyle name="40% - Accent1 2 3 2 2 3 2 2 2" xfId="6772" xr:uid="{00000000-0005-0000-0000-0000701A0000}"/>
    <cellStyle name="40% - Accent1 2 3 2 2 3 2 2 2 2" xfId="6773" xr:uid="{00000000-0005-0000-0000-0000711A0000}"/>
    <cellStyle name="40% - Accent1 2 3 2 2 3 2 2 3" xfId="6774" xr:uid="{00000000-0005-0000-0000-0000721A0000}"/>
    <cellStyle name="40% - Accent1 2 3 2 2 3 2 3" xfId="6775" xr:uid="{00000000-0005-0000-0000-0000731A0000}"/>
    <cellStyle name="40% - Accent1 2 3 2 2 3 2 3 2" xfId="6776" xr:uid="{00000000-0005-0000-0000-0000741A0000}"/>
    <cellStyle name="40% - Accent1 2 3 2 2 3 2 4" xfId="6777" xr:uid="{00000000-0005-0000-0000-0000751A0000}"/>
    <cellStyle name="40% - Accent1 2 3 2 2 3 3" xfId="6778" xr:uid="{00000000-0005-0000-0000-0000761A0000}"/>
    <cellStyle name="40% - Accent1 2 3 2 2 3 3 2" xfId="6779" xr:uid="{00000000-0005-0000-0000-0000771A0000}"/>
    <cellStyle name="40% - Accent1 2 3 2 2 3 3 2 2" xfId="6780" xr:uid="{00000000-0005-0000-0000-0000781A0000}"/>
    <cellStyle name="40% - Accent1 2 3 2 2 3 3 3" xfId="6781" xr:uid="{00000000-0005-0000-0000-0000791A0000}"/>
    <cellStyle name="40% - Accent1 2 3 2 2 3 4" xfId="6782" xr:uid="{00000000-0005-0000-0000-00007A1A0000}"/>
    <cellStyle name="40% - Accent1 2 3 2 2 3 4 2" xfId="6783" xr:uid="{00000000-0005-0000-0000-00007B1A0000}"/>
    <cellStyle name="40% - Accent1 2 3 2 2 3 5" xfId="6784" xr:uid="{00000000-0005-0000-0000-00007C1A0000}"/>
    <cellStyle name="40% - Accent1 2 3 2 2 4" xfId="6785" xr:uid="{00000000-0005-0000-0000-00007D1A0000}"/>
    <cellStyle name="40% - Accent1 2 3 2 2 4 2" xfId="6786" xr:uid="{00000000-0005-0000-0000-00007E1A0000}"/>
    <cellStyle name="40% - Accent1 2 3 2 2 4 2 2" xfId="6787" xr:uid="{00000000-0005-0000-0000-00007F1A0000}"/>
    <cellStyle name="40% - Accent1 2 3 2 2 4 2 2 2" xfId="6788" xr:uid="{00000000-0005-0000-0000-0000801A0000}"/>
    <cellStyle name="40% - Accent1 2 3 2 2 4 2 3" xfId="6789" xr:uid="{00000000-0005-0000-0000-0000811A0000}"/>
    <cellStyle name="40% - Accent1 2 3 2 2 4 3" xfId="6790" xr:uid="{00000000-0005-0000-0000-0000821A0000}"/>
    <cellStyle name="40% - Accent1 2 3 2 2 4 3 2" xfId="6791" xr:uid="{00000000-0005-0000-0000-0000831A0000}"/>
    <cellStyle name="40% - Accent1 2 3 2 2 4 4" xfId="6792" xr:uid="{00000000-0005-0000-0000-0000841A0000}"/>
    <cellStyle name="40% - Accent1 2 3 2 2 5" xfId="6793" xr:uid="{00000000-0005-0000-0000-0000851A0000}"/>
    <cellStyle name="40% - Accent1 2 3 2 2 5 2" xfId="6794" xr:uid="{00000000-0005-0000-0000-0000861A0000}"/>
    <cellStyle name="40% - Accent1 2 3 2 2 5 2 2" xfId="6795" xr:uid="{00000000-0005-0000-0000-0000871A0000}"/>
    <cellStyle name="40% - Accent1 2 3 2 2 5 3" xfId="6796" xr:uid="{00000000-0005-0000-0000-0000881A0000}"/>
    <cellStyle name="40% - Accent1 2 3 2 2 6" xfId="6797" xr:uid="{00000000-0005-0000-0000-0000891A0000}"/>
    <cellStyle name="40% - Accent1 2 3 2 2 6 2" xfId="6798" xr:uid="{00000000-0005-0000-0000-00008A1A0000}"/>
    <cellStyle name="40% - Accent1 2 3 2 2 7" xfId="6799" xr:uid="{00000000-0005-0000-0000-00008B1A0000}"/>
    <cellStyle name="40% - Accent1 2 3 2 3" xfId="6800" xr:uid="{00000000-0005-0000-0000-00008C1A0000}"/>
    <cellStyle name="40% - Accent1 2 3 2 3 2" xfId="6801" xr:uid="{00000000-0005-0000-0000-00008D1A0000}"/>
    <cellStyle name="40% - Accent1 2 3 2 3 2 2" xfId="6802" xr:uid="{00000000-0005-0000-0000-00008E1A0000}"/>
    <cellStyle name="40% - Accent1 2 3 2 3 2 2 2" xfId="6803" xr:uid="{00000000-0005-0000-0000-00008F1A0000}"/>
    <cellStyle name="40% - Accent1 2 3 2 3 2 2 2 2" xfId="6804" xr:uid="{00000000-0005-0000-0000-0000901A0000}"/>
    <cellStyle name="40% - Accent1 2 3 2 3 2 2 2 2 2" xfId="6805" xr:uid="{00000000-0005-0000-0000-0000911A0000}"/>
    <cellStyle name="40% - Accent1 2 3 2 3 2 2 2 3" xfId="6806" xr:uid="{00000000-0005-0000-0000-0000921A0000}"/>
    <cellStyle name="40% - Accent1 2 3 2 3 2 2 3" xfId="6807" xr:uid="{00000000-0005-0000-0000-0000931A0000}"/>
    <cellStyle name="40% - Accent1 2 3 2 3 2 2 3 2" xfId="6808" xr:uid="{00000000-0005-0000-0000-0000941A0000}"/>
    <cellStyle name="40% - Accent1 2 3 2 3 2 2 4" xfId="6809" xr:uid="{00000000-0005-0000-0000-0000951A0000}"/>
    <cellStyle name="40% - Accent1 2 3 2 3 2 3" xfId="6810" xr:uid="{00000000-0005-0000-0000-0000961A0000}"/>
    <cellStyle name="40% - Accent1 2 3 2 3 2 3 2" xfId="6811" xr:uid="{00000000-0005-0000-0000-0000971A0000}"/>
    <cellStyle name="40% - Accent1 2 3 2 3 2 3 2 2" xfId="6812" xr:uid="{00000000-0005-0000-0000-0000981A0000}"/>
    <cellStyle name="40% - Accent1 2 3 2 3 2 3 3" xfId="6813" xr:uid="{00000000-0005-0000-0000-0000991A0000}"/>
    <cellStyle name="40% - Accent1 2 3 2 3 2 4" xfId="6814" xr:uid="{00000000-0005-0000-0000-00009A1A0000}"/>
    <cellStyle name="40% - Accent1 2 3 2 3 2 4 2" xfId="6815" xr:uid="{00000000-0005-0000-0000-00009B1A0000}"/>
    <cellStyle name="40% - Accent1 2 3 2 3 2 5" xfId="6816" xr:uid="{00000000-0005-0000-0000-00009C1A0000}"/>
    <cellStyle name="40% - Accent1 2 3 2 3 3" xfId="6817" xr:uid="{00000000-0005-0000-0000-00009D1A0000}"/>
    <cellStyle name="40% - Accent1 2 3 2 3 3 2" xfId="6818" xr:uid="{00000000-0005-0000-0000-00009E1A0000}"/>
    <cellStyle name="40% - Accent1 2 3 2 3 3 2 2" xfId="6819" xr:uid="{00000000-0005-0000-0000-00009F1A0000}"/>
    <cellStyle name="40% - Accent1 2 3 2 3 3 2 2 2" xfId="6820" xr:uid="{00000000-0005-0000-0000-0000A01A0000}"/>
    <cellStyle name="40% - Accent1 2 3 2 3 3 2 3" xfId="6821" xr:uid="{00000000-0005-0000-0000-0000A11A0000}"/>
    <cellStyle name="40% - Accent1 2 3 2 3 3 3" xfId="6822" xr:uid="{00000000-0005-0000-0000-0000A21A0000}"/>
    <cellStyle name="40% - Accent1 2 3 2 3 3 3 2" xfId="6823" xr:uid="{00000000-0005-0000-0000-0000A31A0000}"/>
    <cellStyle name="40% - Accent1 2 3 2 3 3 4" xfId="6824" xr:uid="{00000000-0005-0000-0000-0000A41A0000}"/>
    <cellStyle name="40% - Accent1 2 3 2 3 4" xfId="6825" xr:uid="{00000000-0005-0000-0000-0000A51A0000}"/>
    <cellStyle name="40% - Accent1 2 3 2 3 4 2" xfId="6826" xr:uid="{00000000-0005-0000-0000-0000A61A0000}"/>
    <cellStyle name="40% - Accent1 2 3 2 3 4 2 2" xfId="6827" xr:uid="{00000000-0005-0000-0000-0000A71A0000}"/>
    <cellStyle name="40% - Accent1 2 3 2 3 4 3" xfId="6828" xr:uid="{00000000-0005-0000-0000-0000A81A0000}"/>
    <cellStyle name="40% - Accent1 2 3 2 3 5" xfId="6829" xr:uid="{00000000-0005-0000-0000-0000A91A0000}"/>
    <cellStyle name="40% - Accent1 2 3 2 3 5 2" xfId="6830" xr:uid="{00000000-0005-0000-0000-0000AA1A0000}"/>
    <cellStyle name="40% - Accent1 2 3 2 3 6" xfId="6831" xr:uid="{00000000-0005-0000-0000-0000AB1A0000}"/>
    <cellStyle name="40% - Accent1 2 3 2 4" xfId="6832" xr:uid="{00000000-0005-0000-0000-0000AC1A0000}"/>
    <cellStyle name="40% - Accent1 2 3 2 4 2" xfId="6833" xr:uid="{00000000-0005-0000-0000-0000AD1A0000}"/>
    <cellStyle name="40% - Accent1 2 3 2 4 2 2" xfId="6834" xr:uid="{00000000-0005-0000-0000-0000AE1A0000}"/>
    <cellStyle name="40% - Accent1 2 3 2 4 2 2 2" xfId="6835" xr:uid="{00000000-0005-0000-0000-0000AF1A0000}"/>
    <cellStyle name="40% - Accent1 2 3 2 4 2 2 2 2" xfId="6836" xr:uid="{00000000-0005-0000-0000-0000B01A0000}"/>
    <cellStyle name="40% - Accent1 2 3 2 4 2 2 3" xfId="6837" xr:uid="{00000000-0005-0000-0000-0000B11A0000}"/>
    <cellStyle name="40% - Accent1 2 3 2 4 2 3" xfId="6838" xr:uid="{00000000-0005-0000-0000-0000B21A0000}"/>
    <cellStyle name="40% - Accent1 2 3 2 4 2 3 2" xfId="6839" xr:uid="{00000000-0005-0000-0000-0000B31A0000}"/>
    <cellStyle name="40% - Accent1 2 3 2 4 2 4" xfId="6840" xr:uid="{00000000-0005-0000-0000-0000B41A0000}"/>
    <cellStyle name="40% - Accent1 2 3 2 4 3" xfId="6841" xr:uid="{00000000-0005-0000-0000-0000B51A0000}"/>
    <cellStyle name="40% - Accent1 2 3 2 4 3 2" xfId="6842" xr:uid="{00000000-0005-0000-0000-0000B61A0000}"/>
    <cellStyle name="40% - Accent1 2 3 2 4 3 2 2" xfId="6843" xr:uid="{00000000-0005-0000-0000-0000B71A0000}"/>
    <cellStyle name="40% - Accent1 2 3 2 4 3 3" xfId="6844" xr:uid="{00000000-0005-0000-0000-0000B81A0000}"/>
    <cellStyle name="40% - Accent1 2 3 2 4 4" xfId="6845" xr:uid="{00000000-0005-0000-0000-0000B91A0000}"/>
    <cellStyle name="40% - Accent1 2 3 2 4 4 2" xfId="6846" xr:uid="{00000000-0005-0000-0000-0000BA1A0000}"/>
    <cellStyle name="40% - Accent1 2 3 2 4 5" xfId="6847" xr:uid="{00000000-0005-0000-0000-0000BB1A0000}"/>
    <cellStyle name="40% - Accent1 2 3 2 5" xfId="6848" xr:uid="{00000000-0005-0000-0000-0000BC1A0000}"/>
    <cellStyle name="40% - Accent1 2 3 2 5 2" xfId="6849" xr:uid="{00000000-0005-0000-0000-0000BD1A0000}"/>
    <cellStyle name="40% - Accent1 2 3 2 5 2 2" xfId="6850" xr:uid="{00000000-0005-0000-0000-0000BE1A0000}"/>
    <cellStyle name="40% - Accent1 2 3 2 5 2 2 2" xfId="6851" xr:uid="{00000000-0005-0000-0000-0000BF1A0000}"/>
    <cellStyle name="40% - Accent1 2 3 2 5 2 3" xfId="6852" xr:uid="{00000000-0005-0000-0000-0000C01A0000}"/>
    <cellStyle name="40% - Accent1 2 3 2 5 3" xfId="6853" xr:uid="{00000000-0005-0000-0000-0000C11A0000}"/>
    <cellStyle name="40% - Accent1 2 3 2 5 3 2" xfId="6854" xr:uid="{00000000-0005-0000-0000-0000C21A0000}"/>
    <cellStyle name="40% - Accent1 2 3 2 5 4" xfId="6855" xr:uid="{00000000-0005-0000-0000-0000C31A0000}"/>
    <cellStyle name="40% - Accent1 2 3 2 6" xfId="6856" xr:uid="{00000000-0005-0000-0000-0000C41A0000}"/>
    <cellStyle name="40% - Accent1 2 3 2 6 2" xfId="6857" xr:uid="{00000000-0005-0000-0000-0000C51A0000}"/>
    <cellStyle name="40% - Accent1 2 3 2 6 2 2" xfId="6858" xr:uid="{00000000-0005-0000-0000-0000C61A0000}"/>
    <cellStyle name="40% - Accent1 2 3 2 6 3" xfId="6859" xr:uid="{00000000-0005-0000-0000-0000C71A0000}"/>
    <cellStyle name="40% - Accent1 2 3 2 7" xfId="6860" xr:uid="{00000000-0005-0000-0000-0000C81A0000}"/>
    <cellStyle name="40% - Accent1 2 3 2 7 2" xfId="6861" xr:uid="{00000000-0005-0000-0000-0000C91A0000}"/>
    <cellStyle name="40% - Accent1 2 3 2 8" xfId="6862" xr:uid="{00000000-0005-0000-0000-0000CA1A0000}"/>
    <cellStyle name="40% - Accent1 2 3 3" xfId="6863" xr:uid="{00000000-0005-0000-0000-0000CB1A0000}"/>
    <cellStyle name="40% - Accent1 2 3 3 2" xfId="6864" xr:uid="{00000000-0005-0000-0000-0000CC1A0000}"/>
    <cellStyle name="40% - Accent1 2 3 3 2 2" xfId="6865" xr:uid="{00000000-0005-0000-0000-0000CD1A0000}"/>
    <cellStyle name="40% - Accent1 2 3 3 2 2 2" xfId="6866" xr:uid="{00000000-0005-0000-0000-0000CE1A0000}"/>
    <cellStyle name="40% - Accent1 2 3 3 2 2 2 2" xfId="6867" xr:uid="{00000000-0005-0000-0000-0000CF1A0000}"/>
    <cellStyle name="40% - Accent1 2 3 3 2 2 2 2 2" xfId="6868" xr:uid="{00000000-0005-0000-0000-0000D01A0000}"/>
    <cellStyle name="40% - Accent1 2 3 3 2 2 2 2 2 2" xfId="6869" xr:uid="{00000000-0005-0000-0000-0000D11A0000}"/>
    <cellStyle name="40% - Accent1 2 3 3 2 2 2 2 3" xfId="6870" xr:uid="{00000000-0005-0000-0000-0000D21A0000}"/>
    <cellStyle name="40% - Accent1 2 3 3 2 2 2 3" xfId="6871" xr:uid="{00000000-0005-0000-0000-0000D31A0000}"/>
    <cellStyle name="40% - Accent1 2 3 3 2 2 2 3 2" xfId="6872" xr:uid="{00000000-0005-0000-0000-0000D41A0000}"/>
    <cellStyle name="40% - Accent1 2 3 3 2 2 2 4" xfId="6873" xr:uid="{00000000-0005-0000-0000-0000D51A0000}"/>
    <cellStyle name="40% - Accent1 2 3 3 2 2 3" xfId="6874" xr:uid="{00000000-0005-0000-0000-0000D61A0000}"/>
    <cellStyle name="40% - Accent1 2 3 3 2 2 3 2" xfId="6875" xr:uid="{00000000-0005-0000-0000-0000D71A0000}"/>
    <cellStyle name="40% - Accent1 2 3 3 2 2 3 2 2" xfId="6876" xr:uid="{00000000-0005-0000-0000-0000D81A0000}"/>
    <cellStyle name="40% - Accent1 2 3 3 2 2 3 3" xfId="6877" xr:uid="{00000000-0005-0000-0000-0000D91A0000}"/>
    <cellStyle name="40% - Accent1 2 3 3 2 2 4" xfId="6878" xr:uid="{00000000-0005-0000-0000-0000DA1A0000}"/>
    <cellStyle name="40% - Accent1 2 3 3 2 2 4 2" xfId="6879" xr:uid="{00000000-0005-0000-0000-0000DB1A0000}"/>
    <cellStyle name="40% - Accent1 2 3 3 2 2 5" xfId="6880" xr:uid="{00000000-0005-0000-0000-0000DC1A0000}"/>
    <cellStyle name="40% - Accent1 2 3 3 2 3" xfId="6881" xr:uid="{00000000-0005-0000-0000-0000DD1A0000}"/>
    <cellStyle name="40% - Accent1 2 3 3 2 3 2" xfId="6882" xr:uid="{00000000-0005-0000-0000-0000DE1A0000}"/>
    <cellStyle name="40% - Accent1 2 3 3 2 3 2 2" xfId="6883" xr:uid="{00000000-0005-0000-0000-0000DF1A0000}"/>
    <cellStyle name="40% - Accent1 2 3 3 2 3 2 2 2" xfId="6884" xr:uid="{00000000-0005-0000-0000-0000E01A0000}"/>
    <cellStyle name="40% - Accent1 2 3 3 2 3 2 3" xfId="6885" xr:uid="{00000000-0005-0000-0000-0000E11A0000}"/>
    <cellStyle name="40% - Accent1 2 3 3 2 3 3" xfId="6886" xr:uid="{00000000-0005-0000-0000-0000E21A0000}"/>
    <cellStyle name="40% - Accent1 2 3 3 2 3 3 2" xfId="6887" xr:uid="{00000000-0005-0000-0000-0000E31A0000}"/>
    <cellStyle name="40% - Accent1 2 3 3 2 3 4" xfId="6888" xr:uid="{00000000-0005-0000-0000-0000E41A0000}"/>
    <cellStyle name="40% - Accent1 2 3 3 2 4" xfId="6889" xr:uid="{00000000-0005-0000-0000-0000E51A0000}"/>
    <cellStyle name="40% - Accent1 2 3 3 2 4 2" xfId="6890" xr:uid="{00000000-0005-0000-0000-0000E61A0000}"/>
    <cellStyle name="40% - Accent1 2 3 3 2 4 2 2" xfId="6891" xr:uid="{00000000-0005-0000-0000-0000E71A0000}"/>
    <cellStyle name="40% - Accent1 2 3 3 2 4 3" xfId="6892" xr:uid="{00000000-0005-0000-0000-0000E81A0000}"/>
    <cellStyle name="40% - Accent1 2 3 3 2 5" xfId="6893" xr:uid="{00000000-0005-0000-0000-0000E91A0000}"/>
    <cellStyle name="40% - Accent1 2 3 3 2 5 2" xfId="6894" xr:uid="{00000000-0005-0000-0000-0000EA1A0000}"/>
    <cellStyle name="40% - Accent1 2 3 3 2 6" xfId="6895" xr:uid="{00000000-0005-0000-0000-0000EB1A0000}"/>
    <cellStyle name="40% - Accent1 2 3 3 3" xfId="6896" xr:uid="{00000000-0005-0000-0000-0000EC1A0000}"/>
    <cellStyle name="40% - Accent1 2 3 3 3 2" xfId="6897" xr:uid="{00000000-0005-0000-0000-0000ED1A0000}"/>
    <cellStyle name="40% - Accent1 2 3 3 3 2 2" xfId="6898" xr:uid="{00000000-0005-0000-0000-0000EE1A0000}"/>
    <cellStyle name="40% - Accent1 2 3 3 3 2 2 2" xfId="6899" xr:uid="{00000000-0005-0000-0000-0000EF1A0000}"/>
    <cellStyle name="40% - Accent1 2 3 3 3 2 2 2 2" xfId="6900" xr:uid="{00000000-0005-0000-0000-0000F01A0000}"/>
    <cellStyle name="40% - Accent1 2 3 3 3 2 2 3" xfId="6901" xr:uid="{00000000-0005-0000-0000-0000F11A0000}"/>
    <cellStyle name="40% - Accent1 2 3 3 3 2 3" xfId="6902" xr:uid="{00000000-0005-0000-0000-0000F21A0000}"/>
    <cellStyle name="40% - Accent1 2 3 3 3 2 3 2" xfId="6903" xr:uid="{00000000-0005-0000-0000-0000F31A0000}"/>
    <cellStyle name="40% - Accent1 2 3 3 3 2 4" xfId="6904" xr:uid="{00000000-0005-0000-0000-0000F41A0000}"/>
    <cellStyle name="40% - Accent1 2 3 3 3 3" xfId="6905" xr:uid="{00000000-0005-0000-0000-0000F51A0000}"/>
    <cellStyle name="40% - Accent1 2 3 3 3 3 2" xfId="6906" xr:uid="{00000000-0005-0000-0000-0000F61A0000}"/>
    <cellStyle name="40% - Accent1 2 3 3 3 3 2 2" xfId="6907" xr:uid="{00000000-0005-0000-0000-0000F71A0000}"/>
    <cellStyle name="40% - Accent1 2 3 3 3 3 3" xfId="6908" xr:uid="{00000000-0005-0000-0000-0000F81A0000}"/>
    <cellStyle name="40% - Accent1 2 3 3 3 4" xfId="6909" xr:uid="{00000000-0005-0000-0000-0000F91A0000}"/>
    <cellStyle name="40% - Accent1 2 3 3 3 4 2" xfId="6910" xr:uid="{00000000-0005-0000-0000-0000FA1A0000}"/>
    <cellStyle name="40% - Accent1 2 3 3 3 5" xfId="6911" xr:uid="{00000000-0005-0000-0000-0000FB1A0000}"/>
    <cellStyle name="40% - Accent1 2 3 3 4" xfId="6912" xr:uid="{00000000-0005-0000-0000-0000FC1A0000}"/>
    <cellStyle name="40% - Accent1 2 3 3 4 2" xfId="6913" xr:uid="{00000000-0005-0000-0000-0000FD1A0000}"/>
    <cellStyle name="40% - Accent1 2 3 3 4 2 2" xfId="6914" xr:uid="{00000000-0005-0000-0000-0000FE1A0000}"/>
    <cellStyle name="40% - Accent1 2 3 3 4 2 2 2" xfId="6915" xr:uid="{00000000-0005-0000-0000-0000FF1A0000}"/>
    <cellStyle name="40% - Accent1 2 3 3 4 2 3" xfId="6916" xr:uid="{00000000-0005-0000-0000-0000001B0000}"/>
    <cellStyle name="40% - Accent1 2 3 3 4 3" xfId="6917" xr:uid="{00000000-0005-0000-0000-0000011B0000}"/>
    <cellStyle name="40% - Accent1 2 3 3 4 3 2" xfId="6918" xr:uid="{00000000-0005-0000-0000-0000021B0000}"/>
    <cellStyle name="40% - Accent1 2 3 3 4 4" xfId="6919" xr:uid="{00000000-0005-0000-0000-0000031B0000}"/>
    <cellStyle name="40% - Accent1 2 3 3 5" xfId="6920" xr:uid="{00000000-0005-0000-0000-0000041B0000}"/>
    <cellStyle name="40% - Accent1 2 3 3 5 2" xfId="6921" xr:uid="{00000000-0005-0000-0000-0000051B0000}"/>
    <cellStyle name="40% - Accent1 2 3 3 5 2 2" xfId="6922" xr:uid="{00000000-0005-0000-0000-0000061B0000}"/>
    <cellStyle name="40% - Accent1 2 3 3 5 3" xfId="6923" xr:uid="{00000000-0005-0000-0000-0000071B0000}"/>
    <cellStyle name="40% - Accent1 2 3 3 6" xfId="6924" xr:uid="{00000000-0005-0000-0000-0000081B0000}"/>
    <cellStyle name="40% - Accent1 2 3 3 6 2" xfId="6925" xr:uid="{00000000-0005-0000-0000-0000091B0000}"/>
    <cellStyle name="40% - Accent1 2 3 3 7" xfId="6926" xr:uid="{00000000-0005-0000-0000-00000A1B0000}"/>
    <cellStyle name="40% - Accent1 2 3 4" xfId="6927" xr:uid="{00000000-0005-0000-0000-00000B1B0000}"/>
    <cellStyle name="40% - Accent1 2 3 4 2" xfId="6928" xr:uid="{00000000-0005-0000-0000-00000C1B0000}"/>
    <cellStyle name="40% - Accent1 2 3 4 2 2" xfId="6929" xr:uid="{00000000-0005-0000-0000-00000D1B0000}"/>
    <cellStyle name="40% - Accent1 2 3 4 2 2 2" xfId="6930" xr:uid="{00000000-0005-0000-0000-00000E1B0000}"/>
    <cellStyle name="40% - Accent1 2 3 4 2 2 2 2" xfId="6931" xr:uid="{00000000-0005-0000-0000-00000F1B0000}"/>
    <cellStyle name="40% - Accent1 2 3 4 2 2 2 2 2" xfId="6932" xr:uid="{00000000-0005-0000-0000-0000101B0000}"/>
    <cellStyle name="40% - Accent1 2 3 4 2 2 2 3" xfId="6933" xr:uid="{00000000-0005-0000-0000-0000111B0000}"/>
    <cellStyle name="40% - Accent1 2 3 4 2 2 3" xfId="6934" xr:uid="{00000000-0005-0000-0000-0000121B0000}"/>
    <cellStyle name="40% - Accent1 2 3 4 2 2 3 2" xfId="6935" xr:uid="{00000000-0005-0000-0000-0000131B0000}"/>
    <cellStyle name="40% - Accent1 2 3 4 2 2 4" xfId="6936" xr:uid="{00000000-0005-0000-0000-0000141B0000}"/>
    <cellStyle name="40% - Accent1 2 3 4 2 3" xfId="6937" xr:uid="{00000000-0005-0000-0000-0000151B0000}"/>
    <cellStyle name="40% - Accent1 2 3 4 2 3 2" xfId="6938" xr:uid="{00000000-0005-0000-0000-0000161B0000}"/>
    <cellStyle name="40% - Accent1 2 3 4 2 3 2 2" xfId="6939" xr:uid="{00000000-0005-0000-0000-0000171B0000}"/>
    <cellStyle name="40% - Accent1 2 3 4 2 3 3" xfId="6940" xr:uid="{00000000-0005-0000-0000-0000181B0000}"/>
    <cellStyle name="40% - Accent1 2 3 4 2 4" xfId="6941" xr:uid="{00000000-0005-0000-0000-0000191B0000}"/>
    <cellStyle name="40% - Accent1 2 3 4 2 4 2" xfId="6942" xr:uid="{00000000-0005-0000-0000-00001A1B0000}"/>
    <cellStyle name="40% - Accent1 2 3 4 2 5" xfId="6943" xr:uid="{00000000-0005-0000-0000-00001B1B0000}"/>
    <cellStyle name="40% - Accent1 2 3 4 3" xfId="6944" xr:uid="{00000000-0005-0000-0000-00001C1B0000}"/>
    <cellStyle name="40% - Accent1 2 3 4 3 2" xfId="6945" xr:uid="{00000000-0005-0000-0000-00001D1B0000}"/>
    <cellStyle name="40% - Accent1 2 3 4 3 2 2" xfId="6946" xr:uid="{00000000-0005-0000-0000-00001E1B0000}"/>
    <cellStyle name="40% - Accent1 2 3 4 3 2 2 2" xfId="6947" xr:uid="{00000000-0005-0000-0000-00001F1B0000}"/>
    <cellStyle name="40% - Accent1 2 3 4 3 2 3" xfId="6948" xr:uid="{00000000-0005-0000-0000-0000201B0000}"/>
    <cellStyle name="40% - Accent1 2 3 4 3 3" xfId="6949" xr:uid="{00000000-0005-0000-0000-0000211B0000}"/>
    <cellStyle name="40% - Accent1 2 3 4 3 3 2" xfId="6950" xr:uid="{00000000-0005-0000-0000-0000221B0000}"/>
    <cellStyle name="40% - Accent1 2 3 4 3 4" xfId="6951" xr:uid="{00000000-0005-0000-0000-0000231B0000}"/>
    <cellStyle name="40% - Accent1 2 3 4 4" xfId="6952" xr:uid="{00000000-0005-0000-0000-0000241B0000}"/>
    <cellStyle name="40% - Accent1 2 3 4 4 2" xfId="6953" xr:uid="{00000000-0005-0000-0000-0000251B0000}"/>
    <cellStyle name="40% - Accent1 2 3 4 4 2 2" xfId="6954" xr:uid="{00000000-0005-0000-0000-0000261B0000}"/>
    <cellStyle name="40% - Accent1 2 3 4 4 3" xfId="6955" xr:uid="{00000000-0005-0000-0000-0000271B0000}"/>
    <cellStyle name="40% - Accent1 2 3 4 5" xfId="6956" xr:uid="{00000000-0005-0000-0000-0000281B0000}"/>
    <cellStyle name="40% - Accent1 2 3 4 5 2" xfId="6957" xr:uid="{00000000-0005-0000-0000-0000291B0000}"/>
    <cellStyle name="40% - Accent1 2 3 4 6" xfId="6958" xr:uid="{00000000-0005-0000-0000-00002A1B0000}"/>
    <cellStyle name="40% - Accent1 2 3 5" xfId="6959" xr:uid="{00000000-0005-0000-0000-00002B1B0000}"/>
    <cellStyle name="40% - Accent1 2 3 5 2" xfId="6960" xr:uid="{00000000-0005-0000-0000-00002C1B0000}"/>
    <cellStyle name="40% - Accent1 2 3 5 2 2" xfId="6961" xr:uid="{00000000-0005-0000-0000-00002D1B0000}"/>
    <cellStyle name="40% - Accent1 2 3 5 2 2 2" xfId="6962" xr:uid="{00000000-0005-0000-0000-00002E1B0000}"/>
    <cellStyle name="40% - Accent1 2 3 5 2 2 2 2" xfId="6963" xr:uid="{00000000-0005-0000-0000-00002F1B0000}"/>
    <cellStyle name="40% - Accent1 2 3 5 2 2 3" xfId="6964" xr:uid="{00000000-0005-0000-0000-0000301B0000}"/>
    <cellStyle name="40% - Accent1 2 3 5 2 3" xfId="6965" xr:uid="{00000000-0005-0000-0000-0000311B0000}"/>
    <cellStyle name="40% - Accent1 2 3 5 2 3 2" xfId="6966" xr:uid="{00000000-0005-0000-0000-0000321B0000}"/>
    <cellStyle name="40% - Accent1 2 3 5 2 4" xfId="6967" xr:uid="{00000000-0005-0000-0000-0000331B0000}"/>
    <cellStyle name="40% - Accent1 2 3 5 3" xfId="6968" xr:uid="{00000000-0005-0000-0000-0000341B0000}"/>
    <cellStyle name="40% - Accent1 2 3 5 3 2" xfId="6969" xr:uid="{00000000-0005-0000-0000-0000351B0000}"/>
    <cellStyle name="40% - Accent1 2 3 5 3 2 2" xfId="6970" xr:uid="{00000000-0005-0000-0000-0000361B0000}"/>
    <cellStyle name="40% - Accent1 2 3 5 3 3" xfId="6971" xr:uid="{00000000-0005-0000-0000-0000371B0000}"/>
    <cellStyle name="40% - Accent1 2 3 5 4" xfId="6972" xr:uid="{00000000-0005-0000-0000-0000381B0000}"/>
    <cellStyle name="40% - Accent1 2 3 5 4 2" xfId="6973" xr:uid="{00000000-0005-0000-0000-0000391B0000}"/>
    <cellStyle name="40% - Accent1 2 3 5 5" xfId="6974" xr:uid="{00000000-0005-0000-0000-00003A1B0000}"/>
    <cellStyle name="40% - Accent1 2 3 6" xfId="6975" xr:uid="{00000000-0005-0000-0000-00003B1B0000}"/>
    <cellStyle name="40% - Accent1 2 3 6 2" xfId="6976" xr:uid="{00000000-0005-0000-0000-00003C1B0000}"/>
    <cellStyle name="40% - Accent1 2 3 6 2 2" xfId="6977" xr:uid="{00000000-0005-0000-0000-00003D1B0000}"/>
    <cellStyle name="40% - Accent1 2 3 6 2 2 2" xfId="6978" xr:uid="{00000000-0005-0000-0000-00003E1B0000}"/>
    <cellStyle name="40% - Accent1 2 3 6 2 3" xfId="6979" xr:uid="{00000000-0005-0000-0000-00003F1B0000}"/>
    <cellStyle name="40% - Accent1 2 3 6 3" xfId="6980" xr:uid="{00000000-0005-0000-0000-0000401B0000}"/>
    <cellStyle name="40% - Accent1 2 3 6 3 2" xfId="6981" xr:uid="{00000000-0005-0000-0000-0000411B0000}"/>
    <cellStyle name="40% - Accent1 2 3 6 4" xfId="6982" xr:uid="{00000000-0005-0000-0000-0000421B0000}"/>
    <cellStyle name="40% - Accent1 2 3 7" xfId="6983" xr:uid="{00000000-0005-0000-0000-0000431B0000}"/>
    <cellStyle name="40% - Accent1 2 3 7 2" xfId="6984" xr:uid="{00000000-0005-0000-0000-0000441B0000}"/>
    <cellStyle name="40% - Accent1 2 3 7 2 2" xfId="6985" xr:uid="{00000000-0005-0000-0000-0000451B0000}"/>
    <cellStyle name="40% - Accent1 2 3 7 3" xfId="6986" xr:uid="{00000000-0005-0000-0000-0000461B0000}"/>
    <cellStyle name="40% - Accent1 2 3 8" xfId="6987" xr:uid="{00000000-0005-0000-0000-0000471B0000}"/>
    <cellStyle name="40% - Accent1 2 3 8 2" xfId="6988" xr:uid="{00000000-0005-0000-0000-0000481B0000}"/>
    <cellStyle name="40% - Accent1 2 3 9" xfId="6989" xr:uid="{00000000-0005-0000-0000-0000491B0000}"/>
    <cellStyle name="40% - Accent1 2 4" xfId="6990" xr:uid="{00000000-0005-0000-0000-00004A1B0000}"/>
    <cellStyle name="40% - Accent1 2 4 2" xfId="6991" xr:uid="{00000000-0005-0000-0000-00004B1B0000}"/>
    <cellStyle name="40% - Accent1 2 4 2 2" xfId="6992" xr:uid="{00000000-0005-0000-0000-00004C1B0000}"/>
    <cellStyle name="40% - Accent1 2 4 2 2 2" xfId="6993" xr:uid="{00000000-0005-0000-0000-00004D1B0000}"/>
    <cellStyle name="40% - Accent1 2 4 2 2 2 2" xfId="6994" xr:uid="{00000000-0005-0000-0000-00004E1B0000}"/>
    <cellStyle name="40% - Accent1 2 4 2 2 2 2 2" xfId="6995" xr:uid="{00000000-0005-0000-0000-00004F1B0000}"/>
    <cellStyle name="40% - Accent1 2 4 2 2 2 2 2 2" xfId="6996" xr:uid="{00000000-0005-0000-0000-0000501B0000}"/>
    <cellStyle name="40% - Accent1 2 4 2 2 2 2 2 2 2" xfId="6997" xr:uid="{00000000-0005-0000-0000-0000511B0000}"/>
    <cellStyle name="40% - Accent1 2 4 2 2 2 2 2 3" xfId="6998" xr:uid="{00000000-0005-0000-0000-0000521B0000}"/>
    <cellStyle name="40% - Accent1 2 4 2 2 2 2 3" xfId="6999" xr:uid="{00000000-0005-0000-0000-0000531B0000}"/>
    <cellStyle name="40% - Accent1 2 4 2 2 2 2 3 2" xfId="7000" xr:uid="{00000000-0005-0000-0000-0000541B0000}"/>
    <cellStyle name="40% - Accent1 2 4 2 2 2 2 4" xfId="7001" xr:uid="{00000000-0005-0000-0000-0000551B0000}"/>
    <cellStyle name="40% - Accent1 2 4 2 2 2 3" xfId="7002" xr:uid="{00000000-0005-0000-0000-0000561B0000}"/>
    <cellStyle name="40% - Accent1 2 4 2 2 2 3 2" xfId="7003" xr:uid="{00000000-0005-0000-0000-0000571B0000}"/>
    <cellStyle name="40% - Accent1 2 4 2 2 2 3 2 2" xfId="7004" xr:uid="{00000000-0005-0000-0000-0000581B0000}"/>
    <cellStyle name="40% - Accent1 2 4 2 2 2 3 3" xfId="7005" xr:uid="{00000000-0005-0000-0000-0000591B0000}"/>
    <cellStyle name="40% - Accent1 2 4 2 2 2 4" xfId="7006" xr:uid="{00000000-0005-0000-0000-00005A1B0000}"/>
    <cellStyle name="40% - Accent1 2 4 2 2 2 4 2" xfId="7007" xr:uid="{00000000-0005-0000-0000-00005B1B0000}"/>
    <cellStyle name="40% - Accent1 2 4 2 2 2 5" xfId="7008" xr:uid="{00000000-0005-0000-0000-00005C1B0000}"/>
    <cellStyle name="40% - Accent1 2 4 2 2 3" xfId="7009" xr:uid="{00000000-0005-0000-0000-00005D1B0000}"/>
    <cellStyle name="40% - Accent1 2 4 2 2 3 2" xfId="7010" xr:uid="{00000000-0005-0000-0000-00005E1B0000}"/>
    <cellStyle name="40% - Accent1 2 4 2 2 3 2 2" xfId="7011" xr:uid="{00000000-0005-0000-0000-00005F1B0000}"/>
    <cellStyle name="40% - Accent1 2 4 2 2 3 2 2 2" xfId="7012" xr:uid="{00000000-0005-0000-0000-0000601B0000}"/>
    <cellStyle name="40% - Accent1 2 4 2 2 3 2 3" xfId="7013" xr:uid="{00000000-0005-0000-0000-0000611B0000}"/>
    <cellStyle name="40% - Accent1 2 4 2 2 3 3" xfId="7014" xr:uid="{00000000-0005-0000-0000-0000621B0000}"/>
    <cellStyle name="40% - Accent1 2 4 2 2 3 3 2" xfId="7015" xr:uid="{00000000-0005-0000-0000-0000631B0000}"/>
    <cellStyle name="40% - Accent1 2 4 2 2 3 4" xfId="7016" xr:uid="{00000000-0005-0000-0000-0000641B0000}"/>
    <cellStyle name="40% - Accent1 2 4 2 2 4" xfId="7017" xr:uid="{00000000-0005-0000-0000-0000651B0000}"/>
    <cellStyle name="40% - Accent1 2 4 2 2 4 2" xfId="7018" xr:uid="{00000000-0005-0000-0000-0000661B0000}"/>
    <cellStyle name="40% - Accent1 2 4 2 2 4 2 2" xfId="7019" xr:uid="{00000000-0005-0000-0000-0000671B0000}"/>
    <cellStyle name="40% - Accent1 2 4 2 2 4 3" xfId="7020" xr:uid="{00000000-0005-0000-0000-0000681B0000}"/>
    <cellStyle name="40% - Accent1 2 4 2 2 5" xfId="7021" xr:uid="{00000000-0005-0000-0000-0000691B0000}"/>
    <cellStyle name="40% - Accent1 2 4 2 2 5 2" xfId="7022" xr:uid="{00000000-0005-0000-0000-00006A1B0000}"/>
    <cellStyle name="40% - Accent1 2 4 2 2 6" xfId="7023" xr:uid="{00000000-0005-0000-0000-00006B1B0000}"/>
    <cellStyle name="40% - Accent1 2 4 2 3" xfId="7024" xr:uid="{00000000-0005-0000-0000-00006C1B0000}"/>
    <cellStyle name="40% - Accent1 2 4 2 3 2" xfId="7025" xr:uid="{00000000-0005-0000-0000-00006D1B0000}"/>
    <cellStyle name="40% - Accent1 2 4 2 3 2 2" xfId="7026" xr:uid="{00000000-0005-0000-0000-00006E1B0000}"/>
    <cellStyle name="40% - Accent1 2 4 2 3 2 2 2" xfId="7027" xr:uid="{00000000-0005-0000-0000-00006F1B0000}"/>
    <cellStyle name="40% - Accent1 2 4 2 3 2 2 2 2" xfId="7028" xr:uid="{00000000-0005-0000-0000-0000701B0000}"/>
    <cellStyle name="40% - Accent1 2 4 2 3 2 2 3" xfId="7029" xr:uid="{00000000-0005-0000-0000-0000711B0000}"/>
    <cellStyle name="40% - Accent1 2 4 2 3 2 3" xfId="7030" xr:uid="{00000000-0005-0000-0000-0000721B0000}"/>
    <cellStyle name="40% - Accent1 2 4 2 3 2 3 2" xfId="7031" xr:uid="{00000000-0005-0000-0000-0000731B0000}"/>
    <cellStyle name="40% - Accent1 2 4 2 3 2 4" xfId="7032" xr:uid="{00000000-0005-0000-0000-0000741B0000}"/>
    <cellStyle name="40% - Accent1 2 4 2 3 3" xfId="7033" xr:uid="{00000000-0005-0000-0000-0000751B0000}"/>
    <cellStyle name="40% - Accent1 2 4 2 3 3 2" xfId="7034" xr:uid="{00000000-0005-0000-0000-0000761B0000}"/>
    <cellStyle name="40% - Accent1 2 4 2 3 3 2 2" xfId="7035" xr:uid="{00000000-0005-0000-0000-0000771B0000}"/>
    <cellStyle name="40% - Accent1 2 4 2 3 3 3" xfId="7036" xr:uid="{00000000-0005-0000-0000-0000781B0000}"/>
    <cellStyle name="40% - Accent1 2 4 2 3 4" xfId="7037" xr:uid="{00000000-0005-0000-0000-0000791B0000}"/>
    <cellStyle name="40% - Accent1 2 4 2 3 4 2" xfId="7038" xr:uid="{00000000-0005-0000-0000-00007A1B0000}"/>
    <cellStyle name="40% - Accent1 2 4 2 3 5" xfId="7039" xr:uid="{00000000-0005-0000-0000-00007B1B0000}"/>
    <cellStyle name="40% - Accent1 2 4 2 4" xfId="7040" xr:uid="{00000000-0005-0000-0000-00007C1B0000}"/>
    <cellStyle name="40% - Accent1 2 4 2 4 2" xfId="7041" xr:uid="{00000000-0005-0000-0000-00007D1B0000}"/>
    <cellStyle name="40% - Accent1 2 4 2 4 2 2" xfId="7042" xr:uid="{00000000-0005-0000-0000-00007E1B0000}"/>
    <cellStyle name="40% - Accent1 2 4 2 4 2 2 2" xfId="7043" xr:uid="{00000000-0005-0000-0000-00007F1B0000}"/>
    <cellStyle name="40% - Accent1 2 4 2 4 2 3" xfId="7044" xr:uid="{00000000-0005-0000-0000-0000801B0000}"/>
    <cellStyle name="40% - Accent1 2 4 2 4 3" xfId="7045" xr:uid="{00000000-0005-0000-0000-0000811B0000}"/>
    <cellStyle name="40% - Accent1 2 4 2 4 3 2" xfId="7046" xr:uid="{00000000-0005-0000-0000-0000821B0000}"/>
    <cellStyle name="40% - Accent1 2 4 2 4 4" xfId="7047" xr:uid="{00000000-0005-0000-0000-0000831B0000}"/>
    <cellStyle name="40% - Accent1 2 4 2 5" xfId="7048" xr:uid="{00000000-0005-0000-0000-0000841B0000}"/>
    <cellStyle name="40% - Accent1 2 4 2 5 2" xfId="7049" xr:uid="{00000000-0005-0000-0000-0000851B0000}"/>
    <cellStyle name="40% - Accent1 2 4 2 5 2 2" xfId="7050" xr:uid="{00000000-0005-0000-0000-0000861B0000}"/>
    <cellStyle name="40% - Accent1 2 4 2 5 3" xfId="7051" xr:uid="{00000000-0005-0000-0000-0000871B0000}"/>
    <cellStyle name="40% - Accent1 2 4 2 6" xfId="7052" xr:uid="{00000000-0005-0000-0000-0000881B0000}"/>
    <cellStyle name="40% - Accent1 2 4 2 6 2" xfId="7053" xr:uid="{00000000-0005-0000-0000-0000891B0000}"/>
    <cellStyle name="40% - Accent1 2 4 2 7" xfId="7054" xr:uid="{00000000-0005-0000-0000-00008A1B0000}"/>
    <cellStyle name="40% - Accent1 2 4 3" xfId="7055" xr:uid="{00000000-0005-0000-0000-00008B1B0000}"/>
    <cellStyle name="40% - Accent1 2 4 3 2" xfId="7056" xr:uid="{00000000-0005-0000-0000-00008C1B0000}"/>
    <cellStyle name="40% - Accent1 2 4 3 2 2" xfId="7057" xr:uid="{00000000-0005-0000-0000-00008D1B0000}"/>
    <cellStyle name="40% - Accent1 2 4 3 2 2 2" xfId="7058" xr:uid="{00000000-0005-0000-0000-00008E1B0000}"/>
    <cellStyle name="40% - Accent1 2 4 3 2 2 2 2" xfId="7059" xr:uid="{00000000-0005-0000-0000-00008F1B0000}"/>
    <cellStyle name="40% - Accent1 2 4 3 2 2 2 2 2" xfId="7060" xr:uid="{00000000-0005-0000-0000-0000901B0000}"/>
    <cellStyle name="40% - Accent1 2 4 3 2 2 2 3" xfId="7061" xr:uid="{00000000-0005-0000-0000-0000911B0000}"/>
    <cellStyle name="40% - Accent1 2 4 3 2 2 3" xfId="7062" xr:uid="{00000000-0005-0000-0000-0000921B0000}"/>
    <cellStyle name="40% - Accent1 2 4 3 2 2 3 2" xfId="7063" xr:uid="{00000000-0005-0000-0000-0000931B0000}"/>
    <cellStyle name="40% - Accent1 2 4 3 2 2 4" xfId="7064" xr:uid="{00000000-0005-0000-0000-0000941B0000}"/>
    <cellStyle name="40% - Accent1 2 4 3 2 3" xfId="7065" xr:uid="{00000000-0005-0000-0000-0000951B0000}"/>
    <cellStyle name="40% - Accent1 2 4 3 2 3 2" xfId="7066" xr:uid="{00000000-0005-0000-0000-0000961B0000}"/>
    <cellStyle name="40% - Accent1 2 4 3 2 3 2 2" xfId="7067" xr:uid="{00000000-0005-0000-0000-0000971B0000}"/>
    <cellStyle name="40% - Accent1 2 4 3 2 3 3" xfId="7068" xr:uid="{00000000-0005-0000-0000-0000981B0000}"/>
    <cellStyle name="40% - Accent1 2 4 3 2 4" xfId="7069" xr:uid="{00000000-0005-0000-0000-0000991B0000}"/>
    <cellStyle name="40% - Accent1 2 4 3 2 4 2" xfId="7070" xr:uid="{00000000-0005-0000-0000-00009A1B0000}"/>
    <cellStyle name="40% - Accent1 2 4 3 2 5" xfId="7071" xr:uid="{00000000-0005-0000-0000-00009B1B0000}"/>
    <cellStyle name="40% - Accent1 2 4 3 3" xfId="7072" xr:uid="{00000000-0005-0000-0000-00009C1B0000}"/>
    <cellStyle name="40% - Accent1 2 4 3 3 2" xfId="7073" xr:uid="{00000000-0005-0000-0000-00009D1B0000}"/>
    <cellStyle name="40% - Accent1 2 4 3 3 2 2" xfId="7074" xr:uid="{00000000-0005-0000-0000-00009E1B0000}"/>
    <cellStyle name="40% - Accent1 2 4 3 3 2 2 2" xfId="7075" xr:uid="{00000000-0005-0000-0000-00009F1B0000}"/>
    <cellStyle name="40% - Accent1 2 4 3 3 2 3" xfId="7076" xr:uid="{00000000-0005-0000-0000-0000A01B0000}"/>
    <cellStyle name="40% - Accent1 2 4 3 3 3" xfId="7077" xr:uid="{00000000-0005-0000-0000-0000A11B0000}"/>
    <cellStyle name="40% - Accent1 2 4 3 3 3 2" xfId="7078" xr:uid="{00000000-0005-0000-0000-0000A21B0000}"/>
    <cellStyle name="40% - Accent1 2 4 3 3 4" xfId="7079" xr:uid="{00000000-0005-0000-0000-0000A31B0000}"/>
    <cellStyle name="40% - Accent1 2 4 3 4" xfId="7080" xr:uid="{00000000-0005-0000-0000-0000A41B0000}"/>
    <cellStyle name="40% - Accent1 2 4 3 4 2" xfId="7081" xr:uid="{00000000-0005-0000-0000-0000A51B0000}"/>
    <cellStyle name="40% - Accent1 2 4 3 4 2 2" xfId="7082" xr:uid="{00000000-0005-0000-0000-0000A61B0000}"/>
    <cellStyle name="40% - Accent1 2 4 3 4 3" xfId="7083" xr:uid="{00000000-0005-0000-0000-0000A71B0000}"/>
    <cellStyle name="40% - Accent1 2 4 3 5" xfId="7084" xr:uid="{00000000-0005-0000-0000-0000A81B0000}"/>
    <cellStyle name="40% - Accent1 2 4 3 5 2" xfId="7085" xr:uid="{00000000-0005-0000-0000-0000A91B0000}"/>
    <cellStyle name="40% - Accent1 2 4 3 6" xfId="7086" xr:uid="{00000000-0005-0000-0000-0000AA1B0000}"/>
    <cellStyle name="40% - Accent1 2 4 4" xfId="7087" xr:uid="{00000000-0005-0000-0000-0000AB1B0000}"/>
    <cellStyle name="40% - Accent1 2 4 4 2" xfId="7088" xr:uid="{00000000-0005-0000-0000-0000AC1B0000}"/>
    <cellStyle name="40% - Accent1 2 4 4 2 2" xfId="7089" xr:uid="{00000000-0005-0000-0000-0000AD1B0000}"/>
    <cellStyle name="40% - Accent1 2 4 4 2 2 2" xfId="7090" xr:uid="{00000000-0005-0000-0000-0000AE1B0000}"/>
    <cellStyle name="40% - Accent1 2 4 4 2 2 2 2" xfId="7091" xr:uid="{00000000-0005-0000-0000-0000AF1B0000}"/>
    <cellStyle name="40% - Accent1 2 4 4 2 2 3" xfId="7092" xr:uid="{00000000-0005-0000-0000-0000B01B0000}"/>
    <cellStyle name="40% - Accent1 2 4 4 2 3" xfId="7093" xr:uid="{00000000-0005-0000-0000-0000B11B0000}"/>
    <cellStyle name="40% - Accent1 2 4 4 2 3 2" xfId="7094" xr:uid="{00000000-0005-0000-0000-0000B21B0000}"/>
    <cellStyle name="40% - Accent1 2 4 4 2 4" xfId="7095" xr:uid="{00000000-0005-0000-0000-0000B31B0000}"/>
    <cellStyle name="40% - Accent1 2 4 4 3" xfId="7096" xr:uid="{00000000-0005-0000-0000-0000B41B0000}"/>
    <cellStyle name="40% - Accent1 2 4 4 3 2" xfId="7097" xr:uid="{00000000-0005-0000-0000-0000B51B0000}"/>
    <cellStyle name="40% - Accent1 2 4 4 3 2 2" xfId="7098" xr:uid="{00000000-0005-0000-0000-0000B61B0000}"/>
    <cellStyle name="40% - Accent1 2 4 4 3 3" xfId="7099" xr:uid="{00000000-0005-0000-0000-0000B71B0000}"/>
    <cellStyle name="40% - Accent1 2 4 4 4" xfId="7100" xr:uid="{00000000-0005-0000-0000-0000B81B0000}"/>
    <cellStyle name="40% - Accent1 2 4 4 4 2" xfId="7101" xr:uid="{00000000-0005-0000-0000-0000B91B0000}"/>
    <cellStyle name="40% - Accent1 2 4 4 5" xfId="7102" xr:uid="{00000000-0005-0000-0000-0000BA1B0000}"/>
    <cellStyle name="40% - Accent1 2 4 5" xfId="7103" xr:uid="{00000000-0005-0000-0000-0000BB1B0000}"/>
    <cellStyle name="40% - Accent1 2 4 5 2" xfId="7104" xr:uid="{00000000-0005-0000-0000-0000BC1B0000}"/>
    <cellStyle name="40% - Accent1 2 4 5 2 2" xfId="7105" xr:uid="{00000000-0005-0000-0000-0000BD1B0000}"/>
    <cellStyle name="40% - Accent1 2 4 5 2 2 2" xfId="7106" xr:uid="{00000000-0005-0000-0000-0000BE1B0000}"/>
    <cellStyle name="40% - Accent1 2 4 5 2 3" xfId="7107" xr:uid="{00000000-0005-0000-0000-0000BF1B0000}"/>
    <cellStyle name="40% - Accent1 2 4 5 3" xfId="7108" xr:uid="{00000000-0005-0000-0000-0000C01B0000}"/>
    <cellStyle name="40% - Accent1 2 4 5 3 2" xfId="7109" xr:uid="{00000000-0005-0000-0000-0000C11B0000}"/>
    <cellStyle name="40% - Accent1 2 4 5 4" xfId="7110" xr:uid="{00000000-0005-0000-0000-0000C21B0000}"/>
    <cellStyle name="40% - Accent1 2 4 6" xfId="7111" xr:uid="{00000000-0005-0000-0000-0000C31B0000}"/>
    <cellStyle name="40% - Accent1 2 4 6 2" xfId="7112" xr:uid="{00000000-0005-0000-0000-0000C41B0000}"/>
    <cellStyle name="40% - Accent1 2 4 6 2 2" xfId="7113" xr:uid="{00000000-0005-0000-0000-0000C51B0000}"/>
    <cellStyle name="40% - Accent1 2 4 6 3" xfId="7114" xr:uid="{00000000-0005-0000-0000-0000C61B0000}"/>
    <cellStyle name="40% - Accent1 2 4 7" xfId="7115" xr:uid="{00000000-0005-0000-0000-0000C71B0000}"/>
    <cellStyle name="40% - Accent1 2 4 7 2" xfId="7116" xr:uid="{00000000-0005-0000-0000-0000C81B0000}"/>
    <cellStyle name="40% - Accent1 2 4 8" xfId="7117" xr:uid="{00000000-0005-0000-0000-0000C91B0000}"/>
    <cellStyle name="40% - Accent1 2 5" xfId="7118" xr:uid="{00000000-0005-0000-0000-0000CA1B0000}"/>
    <cellStyle name="40% - Accent1 2 5 2" xfId="7119" xr:uid="{00000000-0005-0000-0000-0000CB1B0000}"/>
    <cellStyle name="40% - Accent1 2 5 2 2" xfId="7120" xr:uid="{00000000-0005-0000-0000-0000CC1B0000}"/>
    <cellStyle name="40% - Accent1 2 5 2 2 2" xfId="7121" xr:uid="{00000000-0005-0000-0000-0000CD1B0000}"/>
    <cellStyle name="40% - Accent1 2 5 2 2 2 2" xfId="7122" xr:uid="{00000000-0005-0000-0000-0000CE1B0000}"/>
    <cellStyle name="40% - Accent1 2 5 2 2 2 2 2" xfId="7123" xr:uid="{00000000-0005-0000-0000-0000CF1B0000}"/>
    <cellStyle name="40% - Accent1 2 5 2 2 2 2 2 2" xfId="7124" xr:uid="{00000000-0005-0000-0000-0000D01B0000}"/>
    <cellStyle name="40% - Accent1 2 5 2 2 2 2 3" xfId="7125" xr:uid="{00000000-0005-0000-0000-0000D11B0000}"/>
    <cellStyle name="40% - Accent1 2 5 2 2 2 3" xfId="7126" xr:uid="{00000000-0005-0000-0000-0000D21B0000}"/>
    <cellStyle name="40% - Accent1 2 5 2 2 2 3 2" xfId="7127" xr:uid="{00000000-0005-0000-0000-0000D31B0000}"/>
    <cellStyle name="40% - Accent1 2 5 2 2 2 4" xfId="7128" xr:uid="{00000000-0005-0000-0000-0000D41B0000}"/>
    <cellStyle name="40% - Accent1 2 5 2 2 3" xfId="7129" xr:uid="{00000000-0005-0000-0000-0000D51B0000}"/>
    <cellStyle name="40% - Accent1 2 5 2 2 3 2" xfId="7130" xr:uid="{00000000-0005-0000-0000-0000D61B0000}"/>
    <cellStyle name="40% - Accent1 2 5 2 2 3 2 2" xfId="7131" xr:uid="{00000000-0005-0000-0000-0000D71B0000}"/>
    <cellStyle name="40% - Accent1 2 5 2 2 3 3" xfId="7132" xr:uid="{00000000-0005-0000-0000-0000D81B0000}"/>
    <cellStyle name="40% - Accent1 2 5 2 2 4" xfId="7133" xr:uid="{00000000-0005-0000-0000-0000D91B0000}"/>
    <cellStyle name="40% - Accent1 2 5 2 2 4 2" xfId="7134" xr:uid="{00000000-0005-0000-0000-0000DA1B0000}"/>
    <cellStyle name="40% - Accent1 2 5 2 2 5" xfId="7135" xr:uid="{00000000-0005-0000-0000-0000DB1B0000}"/>
    <cellStyle name="40% - Accent1 2 5 2 3" xfId="7136" xr:uid="{00000000-0005-0000-0000-0000DC1B0000}"/>
    <cellStyle name="40% - Accent1 2 5 2 3 2" xfId="7137" xr:uid="{00000000-0005-0000-0000-0000DD1B0000}"/>
    <cellStyle name="40% - Accent1 2 5 2 3 2 2" xfId="7138" xr:uid="{00000000-0005-0000-0000-0000DE1B0000}"/>
    <cellStyle name="40% - Accent1 2 5 2 3 2 2 2" xfId="7139" xr:uid="{00000000-0005-0000-0000-0000DF1B0000}"/>
    <cellStyle name="40% - Accent1 2 5 2 3 2 3" xfId="7140" xr:uid="{00000000-0005-0000-0000-0000E01B0000}"/>
    <cellStyle name="40% - Accent1 2 5 2 3 3" xfId="7141" xr:uid="{00000000-0005-0000-0000-0000E11B0000}"/>
    <cellStyle name="40% - Accent1 2 5 2 3 3 2" xfId="7142" xr:uid="{00000000-0005-0000-0000-0000E21B0000}"/>
    <cellStyle name="40% - Accent1 2 5 2 3 4" xfId="7143" xr:uid="{00000000-0005-0000-0000-0000E31B0000}"/>
    <cellStyle name="40% - Accent1 2 5 2 4" xfId="7144" xr:uid="{00000000-0005-0000-0000-0000E41B0000}"/>
    <cellStyle name="40% - Accent1 2 5 2 4 2" xfId="7145" xr:uid="{00000000-0005-0000-0000-0000E51B0000}"/>
    <cellStyle name="40% - Accent1 2 5 2 4 2 2" xfId="7146" xr:uid="{00000000-0005-0000-0000-0000E61B0000}"/>
    <cellStyle name="40% - Accent1 2 5 2 4 3" xfId="7147" xr:uid="{00000000-0005-0000-0000-0000E71B0000}"/>
    <cellStyle name="40% - Accent1 2 5 2 5" xfId="7148" xr:uid="{00000000-0005-0000-0000-0000E81B0000}"/>
    <cellStyle name="40% - Accent1 2 5 2 5 2" xfId="7149" xr:uid="{00000000-0005-0000-0000-0000E91B0000}"/>
    <cellStyle name="40% - Accent1 2 5 2 6" xfId="7150" xr:uid="{00000000-0005-0000-0000-0000EA1B0000}"/>
    <cellStyle name="40% - Accent1 2 5 3" xfId="7151" xr:uid="{00000000-0005-0000-0000-0000EB1B0000}"/>
    <cellStyle name="40% - Accent1 2 5 3 2" xfId="7152" xr:uid="{00000000-0005-0000-0000-0000EC1B0000}"/>
    <cellStyle name="40% - Accent1 2 5 3 2 2" xfId="7153" xr:uid="{00000000-0005-0000-0000-0000ED1B0000}"/>
    <cellStyle name="40% - Accent1 2 5 3 2 2 2" xfId="7154" xr:uid="{00000000-0005-0000-0000-0000EE1B0000}"/>
    <cellStyle name="40% - Accent1 2 5 3 2 2 2 2" xfId="7155" xr:uid="{00000000-0005-0000-0000-0000EF1B0000}"/>
    <cellStyle name="40% - Accent1 2 5 3 2 2 3" xfId="7156" xr:uid="{00000000-0005-0000-0000-0000F01B0000}"/>
    <cellStyle name="40% - Accent1 2 5 3 2 3" xfId="7157" xr:uid="{00000000-0005-0000-0000-0000F11B0000}"/>
    <cellStyle name="40% - Accent1 2 5 3 2 3 2" xfId="7158" xr:uid="{00000000-0005-0000-0000-0000F21B0000}"/>
    <cellStyle name="40% - Accent1 2 5 3 2 4" xfId="7159" xr:uid="{00000000-0005-0000-0000-0000F31B0000}"/>
    <cellStyle name="40% - Accent1 2 5 3 3" xfId="7160" xr:uid="{00000000-0005-0000-0000-0000F41B0000}"/>
    <cellStyle name="40% - Accent1 2 5 3 3 2" xfId="7161" xr:uid="{00000000-0005-0000-0000-0000F51B0000}"/>
    <cellStyle name="40% - Accent1 2 5 3 3 2 2" xfId="7162" xr:uid="{00000000-0005-0000-0000-0000F61B0000}"/>
    <cellStyle name="40% - Accent1 2 5 3 3 3" xfId="7163" xr:uid="{00000000-0005-0000-0000-0000F71B0000}"/>
    <cellStyle name="40% - Accent1 2 5 3 4" xfId="7164" xr:uid="{00000000-0005-0000-0000-0000F81B0000}"/>
    <cellStyle name="40% - Accent1 2 5 3 4 2" xfId="7165" xr:uid="{00000000-0005-0000-0000-0000F91B0000}"/>
    <cellStyle name="40% - Accent1 2 5 3 5" xfId="7166" xr:uid="{00000000-0005-0000-0000-0000FA1B0000}"/>
    <cellStyle name="40% - Accent1 2 5 4" xfId="7167" xr:uid="{00000000-0005-0000-0000-0000FB1B0000}"/>
    <cellStyle name="40% - Accent1 2 5 4 2" xfId="7168" xr:uid="{00000000-0005-0000-0000-0000FC1B0000}"/>
    <cellStyle name="40% - Accent1 2 5 4 2 2" xfId="7169" xr:uid="{00000000-0005-0000-0000-0000FD1B0000}"/>
    <cellStyle name="40% - Accent1 2 5 4 2 2 2" xfId="7170" xr:uid="{00000000-0005-0000-0000-0000FE1B0000}"/>
    <cellStyle name="40% - Accent1 2 5 4 2 3" xfId="7171" xr:uid="{00000000-0005-0000-0000-0000FF1B0000}"/>
    <cellStyle name="40% - Accent1 2 5 4 3" xfId="7172" xr:uid="{00000000-0005-0000-0000-0000001C0000}"/>
    <cellStyle name="40% - Accent1 2 5 4 3 2" xfId="7173" xr:uid="{00000000-0005-0000-0000-0000011C0000}"/>
    <cellStyle name="40% - Accent1 2 5 4 4" xfId="7174" xr:uid="{00000000-0005-0000-0000-0000021C0000}"/>
    <cellStyle name="40% - Accent1 2 5 5" xfId="7175" xr:uid="{00000000-0005-0000-0000-0000031C0000}"/>
    <cellStyle name="40% - Accent1 2 5 5 2" xfId="7176" xr:uid="{00000000-0005-0000-0000-0000041C0000}"/>
    <cellStyle name="40% - Accent1 2 5 5 2 2" xfId="7177" xr:uid="{00000000-0005-0000-0000-0000051C0000}"/>
    <cellStyle name="40% - Accent1 2 5 5 3" xfId="7178" xr:uid="{00000000-0005-0000-0000-0000061C0000}"/>
    <cellStyle name="40% - Accent1 2 5 6" xfId="7179" xr:uid="{00000000-0005-0000-0000-0000071C0000}"/>
    <cellStyle name="40% - Accent1 2 5 6 2" xfId="7180" xr:uid="{00000000-0005-0000-0000-0000081C0000}"/>
    <cellStyle name="40% - Accent1 2 5 7" xfId="7181" xr:uid="{00000000-0005-0000-0000-0000091C0000}"/>
    <cellStyle name="40% - Accent1 2 6" xfId="7182" xr:uid="{00000000-0005-0000-0000-00000A1C0000}"/>
    <cellStyle name="40% - Accent1 2 6 2" xfId="7183" xr:uid="{00000000-0005-0000-0000-00000B1C0000}"/>
    <cellStyle name="40% - Accent1 2 6 2 2" xfId="7184" xr:uid="{00000000-0005-0000-0000-00000C1C0000}"/>
    <cellStyle name="40% - Accent1 2 6 2 2 2" xfId="7185" xr:uid="{00000000-0005-0000-0000-00000D1C0000}"/>
    <cellStyle name="40% - Accent1 2 6 2 2 2 2" xfId="7186" xr:uid="{00000000-0005-0000-0000-00000E1C0000}"/>
    <cellStyle name="40% - Accent1 2 6 2 2 2 2 2" xfId="7187" xr:uid="{00000000-0005-0000-0000-00000F1C0000}"/>
    <cellStyle name="40% - Accent1 2 6 2 2 2 3" xfId="7188" xr:uid="{00000000-0005-0000-0000-0000101C0000}"/>
    <cellStyle name="40% - Accent1 2 6 2 2 3" xfId="7189" xr:uid="{00000000-0005-0000-0000-0000111C0000}"/>
    <cellStyle name="40% - Accent1 2 6 2 2 3 2" xfId="7190" xr:uid="{00000000-0005-0000-0000-0000121C0000}"/>
    <cellStyle name="40% - Accent1 2 6 2 2 4" xfId="7191" xr:uid="{00000000-0005-0000-0000-0000131C0000}"/>
    <cellStyle name="40% - Accent1 2 6 2 3" xfId="7192" xr:uid="{00000000-0005-0000-0000-0000141C0000}"/>
    <cellStyle name="40% - Accent1 2 6 2 3 2" xfId="7193" xr:uid="{00000000-0005-0000-0000-0000151C0000}"/>
    <cellStyle name="40% - Accent1 2 6 2 3 2 2" xfId="7194" xr:uid="{00000000-0005-0000-0000-0000161C0000}"/>
    <cellStyle name="40% - Accent1 2 6 2 3 3" xfId="7195" xr:uid="{00000000-0005-0000-0000-0000171C0000}"/>
    <cellStyle name="40% - Accent1 2 6 2 4" xfId="7196" xr:uid="{00000000-0005-0000-0000-0000181C0000}"/>
    <cellStyle name="40% - Accent1 2 6 2 4 2" xfId="7197" xr:uid="{00000000-0005-0000-0000-0000191C0000}"/>
    <cellStyle name="40% - Accent1 2 6 2 5" xfId="7198" xr:uid="{00000000-0005-0000-0000-00001A1C0000}"/>
    <cellStyle name="40% - Accent1 2 6 3" xfId="7199" xr:uid="{00000000-0005-0000-0000-00001B1C0000}"/>
    <cellStyle name="40% - Accent1 2 6 3 2" xfId="7200" xr:uid="{00000000-0005-0000-0000-00001C1C0000}"/>
    <cellStyle name="40% - Accent1 2 6 3 2 2" xfId="7201" xr:uid="{00000000-0005-0000-0000-00001D1C0000}"/>
    <cellStyle name="40% - Accent1 2 6 3 2 2 2" xfId="7202" xr:uid="{00000000-0005-0000-0000-00001E1C0000}"/>
    <cellStyle name="40% - Accent1 2 6 3 2 3" xfId="7203" xr:uid="{00000000-0005-0000-0000-00001F1C0000}"/>
    <cellStyle name="40% - Accent1 2 6 3 3" xfId="7204" xr:uid="{00000000-0005-0000-0000-0000201C0000}"/>
    <cellStyle name="40% - Accent1 2 6 3 3 2" xfId="7205" xr:uid="{00000000-0005-0000-0000-0000211C0000}"/>
    <cellStyle name="40% - Accent1 2 6 3 4" xfId="7206" xr:uid="{00000000-0005-0000-0000-0000221C0000}"/>
    <cellStyle name="40% - Accent1 2 6 4" xfId="7207" xr:uid="{00000000-0005-0000-0000-0000231C0000}"/>
    <cellStyle name="40% - Accent1 2 6 4 2" xfId="7208" xr:uid="{00000000-0005-0000-0000-0000241C0000}"/>
    <cellStyle name="40% - Accent1 2 6 4 2 2" xfId="7209" xr:uid="{00000000-0005-0000-0000-0000251C0000}"/>
    <cellStyle name="40% - Accent1 2 6 4 3" xfId="7210" xr:uid="{00000000-0005-0000-0000-0000261C0000}"/>
    <cellStyle name="40% - Accent1 2 6 5" xfId="7211" xr:uid="{00000000-0005-0000-0000-0000271C0000}"/>
    <cellStyle name="40% - Accent1 2 6 5 2" xfId="7212" xr:uid="{00000000-0005-0000-0000-0000281C0000}"/>
    <cellStyle name="40% - Accent1 2 6 6" xfId="7213" xr:uid="{00000000-0005-0000-0000-0000291C0000}"/>
    <cellStyle name="40% - Accent1 2 7" xfId="7214" xr:uid="{00000000-0005-0000-0000-00002A1C0000}"/>
    <cellStyle name="40% - Accent1 2 7 2" xfId="7215" xr:uid="{00000000-0005-0000-0000-00002B1C0000}"/>
    <cellStyle name="40% - Accent1 2 7 2 2" xfId="7216" xr:uid="{00000000-0005-0000-0000-00002C1C0000}"/>
    <cellStyle name="40% - Accent1 2 7 2 2 2" xfId="7217" xr:uid="{00000000-0005-0000-0000-00002D1C0000}"/>
    <cellStyle name="40% - Accent1 2 7 2 2 2 2" xfId="7218" xr:uid="{00000000-0005-0000-0000-00002E1C0000}"/>
    <cellStyle name="40% - Accent1 2 7 2 2 3" xfId="7219" xr:uid="{00000000-0005-0000-0000-00002F1C0000}"/>
    <cellStyle name="40% - Accent1 2 7 2 3" xfId="7220" xr:uid="{00000000-0005-0000-0000-0000301C0000}"/>
    <cellStyle name="40% - Accent1 2 7 2 3 2" xfId="7221" xr:uid="{00000000-0005-0000-0000-0000311C0000}"/>
    <cellStyle name="40% - Accent1 2 7 2 4" xfId="7222" xr:uid="{00000000-0005-0000-0000-0000321C0000}"/>
    <cellStyle name="40% - Accent1 2 7 3" xfId="7223" xr:uid="{00000000-0005-0000-0000-0000331C0000}"/>
    <cellStyle name="40% - Accent1 2 7 3 2" xfId="7224" xr:uid="{00000000-0005-0000-0000-0000341C0000}"/>
    <cellStyle name="40% - Accent1 2 7 3 2 2" xfId="7225" xr:uid="{00000000-0005-0000-0000-0000351C0000}"/>
    <cellStyle name="40% - Accent1 2 7 3 3" xfId="7226" xr:uid="{00000000-0005-0000-0000-0000361C0000}"/>
    <cellStyle name="40% - Accent1 2 7 4" xfId="7227" xr:uid="{00000000-0005-0000-0000-0000371C0000}"/>
    <cellStyle name="40% - Accent1 2 7 4 2" xfId="7228" xr:uid="{00000000-0005-0000-0000-0000381C0000}"/>
    <cellStyle name="40% - Accent1 2 7 5" xfId="7229" xr:uid="{00000000-0005-0000-0000-0000391C0000}"/>
    <cellStyle name="40% - Accent1 2 8" xfId="7230" xr:uid="{00000000-0005-0000-0000-00003A1C0000}"/>
    <cellStyle name="40% - Accent1 2 8 2" xfId="7231" xr:uid="{00000000-0005-0000-0000-00003B1C0000}"/>
    <cellStyle name="40% - Accent1 2 8 2 2" xfId="7232" xr:uid="{00000000-0005-0000-0000-00003C1C0000}"/>
    <cellStyle name="40% - Accent1 2 8 2 2 2" xfId="7233" xr:uid="{00000000-0005-0000-0000-00003D1C0000}"/>
    <cellStyle name="40% - Accent1 2 8 2 3" xfId="7234" xr:uid="{00000000-0005-0000-0000-00003E1C0000}"/>
    <cellStyle name="40% - Accent1 2 8 3" xfId="7235" xr:uid="{00000000-0005-0000-0000-00003F1C0000}"/>
    <cellStyle name="40% - Accent1 2 8 3 2" xfId="7236" xr:uid="{00000000-0005-0000-0000-0000401C0000}"/>
    <cellStyle name="40% - Accent1 2 8 4" xfId="7237" xr:uid="{00000000-0005-0000-0000-0000411C0000}"/>
    <cellStyle name="40% - Accent1 2 9" xfId="7238" xr:uid="{00000000-0005-0000-0000-0000421C0000}"/>
    <cellStyle name="40% - Accent1 2 9 2" xfId="7239" xr:uid="{00000000-0005-0000-0000-0000431C0000}"/>
    <cellStyle name="40% - Accent1 2 9 2 2" xfId="7240" xr:uid="{00000000-0005-0000-0000-0000441C0000}"/>
    <cellStyle name="40% - Accent1 2 9 3" xfId="7241" xr:uid="{00000000-0005-0000-0000-0000451C0000}"/>
    <cellStyle name="40% - Accent1 3" xfId="7242" xr:uid="{00000000-0005-0000-0000-0000461C0000}"/>
    <cellStyle name="40% - Accent1 4" xfId="7243" xr:uid="{00000000-0005-0000-0000-0000471C0000}"/>
    <cellStyle name="40% - Accent1 5" xfId="7244" xr:uid="{00000000-0005-0000-0000-0000481C0000}"/>
    <cellStyle name="40% - Accent1 6" xfId="7245" xr:uid="{00000000-0005-0000-0000-0000491C0000}"/>
    <cellStyle name="40% - Accent1 7" xfId="7246" xr:uid="{00000000-0005-0000-0000-00004A1C0000}"/>
    <cellStyle name="40% - Accent1 8" xfId="7247" xr:uid="{00000000-0005-0000-0000-00004B1C0000}"/>
    <cellStyle name="40% - Accent1 9" xfId="7248" xr:uid="{00000000-0005-0000-0000-00004C1C0000}"/>
    <cellStyle name="40% - Accent2 10" xfId="7249" xr:uid="{00000000-0005-0000-0000-00004D1C0000}"/>
    <cellStyle name="40% - Accent2 11" xfId="7250" xr:uid="{00000000-0005-0000-0000-00004E1C0000}"/>
    <cellStyle name="40% - Accent2 12" xfId="7251" xr:uid="{00000000-0005-0000-0000-00004F1C0000}"/>
    <cellStyle name="40% - Accent2 13" xfId="7252" xr:uid="{00000000-0005-0000-0000-0000501C0000}"/>
    <cellStyle name="40% - Accent2 2" xfId="7253" xr:uid="{00000000-0005-0000-0000-0000511C0000}"/>
    <cellStyle name="40% - Accent2 2 10" xfId="7254" xr:uid="{00000000-0005-0000-0000-0000521C0000}"/>
    <cellStyle name="40% - Accent2 2 10 2" xfId="7255" xr:uid="{00000000-0005-0000-0000-0000531C0000}"/>
    <cellStyle name="40% - Accent2 2 11" xfId="7256" xr:uid="{00000000-0005-0000-0000-0000541C0000}"/>
    <cellStyle name="40% - Accent2 2 2" xfId="7257" xr:uid="{00000000-0005-0000-0000-0000551C0000}"/>
    <cellStyle name="40% - Accent2 2 2 10" xfId="7258" xr:uid="{00000000-0005-0000-0000-0000561C0000}"/>
    <cellStyle name="40% - Accent2 2 2 2" xfId="7259" xr:uid="{00000000-0005-0000-0000-0000571C0000}"/>
    <cellStyle name="40% - Accent2 2 2 2 2" xfId="7260" xr:uid="{00000000-0005-0000-0000-0000581C0000}"/>
    <cellStyle name="40% - Accent2 2 2 2 2 2" xfId="7261" xr:uid="{00000000-0005-0000-0000-0000591C0000}"/>
    <cellStyle name="40% - Accent2 2 2 2 2 2 2" xfId="7262" xr:uid="{00000000-0005-0000-0000-00005A1C0000}"/>
    <cellStyle name="40% - Accent2 2 2 2 2 2 2 2" xfId="7263" xr:uid="{00000000-0005-0000-0000-00005B1C0000}"/>
    <cellStyle name="40% - Accent2 2 2 2 2 2 2 2 2" xfId="7264" xr:uid="{00000000-0005-0000-0000-00005C1C0000}"/>
    <cellStyle name="40% - Accent2 2 2 2 2 2 2 2 2 2" xfId="7265" xr:uid="{00000000-0005-0000-0000-00005D1C0000}"/>
    <cellStyle name="40% - Accent2 2 2 2 2 2 2 2 2 2 2" xfId="7266" xr:uid="{00000000-0005-0000-0000-00005E1C0000}"/>
    <cellStyle name="40% - Accent2 2 2 2 2 2 2 2 2 2 2 2" xfId="7267" xr:uid="{00000000-0005-0000-0000-00005F1C0000}"/>
    <cellStyle name="40% - Accent2 2 2 2 2 2 2 2 2 2 3" xfId="7268" xr:uid="{00000000-0005-0000-0000-0000601C0000}"/>
    <cellStyle name="40% - Accent2 2 2 2 2 2 2 2 2 3" xfId="7269" xr:uid="{00000000-0005-0000-0000-0000611C0000}"/>
    <cellStyle name="40% - Accent2 2 2 2 2 2 2 2 2 3 2" xfId="7270" xr:uid="{00000000-0005-0000-0000-0000621C0000}"/>
    <cellStyle name="40% - Accent2 2 2 2 2 2 2 2 2 4" xfId="7271" xr:uid="{00000000-0005-0000-0000-0000631C0000}"/>
    <cellStyle name="40% - Accent2 2 2 2 2 2 2 2 3" xfId="7272" xr:uid="{00000000-0005-0000-0000-0000641C0000}"/>
    <cellStyle name="40% - Accent2 2 2 2 2 2 2 2 3 2" xfId="7273" xr:uid="{00000000-0005-0000-0000-0000651C0000}"/>
    <cellStyle name="40% - Accent2 2 2 2 2 2 2 2 3 2 2" xfId="7274" xr:uid="{00000000-0005-0000-0000-0000661C0000}"/>
    <cellStyle name="40% - Accent2 2 2 2 2 2 2 2 3 3" xfId="7275" xr:uid="{00000000-0005-0000-0000-0000671C0000}"/>
    <cellStyle name="40% - Accent2 2 2 2 2 2 2 2 4" xfId="7276" xr:uid="{00000000-0005-0000-0000-0000681C0000}"/>
    <cellStyle name="40% - Accent2 2 2 2 2 2 2 2 4 2" xfId="7277" xr:uid="{00000000-0005-0000-0000-0000691C0000}"/>
    <cellStyle name="40% - Accent2 2 2 2 2 2 2 2 5" xfId="7278" xr:uid="{00000000-0005-0000-0000-00006A1C0000}"/>
    <cellStyle name="40% - Accent2 2 2 2 2 2 2 3" xfId="7279" xr:uid="{00000000-0005-0000-0000-00006B1C0000}"/>
    <cellStyle name="40% - Accent2 2 2 2 2 2 2 3 2" xfId="7280" xr:uid="{00000000-0005-0000-0000-00006C1C0000}"/>
    <cellStyle name="40% - Accent2 2 2 2 2 2 2 3 2 2" xfId="7281" xr:uid="{00000000-0005-0000-0000-00006D1C0000}"/>
    <cellStyle name="40% - Accent2 2 2 2 2 2 2 3 2 2 2" xfId="7282" xr:uid="{00000000-0005-0000-0000-00006E1C0000}"/>
    <cellStyle name="40% - Accent2 2 2 2 2 2 2 3 2 3" xfId="7283" xr:uid="{00000000-0005-0000-0000-00006F1C0000}"/>
    <cellStyle name="40% - Accent2 2 2 2 2 2 2 3 3" xfId="7284" xr:uid="{00000000-0005-0000-0000-0000701C0000}"/>
    <cellStyle name="40% - Accent2 2 2 2 2 2 2 3 3 2" xfId="7285" xr:uid="{00000000-0005-0000-0000-0000711C0000}"/>
    <cellStyle name="40% - Accent2 2 2 2 2 2 2 3 4" xfId="7286" xr:uid="{00000000-0005-0000-0000-0000721C0000}"/>
    <cellStyle name="40% - Accent2 2 2 2 2 2 2 4" xfId="7287" xr:uid="{00000000-0005-0000-0000-0000731C0000}"/>
    <cellStyle name="40% - Accent2 2 2 2 2 2 2 4 2" xfId="7288" xr:uid="{00000000-0005-0000-0000-0000741C0000}"/>
    <cellStyle name="40% - Accent2 2 2 2 2 2 2 4 2 2" xfId="7289" xr:uid="{00000000-0005-0000-0000-0000751C0000}"/>
    <cellStyle name="40% - Accent2 2 2 2 2 2 2 4 3" xfId="7290" xr:uid="{00000000-0005-0000-0000-0000761C0000}"/>
    <cellStyle name="40% - Accent2 2 2 2 2 2 2 5" xfId="7291" xr:uid="{00000000-0005-0000-0000-0000771C0000}"/>
    <cellStyle name="40% - Accent2 2 2 2 2 2 2 5 2" xfId="7292" xr:uid="{00000000-0005-0000-0000-0000781C0000}"/>
    <cellStyle name="40% - Accent2 2 2 2 2 2 2 6" xfId="7293" xr:uid="{00000000-0005-0000-0000-0000791C0000}"/>
    <cellStyle name="40% - Accent2 2 2 2 2 2 3" xfId="7294" xr:uid="{00000000-0005-0000-0000-00007A1C0000}"/>
    <cellStyle name="40% - Accent2 2 2 2 2 2 3 2" xfId="7295" xr:uid="{00000000-0005-0000-0000-00007B1C0000}"/>
    <cellStyle name="40% - Accent2 2 2 2 2 2 3 2 2" xfId="7296" xr:uid="{00000000-0005-0000-0000-00007C1C0000}"/>
    <cellStyle name="40% - Accent2 2 2 2 2 2 3 2 2 2" xfId="7297" xr:uid="{00000000-0005-0000-0000-00007D1C0000}"/>
    <cellStyle name="40% - Accent2 2 2 2 2 2 3 2 2 2 2" xfId="7298" xr:uid="{00000000-0005-0000-0000-00007E1C0000}"/>
    <cellStyle name="40% - Accent2 2 2 2 2 2 3 2 2 3" xfId="7299" xr:uid="{00000000-0005-0000-0000-00007F1C0000}"/>
    <cellStyle name="40% - Accent2 2 2 2 2 2 3 2 3" xfId="7300" xr:uid="{00000000-0005-0000-0000-0000801C0000}"/>
    <cellStyle name="40% - Accent2 2 2 2 2 2 3 2 3 2" xfId="7301" xr:uid="{00000000-0005-0000-0000-0000811C0000}"/>
    <cellStyle name="40% - Accent2 2 2 2 2 2 3 2 4" xfId="7302" xr:uid="{00000000-0005-0000-0000-0000821C0000}"/>
    <cellStyle name="40% - Accent2 2 2 2 2 2 3 3" xfId="7303" xr:uid="{00000000-0005-0000-0000-0000831C0000}"/>
    <cellStyle name="40% - Accent2 2 2 2 2 2 3 3 2" xfId="7304" xr:uid="{00000000-0005-0000-0000-0000841C0000}"/>
    <cellStyle name="40% - Accent2 2 2 2 2 2 3 3 2 2" xfId="7305" xr:uid="{00000000-0005-0000-0000-0000851C0000}"/>
    <cellStyle name="40% - Accent2 2 2 2 2 2 3 3 3" xfId="7306" xr:uid="{00000000-0005-0000-0000-0000861C0000}"/>
    <cellStyle name="40% - Accent2 2 2 2 2 2 3 4" xfId="7307" xr:uid="{00000000-0005-0000-0000-0000871C0000}"/>
    <cellStyle name="40% - Accent2 2 2 2 2 2 3 4 2" xfId="7308" xr:uid="{00000000-0005-0000-0000-0000881C0000}"/>
    <cellStyle name="40% - Accent2 2 2 2 2 2 3 5" xfId="7309" xr:uid="{00000000-0005-0000-0000-0000891C0000}"/>
    <cellStyle name="40% - Accent2 2 2 2 2 2 4" xfId="7310" xr:uid="{00000000-0005-0000-0000-00008A1C0000}"/>
    <cellStyle name="40% - Accent2 2 2 2 2 2 4 2" xfId="7311" xr:uid="{00000000-0005-0000-0000-00008B1C0000}"/>
    <cellStyle name="40% - Accent2 2 2 2 2 2 4 2 2" xfId="7312" xr:uid="{00000000-0005-0000-0000-00008C1C0000}"/>
    <cellStyle name="40% - Accent2 2 2 2 2 2 4 2 2 2" xfId="7313" xr:uid="{00000000-0005-0000-0000-00008D1C0000}"/>
    <cellStyle name="40% - Accent2 2 2 2 2 2 4 2 3" xfId="7314" xr:uid="{00000000-0005-0000-0000-00008E1C0000}"/>
    <cellStyle name="40% - Accent2 2 2 2 2 2 4 3" xfId="7315" xr:uid="{00000000-0005-0000-0000-00008F1C0000}"/>
    <cellStyle name="40% - Accent2 2 2 2 2 2 4 3 2" xfId="7316" xr:uid="{00000000-0005-0000-0000-0000901C0000}"/>
    <cellStyle name="40% - Accent2 2 2 2 2 2 4 4" xfId="7317" xr:uid="{00000000-0005-0000-0000-0000911C0000}"/>
    <cellStyle name="40% - Accent2 2 2 2 2 2 5" xfId="7318" xr:uid="{00000000-0005-0000-0000-0000921C0000}"/>
    <cellStyle name="40% - Accent2 2 2 2 2 2 5 2" xfId="7319" xr:uid="{00000000-0005-0000-0000-0000931C0000}"/>
    <cellStyle name="40% - Accent2 2 2 2 2 2 5 2 2" xfId="7320" xr:uid="{00000000-0005-0000-0000-0000941C0000}"/>
    <cellStyle name="40% - Accent2 2 2 2 2 2 5 3" xfId="7321" xr:uid="{00000000-0005-0000-0000-0000951C0000}"/>
    <cellStyle name="40% - Accent2 2 2 2 2 2 6" xfId="7322" xr:uid="{00000000-0005-0000-0000-0000961C0000}"/>
    <cellStyle name="40% - Accent2 2 2 2 2 2 6 2" xfId="7323" xr:uid="{00000000-0005-0000-0000-0000971C0000}"/>
    <cellStyle name="40% - Accent2 2 2 2 2 2 7" xfId="7324" xr:uid="{00000000-0005-0000-0000-0000981C0000}"/>
    <cellStyle name="40% - Accent2 2 2 2 2 3" xfId="7325" xr:uid="{00000000-0005-0000-0000-0000991C0000}"/>
    <cellStyle name="40% - Accent2 2 2 2 2 3 2" xfId="7326" xr:uid="{00000000-0005-0000-0000-00009A1C0000}"/>
    <cellStyle name="40% - Accent2 2 2 2 2 3 2 2" xfId="7327" xr:uid="{00000000-0005-0000-0000-00009B1C0000}"/>
    <cellStyle name="40% - Accent2 2 2 2 2 3 2 2 2" xfId="7328" xr:uid="{00000000-0005-0000-0000-00009C1C0000}"/>
    <cellStyle name="40% - Accent2 2 2 2 2 3 2 2 2 2" xfId="7329" xr:uid="{00000000-0005-0000-0000-00009D1C0000}"/>
    <cellStyle name="40% - Accent2 2 2 2 2 3 2 2 2 2 2" xfId="7330" xr:uid="{00000000-0005-0000-0000-00009E1C0000}"/>
    <cellStyle name="40% - Accent2 2 2 2 2 3 2 2 2 3" xfId="7331" xr:uid="{00000000-0005-0000-0000-00009F1C0000}"/>
    <cellStyle name="40% - Accent2 2 2 2 2 3 2 2 3" xfId="7332" xr:uid="{00000000-0005-0000-0000-0000A01C0000}"/>
    <cellStyle name="40% - Accent2 2 2 2 2 3 2 2 3 2" xfId="7333" xr:uid="{00000000-0005-0000-0000-0000A11C0000}"/>
    <cellStyle name="40% - Accent2 2 2 2 2 3 2 2 4" xfId="7334" xr:uid="{00000000-0005-0000-0000-0000A21C0000}"/>
    <cellStyle name="40% - Accent2 2 2 2 2 3 2 3" xfId="7335" xr:uid="{00000000-0005-0000-0000-0000A31C0000}"/>
    <cellStyle name="40% - Accent2 2 2 2 2 3 2 3 2" xfId="7336" xr:uid="{00000000-0005-0000-0000-0000A41C0000}"/>
    <cellStyle name="40% - Accent2 2 2 2 2 3 2 3 2 2" xfId="7337" xr:uid="{00000000-0005-0000-0000-0000A51C0000}"/>
    <cellStyle name="40% - Accent2 2 2 2 2 3 2 3 3" xfId="7338" xr:uid="{00000000-0005-0000-0000-0000A61C0000}"/>
    <cellStyle name="40% - Accent2 2 2 2 2 3 2 4" xfId="7339" xr:uid="{00000000-0005-0000-0000-0000A71C0000}"/>
    <cellStyle name="40% - Accent2 2 2 2 2 3 2 4 2" xfId="7340" xr:uid="{00000000-0005-0000-0000-0000A81C0000}"/>
    <cellStyle name="40% - Accent2 2 2 2 2 3 2 5" xfId="7341" xr:uid="{00000000-0005-0000-0000-0000A91C0000}"/>
    <cellStyle name="40% - Accent2 2 2 2 2 3 3" xfId="7342" xr:uid="{00000000-0005-0000-0000-0000AA1C0000}"/>
    <cellStyle name="40% - Accent2 2 2 2 2 3 3 2" xfId="7343" xr:uid="{00000000-0005-0000-0000-0000AB1C0000}"/>
    <cellStyle name="40% - Accent2 2 2 2 2 3 3 2 2" xfId="7344" xr:uid="{00000000-0005-0000-0000-0000AC1C0000}"/>
    <cellStyle name="40% - Accent2 2 2 2 2 3 3 2 2 2" xfId="7345" xr:uid="{00000000-0005-0000-0000-0000AD1C0000}"/>
    <cellStyle name="40% - Accent2 2 2 2 2 3 3 2 3" xfId="7346" xr:uid="{00000000-0005-0000-0000-0000AE1C0000}"/>
    <cellStyle name="40% - Accent2 2 2 2 2 3 3 3" xfId="7347" xr:uid="{00000000-0005-0000-0000-0000AF1C0000}"/>
    <cellStyle name="40% - Accent2 2 2 2 2 3 3 3 2" xfId="7348" xr:uid="{00000000-0005-0000-0000-0000B01C0000}"/>
    <cellStyle name="40% - Accent2 2 2 2 2 3 3 4" xfId="7349" xr:uid="{00000000-0005-0000-0000-0000B11C0000}"/>
    <cellStyle name="40% - Accent2 2 2 2 2 3 4" xfId="7350" xr:uid="{00000000-0005-0000-0000-0000B21C0000}"/>
    <cellStyle name="40% - Accent2 2 2 2 2 3 4 2" xfId="7351" xr:uid="{00000000-0005-0000-0000-0000B31C0000}"/>
    <cellStyle name="40% - Accent2 2 2 2 2 3 4 2 2" xfId="7352" xr:uid="{00000000-0005-0000-0000-0000B41C0000}"/>
    <cellStyle name="40% - Accent2 2 2 2 2 3 4 3" xfId="7353" xr:uid="{00000000-0005-0000-0000-0000B51C0000}"/>
    <cellStyle name="40% - Accent2 2 2 2 2 3 5" xfId="7354" xr:uid="{00000000-0005-0000-0000-0000B61C0000}"/>
    <cellStyle name="40% - Accent2 2 2 2 2 3 5 2" xfId="7355" xr:uid="{00000000-0005-0000-0000-0000B71C0000}"/>
    <cellStyle name="40% - Accent2 2 2 2 2 3 6" xfId="7356" xr:uid="{00000000-0005-0000-0000-0000B81C0000}"/>
    <cellStyle name="40% - Accent2 2 2 2 2 4" xfId="7357" xr:uid="{00000000-0005-0000-0000-0000B91C0000}"/>
    <cellStyle name="40% - Accent2 2 2 2 2 4 2" xfId="7358" xr:uid="{00000000-0005-0000-0000-0000BA1C0000}"/>
    <cellStyle name="40% - Accent2 2 2 2 2 4 2 2" xfId="7359" xr:uid="{00000000-0005-0000-0000-0000BB1C0000}"/>
    <cellStyle name="40% - Accent2 2 2 2 2 4 2 2 2" xfId="7360" xr:uid="{00000000-0005-0000-0000-0000BC1C0000}"/>
    <cellStyle name="40% - Accent2 2 2 2 2 4 2 2 2 2" xfId="7361" xr:uid="{00000000-0005-0000-0000-0000BD1C0000}"/>
    <cellStyle name="40% - Accent2 2 2 2 2 4 2 2 3" xfId="7362" xr:uid="{00000000-0005-0000-0000-0000BE1C0000}"/>
    <cellStyle name="40% - Accent2 2 2 2 2 4 2 3" xfId="7363" xr:uid="{00000000-0005-0000-0000-0000BF1C0000}"/>
    <cellStyle name="40% - Accent2 2 2 2 2 4 2 3 2" xfId="7364" xr:uid="{00000000-0005-0000-0000-0000C01C0000}"/>
    <cellStyle name="40% - Accent2 2 2 2 2 4 2 4" xfId="7365" xr:uid="{00000000-0005-0000-0000-0000C11C0000}"/>
    <cellStyle name="40% - Accent2 2 2 2 2 4 3" xfId="7366" xr:uid="{00000000-0005-0000-0000-0000C21C0000}"/>
    <cellStyle name="40% - Accent2 2 2 2 2 4 3 2" xfId="7367" xr:uid="{00000000-0005-0000-0000-0000C31C0000}"/>
    <cellStyle name="40% - Accent2 2 2 2 2 4 3 2 2" xfId="7368" xr:uid="{00000000-0005-0000-0000-0000C41C0000}"/>
    <cellStyle name="40% - Accent2 2 2 2 2 4 3 3" xfId="7369" xr:uid="{00000000-0005-0000-0000-0000C51C0000}"/>
    <cellStyle name="40% - Accent2 2 2 2 2 4 4" xfId="7370" xr:uid="{00000000-0005-0000-0000-0000C61C0000}"/>
    <cellStyle name="40% - Accent2 2 2 2 2 4 4 2" xfId="7371" xr:uid="{00000000-0005-0000-0000-0000C71C0000}"/>
    <cellStyle name="40% - Accent2 2 2 2 2 4 5" xfId="7372" xr:uid="{00000000-0005-0000-0000-0000C81C0000}"/>
    <cellStyle name="40% - Accent2 2 2 2 2 5" xfId="7373" xr:uid="{00000000-0005-0000-0000-0000C91C0000}"/>
    <cellStyle name="40% - Accent2 2 2 2 2 5 2" xfId="7374" xr:uid="{00000000-0005-0000-0000-0000CA1C0000}"/>
    <cellStyle name="40% - Accent2 2 2 2 2 5 2 2" xfId="7375" xr:uid="{00000000-0005-0000-0000-0000CB1C0000}"/>
    <cellStyle name="40% - Accent2 2 2 2 2 5 2 2 2" xfId="7376" xr:uid="{00000000-0005-0000-0000-0000CC1C0000}"/>
    <cellStyle name="40% - Accent2 2 2 2 2 5 2 3" xfId="7377" xr:uid="{00000000-0005-0000-0000-0000CD1C0000}"/>
    <cellStyle name="40% - Accent2 2 2 2 2 5 3" xfId="7378" xr:uid="{00000000-0005-0000-0000-0000CE1C0000}"/>
    <cellStyle name="40% - Accent2 2 2 2 2 5 3 2" xfId="7379" xr:uid="{00000000-0005-0000-0000-0000CF1C0000}"/>
    <cellStyle name="40% - Accent2 2 2 2 2 5 4" xfId="7380" xr:uid="{00000000-0005-0000-0000-0000D01C0000}"/>
    <cellStyle name="40% - Accent2 2 2 2 2 6" xfId="7381" xr:uid="{00000000-0005-0000-0000-0000D11C0000}"/>
    <cellStyle name="40% - Accent2 2 2 2 2 6 2" xfId="7382" xr:uid="{00000000-0005-0000-0000-0000D21C0000}"/>
    <cellStyle name="40% - Accent2 2 2 2 2 6 2 2" xfId="7383" xr:uid="{00000000-0005-0000-0000-0000D31C0000}"/>
    <cellStyle name="40% - Accent2 2 2 2 2 6 3" xfId="7384" xr:uid="{00000000-0005-0000-0000-0000D41C0000}"/>
    <cellStyle name="40% - Accent2 2 2 2 2 7" xfId="7385" xr:uid="{00000000-0005-0000-0000-0000D51C0000}"/>
    <cellStyle name="40% - Accent2 2 2 2 2 7 2" xfId="7386" xr:uid="{00000000-0005-0000-0000-0000D61C0000}"/>
    <cellStyle name="40% - Accent2 2 2 2 2 8" xfId="7387" xr:uid="{00000000-0005-0000-0000-0000D71C0000}"/>
    <cellStyle name="40% - Accent2 2 2 2 3" xfId="7388" xr:uid="{00000000-0005-0000-0000-0000D81C0000}"/>
    <cellStyle name="40% - Accent2 2 2 2 3 2" xfId="7389" xr:uid="{00000000-0005-0000-0000-0000D91C0000}"/>
    <cellStyle name="40% - Accent2 2 2 2 3 2 2" xfId="7390" xr:uid="{00000000-0005-0000-0000-0000DA1C0000}"/>
    <cellStyle name="40% - Accent2 2 2 2 3 2 2 2" xfId="7391" xr:uid="{00000000-0005-0000-0000-0000DB1C0000}"/>
    <cellStyle name="40% - Accent2 2 2 2 3 2 2 2 2" xfId="7392" xr:uid="{00000000-0005-0000-0000-0000DC1C0000}"/>
    <cellStyle name="40% - Accent2 2 2 2 3 2 2 2 2 2" xfId="7393" xr:uid="{00000000-0005-0000-0000-0000DD1C0000}"/>
    <cellStyle name="40% - Accent2 2 2 2 3 2 2 2 2 2 2" xfId="7394" xr:uid="{00000000-0005-0000-0000-0000DE1C0000}"/>
    <cellStyle name="40% - Accent2 2 2 2 3 2 2 2 2 3" xfId="7395" xr:uid="{00000000-0005-0000-0000-0000DF1C0000}"/>
    <cellStyle name="40% - Accent2 2 2 2 3 2 2 2 3" xfId="7396" xr:uid="{00000000-0005-0000-0000-0000E01C0000}"/>
    <cellStyle name="40% - Accent2 2 2 2 3 2 2 2 3 2" xfId="7397" xr:uid="{00000000-0005-0000-0000-0000E11C0000}"/>
    <cellStyle name="40% - Accent2 2 2 2 3 2 2 2 4" xfId="7398" xr:uid="{00000000-0005-0000-0000-0000E21C0000}"/>
    <cellStyle name="40% - Accent2 2 2 2 3 2 2 3" xfId="7399" xr:uid="{00000000-0005-0000-0000-0000E31C0000}"/>
    <cellStyle name="40% - Accent2 2 2 2 3 2 2 3 2" xfId="7400" xr:uid="{00000000-0005-0000-0000-0000E41C0000}"/>
    <cellStyle name="40% - Accent2 2 2 2 3 2 2 3 2 2" xfId="7401" xr:uid="{00000000-0005-0000-0000-0000E51C0000}"/>
    <cellStyle name="40% - Accent2 2 2 2 3 2 2 3 3" xfId="7402" xr:uid="{00000000-0005-0000-0000-0000E61C0000}"/>
    <cellStyle name="40% - Accent2 2 2 2 3 2 2 4" xfId="7403" xr:uid="{00000000-0005-0000-0000-0000E71C0000}"/>
    <cellStyle name="40% - Accent2 2 2 2 3 2 2 4 2" xfId="7404" xr:uid="{00000000-0005-0000-0000-0000E81C0000}"/>
    <cellStyle name="40% - Accent2 2 2 2 3 2 2 5" xfId="7405" xr:uid="{00000000-0005-0000-0000-0000E91C0000}"/>
    <cellStyle name="40% - Accent2 2 2 2 3 2 3" xfId="7406" xr:uid="{00000000-0005-0000-0000-0000EA1C0000}"/>
    <cellStyle name="40% - Accent2 2 2 2 3 2 3 2" xfId="7407" xr:uid="{00000000-0005-0000-0000-0000EB1C0000}"/>
    <cellStyle name="40% - Accent2 2 2 2 3 2 3 2 2" xfId="7408" xr:uid="{00000000-0005-0000-0000-0000EC1C0000}"/>
    <cellStyle name="40% - Accent2 2 2 2 3 2 3 2 2 2" xfId="7409" xr:uid="{00000000-0005-0000-0000-0000ED1C0000}"/>
    <cellStyle name="40% - Accent2 2 2 2 3 2 3 2 3" xfId="7410" xr:uid="{00000000-0005-0000-0000-0000EE1C0000}"/>
    <cellStyle name="40% - Accent2 2 2 2 3 2 3 3" xfId="7411" xr:uid="{00000000-0005-0000-0000-0000EF1C0000}"/>
    <cellStyle name="40% - Accent2 2 2 2 3 2 3 3 2" xfId="7412" xr:uid="{00000000-0005-0000-0000-0000F01C0000}"/>
    <cellStyle name="40% - Accent2 2 2 2 3 2 3 4" xfId="7413" xr:uid="{00000000-0005-0000-0000-0000F11C0000}"/>
    <cellStyle name="40% - Accent2 2 2 2 3 2 4" xfId="7414" xr:uid="{00000000-0005-0000-0000-0000F21C0000}"/>
    <cellStyle name="40% - Accent2 2 2 2 3 2 4 2" xfId="7415" xr:uid="{00000000-0005-0000-0000-0000F31C0000}"/>
    <cellStyle name="40% - Accent2 2 2 2 3 2 4 2 2" xfId="7416" xr:uid="{00000000-0005-0000-0000-0000F41C0000}"/>
    <cellStyle name="40% - Accent2 2 2 2 3 2 4 3" xfId="7417" xr:uid="{00000000-0005-0000-0000-0000F51C0000}"/>
    <cellStyle name="40% - Accent2 2 2 2 3 2 5" xfId="7418" xr:uid="{00000000-0005-0000-0000-0000F61C0000}"/>
    <cellStyle name="40% - Accent2 2 2 2 3 2 5 2" xfId="7419" xr:uid="{00000000-0005-0000-0000-0000F71C0000}"/>
    <cellStyle name="40% - Accent2 2 2 2 3 2 6" xfId="7420" xr:uid="{00000000-0005-0000-0000-0000F81C0000}"/>
    <cellStyle name="40% - Accent2 2 2 2 3 3" xfId="7421" xr:uid="{00000000-0005-0000-0000-0000F91C0000}"/>
    <cellStyle name="40% - Accent2 2 2 2 3 3 2" xfId="7422" xr:uid="{00000000-0005-0000-0000-0000FA1C0000}"/>
    <cellStyle name="40% - Accent2 2 2 2 3 3 2 2" xfId="7423" xr:uid="{00000000-0005-0000-0000-0000FB1C0000}"/>
    <cellStyle name="40% - Accent2 2 2 2 3 3 2 2 2" xfId="7424" xr:uid="{00000000-0005-0000-0000-0000FC1C0000}"/>
    <cellStyle name="40% - Accent2 2 2 2 3 3 2 2 2 2" xfId="7425" xr:uid="{00000000-0005-0000-0000-0000FD1C0000}"/>
    <cellStyle name="40% - Accent2 2 2 2 3 3 2 2 3" xfId="7426" xr:uid="{00000000-0005-0000-0000-0000FE1C0000}"/>
    <cellStyle name="40% - Accent2 2 2 2 3 3 2 3" xfId="7427" xr:uid="{00000000-0005-0000-0000-0000FF1C0000}"/>
    <cellStyle name="40% - Accent2 2 2 2 3 3 2 3 2" xfId="7428" xr:uid="{00000000-0005-0000-0000-0000001D0000}"/>
    <cellStyle name="40% - Accent2 2 2 2 3 3 2 4" xfId="7429" xr:uid="{00000000-0005-0000-0000-0000011D0000}"/>
    <cellStyle name="40% - Accent2 2 2 2 3 3 3" xfId="7430" xr:uid="{00000000-0005-0000-0000-0000021D0000}"/>
    <cellStyle name="40% - Accent2 2 2 2 3 3 3 2" xfId="7431" xr:uid="{00000000-0005-0000-0000-0000031D0000}"/>
    <cellStyle name="40% - Accent2 2 2 2 3 3 3 2 2" xfId="7432" xr:uid="{00000000-0005-0000-0000-0000041D0000}"/>
    <cellStyle name="40% - Accent2 2 2 2 3 3 3 3" xfId="7433" xr:uid="{00000000-0005-0000-0000-0000051D0000}"/>
    <cellStyle name="40% - Accent2 2 2 2 3 3 4" xfId="7434" xr:uid="{00000000-0005-0000-0000-0000061D0000}"/>
    <cellStyle name="40% - Accent2 2 2 2 3 3 4 2" xfId="7435" xr:uid="{00000000-0005-0000-0000-0000071D0000}"/>
    <cellStyle name="40% - Accent2 2 2 2 3 3 5" xfId="7436" xr:uid="{00000000-0005-0000-0000-0000081D0000}"/>
    <cellStyle name="40% - Accent2 2 2 2 3 4" xfId="7437" xr:uid="{00000000-0005-0000-0000-0000091D0000}"/>
    <cellStyle name="40% - Accent2 2 2 2 3 4 2" xfId="7438" xr:uid="{00000000-0005-0000-0000-00000A1D0000}"/>
    <cellStyle name="40% - Accent2 2 2 2 3 4 2 2" xfId="7439" xr:uid="{00000000-0005-0000-0000-00000B1D0000}"/>
    <cellStyle name="40% - Accent2 2 2 2 3 4 2 2 2" xfId="7440" xr:uid="{00000000-0005-0000-0000-00000C1D0000}"/>
    <cellStyle name="40% - Accent2 2 2 2 3 4 2 3" xfId="7441" xr:uid="{00000000-0005-0000-0000-00000D1D0000}"/>
    <cellStyle name="40% - Accent2 2 2 2 3 4 3" xfId="7442" xr:uid="{00000000-0005-0000-0000-00000E1D0000}"/>
    <cellStyle name="40% - Accent2 2 2 2 3 4 3 2" xfId="7443" xr:uid="{00000000-0005-0000-0000-00000F1D0000}"/>
    <cellStyle name="40% - Accent2 2 2 2 3 4 4" xfId="7444" xr:uid="{00000000-0005-0000-0000-0000101D0000}"/>
    <cellStyle name="40% - Accent2 2 2 2 3 5" xfId="7445" xr:uid="{00000000-0005-0000-0000-0000111D0000}"/>
    <cellStyle name="40% - Accent2 2 2 2 3 5 2" xfId="7446" xr:uid="{00000000-0005-0000-0000-0000121D0000}"/>
    <cellStyle name="40% - Accent2 2 2 2 3 5 2 2" xfId="7447" xr:uid="{00000000-0005-0000-0000-0000131D0000}"/>
    <cellStyle name="40% - Accent2 2 2 2 3 5 3" xfId="7448" xr:uid="{00000000-0005-0000-0000-0000141D0000}"/>
    <cellStyle name="40% - Accent2 2 2 2 3 6" xfId="7449" xr:uid="{00000000-0005-0000-0000-0000151D0000}"/>
    <cellStyle name="40% - Accent2 2 2 2 3 6 2" xfId="7450" xr:uid="{00000000-0005-0000-0000-0000161D0000}"/>
    <cellStyle name="40% - Accent2 2 2 2 3 7" xfId="7451" xr:uid="{00000000-0005-0000-0000-0000171D0000}"/>
    <cellStyle name="40% - Accent2 2 2 2 4" xfId="7452" xr:uid="{00000000-0005-0000-0000-0000181D0000}"/>
    <cellStyle name="40% - Accent2 2 2 2 4 2" xfId="7453" xr:uid="{00000000-0005-0000-0000-0000191D0000}"/>
    <cellStyle name="40% - Accent2 2 2 2 4 2 2" xfId="7454" xr:uid="{00000000-0005-0000-0000-00001A1D0000}"/>
    <cellStyle name="40% - Accent2 2 2 2 4 2 2 2" xfId="7455" xr:uid="{00000000-0005-0000-0000-00001B1D0000}"/>
    <cellStyle name="40% - Accent2 2 2 2 4 2 2 2 2" xfId="7456" xr:uid="{00000000-0005-0000-0000-00001C1D0000}"/>
    <cellStyle name="40% - Accent2 2 2 2 4 2 2 2 2 2" xfId="7457" xr:uid="{00000000-0005-0000-0000-00001D1D0000}"/>
    <cellStyle name="40% - Accent2 2 2 2 4 2 2 2 3" xfId="7458" xr:uid="{00000000-0005-0000-0000-00001E1D0000}"/>
    <cellStyle name="40% - Accent2 2 2 2 4 2 2 3" xfId="7459" xr:uid="{00000000-0005-0000-0000-00001F1D0000}"/>
    <cellStyle name="40% - Accent2 2 2 2 4 2 2 3 2" xfId="7460" xr:uid="{00000000-0005-0000-0000-0000201D0000}"/>
    <cellStyle name="40% - Accent2 2 2 2 4 2 2 4" xfId="7461" xr:uid="{00000000-0005-0000-0000-0000211D0000}"/>
    <cellStyle name="40% - Accent2 2 2 2 4 2 3" xfId="7462" xr:uid="{00000000-0005-0000-0000-0000221D0000}"/>
    <cellStyle name="40% - Accent2 2 2 2 4 2 3 2" xfId="7463" xr:uid="{00000000-0005-0000-0000-0000231D0000}"/>
    <cellStyle name="40% - Accent2 2 2 2 4 2 3 2 2" xfId="7464" xr:uid="{00000000-0005-0000-0000-0000241D0000}"/>
    <cellStyle name="40% - Accent2 2 2 2 4 2 3 3" xfId="7465" xr:uid="{00000000-0005-0000-0000-0000251D0000}"/>
    <cellStyle name="40% - Accent2 2 2 2 4 2 4" xfId="7466" xr:uid="{00000000-0005-0000-0000-0000261D0000}"/>
    <cellStyle name="40% - Accent2 2 2 2 4 2 4 2" xfId="7467" xr:uid="{00000000-0005-0000-0000-0000271D0000}"/>
    <cellStyle name="40% - Accent2 2 2 2 4 2 5" xfId="7468" xr:uid="{00000000-0005-0000-0000-0000281D0000}"/>
    <cellStyle name="40% - Accent2 2 2 2 4 3" xfId="7469" xr:uid="{00000000-0005-0000-0000-0000291D0000}"/>
    <cellStyle name="40% - Accent2 2 2 2 4 3 2" xfId="7470" xr:uid="{00000000-0005-0000-0000-00002A1D0000}"/>
    <cellStyle name="40% - Accent2 2 2 2 4 3 2 2" xfId="7471" xr:uid="{00000000-0005-0000-0000-00002B1D0000}"/>
    <cellStyle name="40% - Accent2 2 2 2 4 3 2 2 2" xfId="7472" xr:uid="{00000000-0005-0000-0000-00002C1D0000}"/>
    <cellStyle name="40% - Accent2 2 2 2 4 3 2 3" xfId="7473" xr:uid="{00000000-0005-0000-0000-00002D1D0000}"/>
    <cellStyle name="40% - Accent2 2 2 2 4 3 3" xfId="7474" xr:uid="{00000000-0005-0000-0000-00002E1D0000}"/>
    <cellStyle name="40% - Accent2 2 2 2 4 3 3 2" xfId="7475" xr:uid="{00000000-0005-0000-0000-00002F1D0000}"/>
    <cellStyle name="40% - Accent2 2 2 2 4 3 4" xfId="7476" xr:uid="{00000000-0005-0000-0000-0000301D0000}"/>
    <cellStyle name="40% - Accent2 2 2 2 4 4" xfId="7477" xr:uid="{00000000-0005-0000-0000-0000311D0000}"/>
    <cellStyle name="40% - Accent2 2 2 2 4 4 2" xfId="7478" xr:uid="{00000000-0005-0000-0000-0000321D0000}"/>
    <cellStyle name="40% - Accent2 2 2 2 4 4 2 2" xfId="7479" xr:uid="{00000000-0005-0000-0000-0000331D0000}"/>
    <cellStyle name="40% - Accent2 2 2 2 4 4 3" xfId="7480" xr:uid="{00000000-0005-0000-0000-0000341D0000}"/>
    <cellStyle name="40% - Accent2 2 2 2 4 5" xfId="7481" xr:uid="{00000000-0005-0000-0000-0000351D0000}"/>
    <cellStyle name="40% - Accent2 2 2 2 4 5 2" xfId="7482" xr:uid="{00000000-0005-0000-0000-0000361D0000}"/>
    <cellStyle name="40% - Accent2 2 2 2 4 6" xfId="7483" xr:uid="{00000000-0005-0000-0000-0000371D0000}"/>
    <cellStyle name="40% - Accent2 2 2 2 5" xfId="7484" xr:uid="{00000000-0005-0000-0000-0000381D0000}"/>
    <cellStyle name="40% - Accent2 2 2 2 5 2" xfId="7485" xr:uid="{00000000-0005-0000-0000-0000391D0000}"/>
    <cellStyle name="40% - Accent2 2 2 2 5 2 2" xfId="7486" xr:uid="{00000000-0005-0000-0000-00003A1D0000}"/>
    <cellStyle name="40% - Accent2 2 2 2 5 2 2 2" xfId="7487" xr:uid="{00000000-0005-0000-0000-00003B1D0000}"/>
    <cellStyle name="40% - Accent2 2 2 2 5 2 2 2 2" xfId="7488" xr:uid="{00000000-0005-0000-0000-00003C1D0000}"/>
    <cellStyle name="40% - Accent2 2 2 2 5 2 2 3" xfId="7489" xr:uid="{00000000-0005-0000-0000-00003D1D0000}"/>
    <cellStyle name="40% - Accent2 2 2 2 5 2 3" xfId="7490" xr:uid="{00000000-0005-0000-0000-00003E1D0000}"/>
    <cellStyle name="40% - Accent2 2 2 2 5 2 3 2" xfId="7491" xr:uid="{00000000-0005-0000-0000-00003F1D0000}"/>
    <cellStyle name="40% - Accent2 2 2 2 5 2 4" xfId="7492" xr:uid="{00000000-0005-0000-0000-0000401D0000}"/>
    <cellStyle name="40% - Accent2 2 2 2 5 3" xfId="7493" xr:uid="{00000000-0005-0000-0000-0000411D0000}"/>
    <cellStyle name="40% - Accent2 2 2 2 5 3 2" xfId="7494" xr:uid="{00000000-0005-0000-0000-0000421D0000}"/>
    <cellStyle name="40% - Accent2 2 2 2 5 3 2 2" xfId="7495" xr:uid="{00000000-0005-0000-0000-0000431D0000}"/>
    <cellStyle name="40% - Accent2 2 2 2 5 3 3" xfId="7496" xr:uid="{00000000-0005-0000-0000-0000441D0000}"/>
    <cellStyle name="40% - Accent2 2 2 2 5 4" xfId="7497" xr:uid="{00000000-0005-0000-0000-0000451D0000}"/>
    <cellStyle name="40% - Accent2 2 2 2 5 4 2" xfId="7498" xr:uid="{00000000-0005-0000-0000-0000461D0000}"/>
    <cellStyle name="40% - Accent2 2 2 2 5 5" xfId="7499" xr:uid="{00000000-0005-0000-0000-0000471D0000}"/>
    <cellStyle name="40% - Accent2 2 2 2 6" xfId="7500" xr:uid="{00000000-0005-0000-0000-0000481D0000}"/>
    <cellStyle name="40% - Accent2 2 2 2 6 2" xfId="7501" xr:uid="{00000000-0005-0000-0000-0000491D0000}"/>
    <cellStyle name="40% - Accent2 2 2 2 6 2 2" xfId="7502" xr:uid="{00000000-0005-0000-0000-00004A1D0000}"/>
    <cellStyle name="40% - Accent2 2 2 2 6 2 2 2" xfId="7503" xr:uid="{00000000-0005-0000-0000-00004B1D0000}"/>
    <cellStyle name="40% - Accent2 2 2 2 6 2 3" xfId="7504" xr:uid="{00000000-0005-0000-0000-00004C1D0000}"/>
    <cellStyle name="40% - Accent2 2 2 2 6 3" xfId="7505" xr:uid="{00000000-0005-0000-0000-00004D1D0000}"/>
    <cellStyle name="40% - Accent2 2 2 2 6 3 2" xfId="7506" xr:uid="{00000000-0005-0000-0000-00004E1D0000}"/>
    <cellStyle name="40% - Accent2 2 2 2 6 4" xfId="7507" xr:uid="{00000000-0005-0000-0000-00004F1D0000}"/>
    <cellStyle name="40% - Accent2 2 2 2 7" xfId="7508" xr:uid="{00000000-0005-0000-0000-0000501D0000}"/>
    <cellStyle name="40% - Accent2 2 2 2 7 2" xfId="7509" xr:uid="{00000000-0005-0000-0000-0000511D0000}"/>
    <cellStyle name="40% - Accent2 2 2 2 7 2 2" xfId="7510" xr:uid="{00000000-0005-0000-0000-0000521D0000}"/>
    <cellStyle name="40% - Accent2 2 2 2 7 3" xfId="7511" xr:uid="{00000000-0005-0000-0000-0000531D0000}"/>
    <cellStyle name="40% - Accent2 2 2 2 8" xfId="7512" xr:uid="{00000000-0005-0000-0000-0000541D0000}"/>
    <cellStyle name="40% - Accent2 2 2 2 8 2" xfId="7513" xr:uid="{00000000-0005-0000-0000-0000551D0000}"/>
    <cellStyle name="40% - Accent2 2 2 2 9" xfId="7514" xr:uid="{00000000-0005-0000-0000-0000561D0000}"/>
    <cellStyle name="40% - Accent2 2 2 3" xfId="7515" xr:uid="{00000000-0005-0000-0000-0000571D0000}"/>
    <cellStyle name="40% - Accent2 2 2 3 2" xfId="7516" xr:uid="{00000000-0005-0000-0000-0000581D0000}"/>
    <cellStyle name="40% - Accent2 2 2 3 2 2" xfId="7517" xr:uid="{00000000-0005-0000-0000-0000591D0000}"/>
    <cellStyle name="40% - Accent2 2 2 3 2 2 2" xfId="7518" xr:uid="{00000000-0005-0000-0000-00005A1D0000}"/>
    <cellStyle name="40% - Accent2 2 2 3 2 2 2 2" xfId="7519" xr:uid="{00000000-0005-0000-0000-00005B1D0000}"/>
    <cellStyle name="40% - Accent2 2 2 3 2 2 2 2 2" xfId="7520" xr:uid="{00000000-0005-0000-0000-00005C1D0000}"/>
    <cellStyle name="40% - Accent2 2 2 3 2 2 2 2 2 2" xfId="7521" xr:uid="{00000000-0005-0000-0000-00005D1D0000}"/>
    <cellStyle name="40% - Accent2 2 2 3 2 2 2 2 2 2 2" xfId="7522" xr:uid="{00000000-0005-0000-0000-00005E1D0000}"/>
    <cellStyle name="40% - Accent2 2 2 3 2 2 2 2 2 3" xfId="7523" xr:uid="{00000000-0005-0000-0000-00005F1D0000}"/>
    <cellStyle name="40% - Accent2 2 2 3 2 2 2 2 3" xfId="7524" xr:uid="{00000000-0005-0000-0000-0000601D0000}"/>
    <cellStyle name="40% - Accent2 2 2 3 2 2 2 2 3 2" xfId="7525" xr:uid="{00000000-0005-0000-0000-0000611D0000}"/>
    <cellStyle name="40% - Accent2 2 2 3 2 2 2 2 4" xfId="7526" xr:uid="{00000000-0005-0000-0000-0000621D0000}"/>
    <cellStyle name="40% - Accent2 2 2 3 2 2 2 3" xfId="7527" xr:uid="{00000000-0005-0000-0000-0000631D0000}"/>
    <cellStyle name="40% - Accent2 2 2 3 2 2 2 3 2" xfId="7528" xr:uid="{00000000-0005-0000-0000-0000641D0000}"/>
    <cellStyle name="40% - Accent2 2 2 3 2 2 2 3 2 2" xfId="7529" xr:uid="{00000000-0005-0000-0000-0000651D0000}"/>
    <cellStyle name="40% - Accent2 2 2 3 2 2 2 3 3" xfId="7530" xr:uid="{00000000-0005-0000-0000-0000661D0000}"/>
    <cellStyle name="40% - Accent2 2 2 3 2 2 2 4" xfId="7531" xr:uid="{00000000-0005-0000-0000-0000671D0000}"/>
    <cellStyle name="40% - Accent2 2 2 3 2 2 2 4 2" xfId="7532" xr:uid="{00000000-0005-0000-0000-0000681D0000}"/>
    <cellStyle name="40% - Accent2 2 2 3 2 2 2 5" xfId="7533" xr:uid="{00000000-0005-0000-0000-0000691D0000}"/>
    <cellStyle name="40% - Accent2 2 2 3 2 2 3" xfId="7534" xr:uid="{00000000-0005-0000-0000-00006A1D0000}"/>
    <cellStyle name="40% - Accent2 2 2 3 2 2 3 2" xfId="7535" xr:uid="{00000000-0005-0000-0000-00006B1D0000}"/>
    <cellStyle name="40% - Accent2 2 2 3 2 2 3 2 2" xfId="7536" xr:uid="{00000000-0005-0000-0000-00006C1D0000}"/>
    <cellStyle name="40% - Accent2 2 2 3 2 2 3 2 2 2" xfId="7537" xr:uid="{00000000-0005-0000-0000-00006D1D0000}"/>
    <cellStyle name="40% - Accent2 2 2 3 2 2 3 2 3" xfId="7538" xr:uid="{00000000-0005-0000-0000-00006E1D0000}"/>
    <cellStyle name="40% - Accent2 2 2 3 2 2 3 3" xfId="7539" xr:uid="{00000000-0005-0000-0000-00006F1D0000}"/>
    <cellStyle name="40% - Accent2 2 2 3 2 2 3 3 2" xfId="7540" xr:uid="{00000000-0005-0000-0000-0000701D0000}"/>
    <cellStyle name="40% - Accent2 2 2 3 2 2 3 4" xfId="7541" xr:uid="{00000000-0005-0000-0000-0000711D0000}"/>
    <cellStyle name="40% - Accent2 2 2 3 2 2 4" xfId="7542" xr:uid="{00000000-0005-0000-0000-0000721D0000}"/>
    <cellStyle name="40% - Accent2 2 2 3 2 2 4 2" xfId="7543" xr:uid="{00000000-0005-0000-0000-0000731D0000}"/>
    <cellStyle name="40% - Accent2 2 2 3 2 2 4 2 2" xfId="7544" xr:uid="{00000000-0005-0000-0000-0000741D0000}"/>
    <cellStyle name="40% - Accent2 2 2 3 2 2 4 3" xfId="7545" xr:uid="{00000000-0005-0000-0000-0000751D0000}"/>
    <cellStyle name="40% - Accent2 2 2 3 2 2 5" xfId="7546" xr:uid="{00000000-0005-0000-0000-0000761D0000}"/>
    <cellStyle name="40% - Accent2 2 2 3 2 2 5 2" xfId="7547" xr:uid="{00000000-0005-0000-0000-0000771D0000}"/>
    <cellStyle name="40% - Accent2 2 2 3 2 2 6" xfId="7548" xr:uid="{00000000-0005-0000-0000-0000781D0000}"/>
    <cellStyle name="40% - Accent2 2 2 3 2 3" xfId="7549" xr:uid="{00000000-0005-0000-0000-0000791D0000}"/>
    <cellStyle name="40% - Accent2 2 2 3 2 3 2" xfId="7550" xr:uid="{00000000-0005-0000-0000-00007A1D0000}"/>
    <cellStyle name="40% - Accent2 2 2 3 2 3 2 2" xfId="7551" xr:uid="{00000000-0005-0000-0000-00007B1D0000}"/>
    <cellStyle name="40% - Accent2 2 2 3 2 3 2 2 2" xfId="7552" xr:uid="{00000000-0005-0000-0000-00007C1D0000}"/>
    <cellStyle name="40% - Accent2 2 2 3 2 3 2 2 2 2" xfId="7553" xr:uid="{00000000-0005-0000-0000-00007D1D0000}"/>
    <cellStyle name="40% - Accent2 2 2 3 2 3 2 2 3" xfId="7554" xr:uid="{00000000-0005-0000-0000-00007E1D0000}"/>
    <cellStyle name="40% - Accent2 2 2 3 2 3 2 3" xfId="7555" xr:uid="{00000000-0005-0000-0000-00007F1D0000}"/>
    <cellStyle name="40% - Accent2 2 2 3 2 3 2 3 2" xfId="7556" xr:uid="{00000000-0005-0000-0000-0000801D0000}"/>
    <cellStyle name="40% - Accent2 2 2 3 2 3 2 4" xfId="7557" xr:uid="{00000000-0005-0000-0000-0000811D0000}"/>
    <cellStyle name="40% - Accent2 2 2 3 2 3 3" xfId="7558" xr:uid="{00000000-0005-0000-0000-0000821D0000}"/>
    <cellStyle name="40% - Accent2 2 2 3 2 3 3 2" xfId="7559" xr:uid="{00000000-0005-0000-0000-0000831D0000}"/>
    <cellStyle name="40% - Accent2 2 2 3 2 3 3 2 2" xfId="7560" xr:uid="{00000000-0005-0000-0000-0000841D0000}"/>
    <cellStyle name="40% - Accent2 2 2 3 2 3 3 3" xfId="7561" xr:uid="{00000000-0005-0000-0000-0000851D0000}"/>
    <cellStyle name="40% - Accent2 2 2 3 2 3 4" xfId="7562" xr:uid="{00000000-0005-0000-0000-0000861D0000}"/>
    <cellStyle name="40% - Accent2 2 2 3 2 3 4 2" xfId="7563" xr:uid="{00000000-0005-0000-0000-0000871D0000}"/>
    <cellStyle name="40% - Accent2 2 2 3 2 3 5" xfId="7564" xr:uid="{00000000-0005-0000-0000-0000881D0000}"/>
    <cellStyle name="40% - Accent2 2 2 3 2 4" xfId="7565" xr:uid="{00000000-0005-0000-0000-0000891D0000}"/>
    <cellStyle name="40% - Accent2 2 2 3 2 4 2" xfId="7566" xr:uid="{00000000-0005-0000-0000-00008A1D0000}"/>
    <cellStyle name="40% - Accent2 2 2 3 2 4 2 2" xfId="7567" xr:uid="{00000000-0005-0000-0000-00008B1D0000}"/>
    <cellStyle name="40% - Accent2 2 2 3 2 4 2 2 2" xfId="7568" xr:uid="{00000000-0005-0000-0000-00008C1D0000}"/>
    <cellStyle name="40% - Accent2 2 2 3 2 4 2 3" xfId="7569" xr:uid="{00000000-0005-0000-0000-00008D1D0000}"/>
    <cellStyle name="40% - Accent2 2 2 3 2 4 3" xfId="7570" xr:uid="{00000000-0005-0000-0000-00008E1D0000}"/>
    <cellStyle name="40% - Accent2 2 2 3 2 4 3 2" xfId="7571" xr:uid="{00000000-0005-0000-0000-00008F1D0000}"/>
    <cellStyle name="40% - Accent2 2 2 3 2 4 4" xfId="7572" xr:uid="{00000000-0005-0000-0000-0000901D0000}"/>
    <cellStyle name="40% - Accent2 2 2 3 2 5" xfId="7573" xr:uid="{00000000-0005-0000-0000-0000911D0000}"/>
    <cellStyle name="40% - Accent2 2 2 3 2 5 2" xfId="7574" xr:uid="{00000000-0005-0000-0000-0000921D0000}"/>
    <cellStyle name="40% - Accent2 2 2 3 2 5 2 2" xfId="7575" xr:uid="{00000000-0005-0000-0000-0000931D0000}"/>
    <cellStyle name="40% - Accent2 2 2 3 2 5 3" xfId="7576" xr:uid="{00000000-0005-0000-0000-0000941D0000}"/>
    <cellStyle name="40% - Accent2 2 2 3 2 6" xfId="7577" xr:uid="{00000000-0005-0000-0000-0000951D0000}"/>
    <cellStyle name="40% - Accent2 2 2 3 2 6 2" xfId="7578" xr:uid="{00000000-0005-0000-0000-0000961D0000}"/>
    <cellStyle name="40% - Accent2 2 2 3 2 7" xfId="7579" xr:uid="{00000000-0005-0000-0000-0000971D0000}"/>
    <cellStyle name="40% - Accent2 2 2 3 3" xfId="7580" xr:uid="{00000000-0005-0000-0000-0000981D0000}"/>
    <cellStyle name="40% - Accent2 2 2 3 3 2" xfId="7581" xr:uid="{00000000-0005-0000-0000-0000991D0000}"/>
    <cellStyle name="40% - Accent2 2 2 3 3 2 2" xfId="7582" xr:uid="{00000000-0005-0000-0000-00009A1D0000}"/>
    <cellStyle name="40% - Accent2 2 2 3 3 2 2 2" xfId="7583" xr:uid="{00000000-0005-0000-0000-00009B1D0000}"/>
    <cellStyle name="40% - Accent2 2 2 3 3 2 2 2 2" xfId="7584" xr:uid="{00000000-0005-0000-0000-00009C1D0000}"/>
    <cellStyle name="40% - Accent2 2 2 3 3 2 2 2 2 2" xfId="7585" xr:uid="{00000000-0005-0000-0000-00009D1D0000}"/>
    <cellStyle name="40% - Accent2 2 2 3 3 2 2 2 3" xfId="7586" xr:uid="{00000000-0005-0000-0000-00009E1D0000}"/>
    <cellStyle name="40% - Accent2 2 2 3 3 2 2 3" xfId="7587" xr:uid="{00000000-0005-0000-0000-00009F1D0000}"/>
    <cellStyle name="40% - Accent2 2 2 3 3 2 2 3 2" xfId="7588" xr:uid="{00000000-0005-0000-0000-0000A01D0000}"/>
    <cellStyle name="40% - Accent2 2 2 3 3 2 2 4" xfId="7589" xr:uid="{00000000-0005-0000-0000-0000A11D0000}"/>
    <cellStyle name="40% - Accent2 2 2 3 3 2 3" xfId="7590" xr:uid="{00000000-0005-0000-0000-0000A21D0000}"/>
    <cellStyle name="40% - Accent2 2 2 3 3 2 3 2" xfId="7591" xr:uid="{00000000-0005-0000-0000-0000A31D0000}"/>
    <cellStyle name="40% - Accent2 2 2 3 3 2 3 2 2" xfId="7592" xr:uid="{00000000-0005-0000-0000-0000A41D0000}"/>
    <cellStyle name="40% - Accent2 2 2 3 3 2 3 3" xfId="7593" xr:uid="{00000000-0005-0000-0000-0000A51D0000}"/>
    <cellStyle name="40% - Accent2 2 2 3 3 2 4" xfId="7594" xr:uid="{00000000-0005-0000-0000-0000A61D0000}"/>
    <cellStyle name="40% - Accent2 2 2 3 3 2 4 2" xfId="7595" xr:uid="{00000000-0005-0000-0000-0000A71D0000}"/>
    <cellStyle name="40% - Accent2 2 2 3 3 2 5" xfId="7596" xr:uid="{00000000-0005-0000-0000-0000A81D0000}"/>
    <cellStyle name="40% - Accent2 2 2 3 3 3" xfId="7597" xr:uid="{00000000-0005-0000-0000-0000A91D0000}"/>
    <cellStyle name="40% - Accent2 2 2 3 3 3 2" xfId="7598" xr:uid="{00000000-0005-0000-0000-0000AA1D0000}"/>
    <cellStyle name="40% - Accent2 2 2 3 3 3 2 2" xfId="7599" xr:uid="{00000000-0005-0000-0000-0000AB1D0000}"/>
    <cellStyle name="40% - Accent2 2 2 3 3 3 2 2 2" xfId="7600" xr:uid="{00000000-0005-0000-0000-0000AC1D0000}"/>
    <cellStyle name="40% - Accent2 2 2 3 3 3 2 3" xfId="7601" xr:uid="{00000000-0005-0000-0000-0000AD1D0000}"/>
    <cellStyle name="40% - Accent2 2 2 3 3 3 3" xfId="7602" xr:uid="{00000000-0005-0000-0000-0000AE1D0000}"/>
    <cellStyle name="40% - Accent2 2 2 3 3 3 3 2" xfId="7603" xr:uid="{00000000-0005-0000-0000-0000AF1D0000}"/>
    <cellStyle name="40% - Accent2 2 2 3 3 3 4" xfId="7604" xr:uid="{00000000-0005-0000-0000-0000B01D0000}"/>
    <cellStyle name="40% - Accent2 2 2 3 3 4" xfId="7605" xr:uid="{00000000-0005-0000-0000-0000B11D0000}"/>
    <cellStyle name="40% - Accent2 2 2 3 3 4 2" xfId="7606" xr:uid="{00000000-0005-0000-0000-0000B21D0000}"/>
    <cellStyle name="40% - Accent2 2 2 3 3 4 2 2" xfId="7607" xr:uid="{00000000-0005-0000-0000-0000B31D0000}"/>
    <cellStyle name="40% - Accent2 2 2 3 3 4 3" xfId="7608" xr:uid="{00000000-0005-0000-0000-0000B41D0000}"/>
    <cellStyle name="40% - Accent2 2 2 3 3 5" xfId="7609" xr:uid="{00000000-0005-0000-0000-0000B51D0000}"/>
    <cellStyle name="40% - Accent2 2 2 3 3 5 2" xfId="7610" xr:uid="{00000000-0005-0000-0000-0000B61D0000}"/>
    <cellStyle name="40% - Accent2 2 2 3 3 6" xfId="7611" xr:uid="{00000000-0005-0000-0000-0000B71D0000}"/>
    <cellStyle name="40% - Accent2 2 2 3 4" xfId="7612" xr:uid="{00000000-0005-0000-0000-0000B81D0000}"/>
    <cellStyle name="40% - Accent2 2 2 3 4 2" xfId="7613" xr:uid="{00000000-0005-0000-0000-0000B91D0000}"/>
    <cellStyle name="40% - Accent2 2 2 3 4 2 2" xfId="7614" xr:uid="{00000000-0005-0000-0000-0000BA1D0000}"/>
    <cellStyle name="40% - Accent2 2 2 3 4 2 2 2" xfId="7615" xr:uid="{00000000-0005-0000-0000-0000BB1D0000}"/>
    <cellStyle name="40% - Accent2 2 2 3 4 2 2 2 2" xfId="7616" xr:uid="{00000000-0005-0000-0000-0000BC1D0000}"/>
    <cellStyle name="40% - Accent2 2 2 3 4 2 2 3" xfId="7617" xr:uid="{00000000-0005-0000-0000-0000BD1D0000}"/>
    <cellStyle name="40% - Accent2 2 2 3 4 2 3" xfId="7618" xr:uid="{00000000-0005-0000-0000-0000BE1D0000}"/>
    <cellStyle name="40% - Accent2 2 2 3 4 2 3 2" xfId="7619" xr:uid="{00000000-0005-0000-0000-0000BF1D0000}"/>
    <cellStyle name="40% - Accent2 2 2 3 4 2 4" xfId="7620" xr:uid="{00000000-0005-0000-0000-0000C01D0000}"/>
    <cellStyle name="40% - Accent2 2 2 3 4 3" xfId="7621" xr:uid="{00000000-0005-0000-0000-0000C11D0000}"/>
    <cellStyle name="40% - Accent2 2 2 3 4 3 2" xfId="7622" xr:uid="{00000000-0005-0000-0000-0000C21D0000}"/>
    <cellStyle name="40% - Accent2 2 2 3 4 3 2 2" xfId="7623" xr:uid="{00000000-0005-0000-0000-0000C31D0000}"/>
    <cellStyle name="40% - Accent2 2 2 3 4 3 3" xfId="7624" xr:uid="{00000000-0005-0000-0000-0000C41D0000}"/>
    <cellStyle name="40% - Accent2 2 2 3 4 4" xfId="7625" xr:uid="{00000000-0005-0000-0000-0000C51D0000}"/>
    <cellStyle name="40% - Accent2 2 2 3 4 4 2" xfId="7626" xr:uid="{00000000-0005-0000-0000-0000C61D0000}"/>
    <cellStyle name="40% - Accent2 2 2 3 4 5" xfId="7627" xr:uid="{00000000-0005-0000-0000-0000C71D0000}"/>
    <cellStyle name="40% - Accent2 2 2 3 5" xfId="7628" xr:uid="{00000000-0005-0000-0000-0000C81D0000}"/>
    <cellStyle name="40% - Accent2 2 2 3 5 2" xfId="7629" xr:uid="{00000000-0005-0000-0000-0000C91D0000}"/>
    <cellStyle name="40% - Accent2 2 2 3 5 2 2" xfId="7630" xr:uid="{00000000-0005-0000-0000-0000CA1D0000}"/>
    <cellStyle name="40% - Accent2 2 2 3 5 2 2 2" xfId="7631" xr:uid="{00000000-0005-0000-0000-0000CB1D0000}"/>
    <cellStyle name="40% - Accent2 2 2 3 5 2 3" xfId="7632" xr:uid="{00000000-0005-0000-0000-0000CC1D0000}"/>
    <cellStyle name="40% - Accent2 2 2 3 5 3" xfId="7633" xr:uid="{00000000-0005-0000-0000-0000CD1D0000}"/>
    <cellStyle name="40% - Accent2 2 2 3 5 3 2" xfId="7634" xr:uid="{00000000-0005-0000-0000-0000CE1D0000}"/>
    <cellStyle name="40% - Accent2 2 2 3 5 4" xfId="7635" xr:uid="{00000000-0005-0000-0000-0000CF1D0000}"/>
    <cellStyle name="40% - Accent2 2 2 3 6" xfId="7636" xr:uid="{00000000-0005-0000-0000-0000D01D0000}"/>
    <cellStyle name="40% - Accent2 2 2 3 6 2" xfId="7637" xr:uid="{00000000-0005-0000-0000-0000D11D0000}"/>
    <cellStyle name="40% - Accent2 2 2 3 6 2 2" xfId="7638" xr:uid="{00000000-0005-0000-0000-0000D21D0000}"/>
    <cellStyle name="40% - Accent2 2 2 3 6 3" xfId="7639" xr:uid="{00000000-0005-0000-0000-0000D31D0000}"/>
    <cellStyle name="40% - Accent2 2 2 3 7" xfId="7640" xr:uid="{00000000-0005-0000-0000-0000D41D0000}"/>
    <cellStyle name="40% - Accent2 2 2 3 7 2" xfId="7641" xr:uid="{00000000-0005-0000-0000-0000D51D0000}"/>
    <cellStyle name="40% - Accent2 2 2 3 8" xfId="7642" xr:uid="{00000000-0005-0000-0000-0000D61D0000}"/>
    <cellStyle name="40% - Accent2 2 2 4" xfId="7643" xr:uid="{00000000-0005-0000-0000-0000D71D0000}"/>
    <cellStyle name="40% - Accent2 2 2 4 2" xfId="7644" xr:uid="{00000000-0005-0000-0000-0000D81D0000}"/>
    <cellStyle name="40% - Accent2 2 2 4 2 2" xfId="7645" xr:uid="{00000000-0005-0000-0000-0000D91D0000}"/>
    <cellStyle name="40% - Accent2 2 2 4 2 2 2" xfId="7646" xr:uid="{00000000-0005-0000-0000-0000DA1D0000}"/>
    <cellStyle name="40% - Accent2 2 2 4 2 2 2 2" xfId="7647" xr:uid="{00000000-0005-0000-0000-0000DB1D0000}"/>
    <cellStyle name="40% - Accent2 2 2 4 2 2 2 2 2" xfId="7648" xr:uid="{00000000-0005-0000-0000-0000DC1D0000}"/>
    <cellStyle name="40% - Accent2 2 2 4 2 2 2 2 2 2" xfId="7649" xr:uid="{00000000-0005-0000-0000-0000DD1D0000}"/>
    <cellStyle name="40% - Accent2 2 2 4 2 2 2 2 3" xfId="7650" xr:uid="{00000000-0005-0000-0000-0000DE1D0000}"/>
    <cellStyle name="40% - Accent2 2 2 4 2 2 2 3" xfId="7651" xr:uid="{00000000-0005-0000-0000-0000DF1D0000}"/>
    <cellStyle name="40% - Accent2 2 2 4 2 2 2 3 2" xfId="7652" xr:uid="{00000000-0005-0000-0000-0000E01D0000}"/>
    <cellStyle name="40% - Accent2 2 2 4 2 2 2 4" xfId="7653" xr:uid="{00000000-0005-0000-0000-0000E11D0000}"/>
    <cellStyle name="40% - Accent2 2 2 4 2 2 3" xfId="7654" xr:uid="{00000000-0005-0000-0000-0000E21D0000}"/>
    <cellStyle name="40% - Accent2 2 2 4 2 2 3 2" xfId="7655" xr:uid="{00000000-0005-0000-0000-0000E31D0000}"/>
    <cellStyle name="40% - Accent2 2 2 4 2 2 3 2 2" xfId="7656" xr:uid="{00000000-0005-0000-0000-0000E41D0000}"/>
    <cellStyle name="40% - Accent2 2 2 4 2 2 3 3" xfId="7657" xr:uid="{00000000-0005-0000-0000-0000E51D0000}"/>
    <cellStyle name="40% - Accent2 2 2 4 2 2 4" xfId="7658" xr:uid="{00000000-0005-0000-0000-0000E61D0000}"/>
    <cellStyle name="40% - Accent2 2 2 4 2 2 4 2" xfId="7659" xr:uid="{00000000-0005-0000-0000-0000E71D0000}"/>
    <cellStyle name="40% - Accent2 2 2 4 2 2 5" xfId="7660" xr:uid="{00000000-0005-0000-0000-0000E81D0000}"/>
    <cellStyle name="40% - Accent2 2 2 4 2 3" xfId="7661" xr:uid="{00000000-0005-0000-0000-0000E91D0000}"/>
    <cellStyle name="40% - Accent2 2 2 4 2 3 2" xfId="7662" xr:uid="{00000000-0005-0000-0000-0000EA1D0000}"/>
    <cellStyle name="40% - Accent2 2 2 4 2 3 2 2" xfId="7663" xr:uid="{00000000-0005-0000-0000-0000EB1D0000}"/>
    <cellStyle name="40% - Accent2 2 2 4 2 3 2 2 2" xfId="7664" xr:uid="{00000000-0005-0000-0000-0000EC1D0000}"/>
    <cellStyle name="40% - Accent2 2 2 4 2 3 2 3" xfId="7665" xr:uid="{00000000-0005-0000-0000-0000ED1D0000}"/>
    <cellStyle name="40% - Accent2 2 2 4 2 3 3" xfId="7666" xr:uid="{00000000-0005-0000-0000-0000EE1D0000}"/>
    <cellStyle name="40% - Accent2 2 2 4 2 3 3 2" xfId="7667" xr:uid="{00000000-0005-0000-0000-0000EF1D0000}"/>
    <cellStyle name="40% - Accent2 2 2 4 2 3 4" xfId="7668" xr:uid="{00000000-0005-0000-0000-0000F01D0000}"/>
    <cellStyle name="40% - Accent2 2 2 4 2 4" xfId="7669" xr:uid="{00000000-0005-0000-0000-0000F11D0000}"/>
    <cellStyle name="40% - Accent2 2 2 4 2 4 2" xfId="7670" xr:uid="{00000000-0005-0000-0000-0000F21D0000}"/>
    <cellStyle name="40% - Accent2 2 2 4 2 4 2 2" xfId="7671" xr:uid="{00000000-0005-0000-0000-0000F31D0000}"/>
    <cellStyle name="40% - Accent2 2 2 4 2 4 3" xfId="7672" xr:uid="{00000000-0005-0000-0000-0000F41D0000}"/>
    <cellStyle name="40% - Accent2 2 2 4 2 5" xfId="7673" xr:uid="{00000000-0005-0000-0000-0000F51D0000}"/>
    <cellStyle name="40% - Accent2 2 2 4 2 5 2" xfId="7674" xr:uid="{00000000-0005-0000-0000-0000F61D0000}"/>
    <cellStyle name="40% - Accent2 2 2 4 2 6" xfId="7675" xr:uid="{00000000-0005-0000-0000-0000F71D0000}"/>
    <cellStyle name="40% - Accent2 2 2 4 3" xfId="7676" xr:uid="{00000000-0005-0000-0000-0000F81D0000}"/>
    <cellStyle name="40% - Accent2 2 2 4 3 2" xfId="7677" xr:uid="{00000000-0005-0000-0000-0000F91D0000}"/>
    <cellStyle name="40% - Accent2 2 2 4 3 2 2" xfId="7678" xr:uid="{00000000-0005-0000-0000-0000FA1D0000}"/>
    <cellStyle name="40% - Accent2 2 2 4 3 2 2 2" xfId="7679" xr:uid="{00000000-0005-0000-0000-0000FB1D0000}"/>
    <cellStyle name="40% - Accent2 2 2 4 3 2 2 2 2" xfId="7680" xr:uid="{00000000-0005-0000-0000-0000FC1D0000}"/>
    <cellStyle name="40% - Accent2 2 2 4 3 2 2 3" xfId="7681" xr:uid="{00000000-0005-0000-0000-0000FD1D0000}"/>
    <cellStyle name="40% - Accent2 2 2 4 3 2 3" xfId="7682" xr:uid="{00000000-0005-0000-0000-0000FE1D0000}"/>
    <cellStyle name="40% - Accent2 2 2 4 3 2 3 2" xfId="7683" xr:uid="{00000000-0005-0000-0000-0000FF1D0000}"/>
    <cellStyle name="40% - Accent2 2 2 4 3 2 4" xfId="7684" xr:uid="{00000000-0005-0000-0000-0000001E0000}"/>
    <cellStyle name="40% - Accent2 2 2 4 3 3" xfId="7685" xr:uid="{00000000-0005-0000-0000-0000011E0000}"/>
    <cellStyle name="40% - Accent2 2 2 4 3 3 2" xfId="7686" xr:uid="{00000000-0005-0000-0000-0000021E0000}"/>
    <cellStyle name="40% - Accent2 2 2 4 3 3 2 2" xfId="7687" xr:uid="{00000000-0005-0000-0000-0000031E0000}"/>
    <cellStyle name="40% - Accent2 2 2 4 3 3 3" xfId="7688" xr:uid="{00000000-0005-0000-0000-0000041E0000}"/>
    <cellStyle name="40% - Accent2 2 2 4 3 4" xfId="7689" xr:uid="{00000000-0005-0000-0000-0000051E0000}"/>
    <cellStyle name="40% - Accent2 2 2 4 3 4 2" xfId="7690" xr:uid="{00000000-0005-0000-0000-0000061E0000}"/>
    <cellStyle name="40% - Accent2 2 2 4 3 5" xfId="7691" xr:uid="{00000000-0005-0000-0000-0000071E0000}"/>
    <cellStyle name="40% - Accent2 2 2 4 4" xfId="7692" xr:uid="{00000000-0005-0000-0000-0000081E0000}"/>
    <cellStyle name="40% - Accent2 2 2 4 4 2" xfId="7693" xr:uid="{00000000-0005-0000-0000-0000091E0000}"/>
    <cellStyle name="40% - Accent2 2 2 4 4 2 2" xfId="7694" xr:uid="{00000000-0005-0000-0000-00000A1E0000}"/>
    <cellStyle name="40% - Accent2 2 2 4 4 2 2 2" xfId="7695" xr:uid="{00000000-0005-0000-0000-00000B1E0000}"/>
    <cellStyle name="40% - Accent2 2 2 4 4 2 3" xfId="7696" xr:uid="{00000000-0005-0000-0000-00000C1E0000}"/>
    <cellStyle name="40% - Accent2 2 2 4 4 3" xfId="7697" xr:uid="{00000000-0005-0000-0000-00000D1E0000}"/>
    <cellStyle name="40% - Accent2 2 2 4 4 3 2" xfId="7698" xr:uid="{00000000-0005-0000-0000-00000E1E0000}"/>
    <cellStyle name="40% - Accent2 2 2 4 4 4" xfId="7699" xr:uid="{00000000-0005-0000-0000-00000F1E0000}"/>
    <cellStyle name="40% - Accent2 2 2 4 5" xfId="7700" xr:uid="{00000000-0005-0000-0000-0000101E0000}"/>
    <cellStyle name="40% - Accent2 2 2 4 5 2" xfId="7701" xr:uid="{00000000-0005-0000-0000-0000111E0000}"/>
    <cellStyle name="40% - Accent2 2 2 4 5 2 2" xfId="7702" xr:uid="{00000000-0005-0000-0000-0000121E0000}"/>
    <cellStyle name="40% - Accent2 2 2 4 5 3" xfId="7703" xr:uid="{00000000-0005-0000-0000-0000131E0000}"/>
    <cellStyle name="40% - Accent2 2 2 4 6" xfId="7704" xr:uid="{00000000-0005-0000-0000-0000141E0000}"/>
    <cellStyle name="40% - Accent2 2 2 4 6 2" xfId="7705" xr:uid="{00000000-0005-0000-0000-0000151E0000}"/>
    <cellStyle name="40% - Accent2 2 2 4 7" xfId="7706" xr:uid="{00000000-0005-0000-0000-0000161E0000}"/>
    <cellStyle name="40% - Accent2 2 2 5" xfId="7707" xr:uid="{00000000-0005-0000-0000-0000171E0000}"/>
    <cellStyle name="40% - Accent2 2 2 5 2" xfId="7708" xr:uid="{00000000-0005-0000-0000-0000181E0000}"/>
    <cellStyle name="40% - Accent2 2 2 5 2 2" xfId="7709" xr:uid="{00000000-0005-0000-0000-0000191E0000}"/>
    <cellStyle name="40% - Accent2 2 2 5 2 2 2" xfId="7710" xr:uid="{00000000-0005-0000-0000-00001A1E0000}"/>
    <cellStyle name="40% - Accent2 2 2 5 2 2 2 2" xfId="7711" xr:uid="{00000000-0005-0000-0000-00001B1E0000}"/>
    <cellStyle name="40% - Accent2 2 2 5 2 2 2 2 2" xfId="7712" xr:uid="{00000000-0005-0000-0000-00001C1E0000}"/>
    <cellStyle name="40% - Accent2 2 2 5 2 2 2 3" xfId="7713" xr:uid="{00000000-0005-0000-0000-00001D1E0000}"/>
    <cellStyle name="40% - Accent2 2 2 5 2 2 3" xfId="7714" xr:uid="{00000000-0005-0000-0000-00001E1E0000}"/>
    <cellStyle name="40% - Accent2 2 2 5 2 2 3 2" xfId="7715" xr:uid="{00000000-0005-0000-0000-00001F1E0000}"/>
    <cellStyle name="40% - Accent2 2 2 5 2 2 4" xfId="7716" xr:uid="{00000000-0005-0000-0000-0000201E0000}"/>
    <cellStyle name="40% - Accent2 2 2 5 2 3" xfId="7717" xr:uid="{00000000-0005-0000-0000-0000211E0000}"/>
    <cellStyle name="40% - Accent2 2 2 5 2 3 2" xfId="7718" xr:uid="{00000000-0005-0000-0000-0000221E0000}"/>
    <cellStyle name="40% - Accent2 2 2 5 2 3 2 2" xfId="7719" xr:uid="{00000000-0005-0000-0000-0000231E0000}"/>
    <cellStyle name="40% - Accent2 2 2 5 2 3 3" xfId="7720" xr:uid="{00000000-0005-0000-0000-0000241E0000}"/>
    <cellStyle name="40% - Accent2 2 2 5 2 4" xfId="7721" xr:uid="{00000000-0005-0000-0000-0000251E0000}"/>
    <cellStyle name="40% - Accent2 2 2 5 2 4 2" xfId="7722" xr:uid="{00000000-0005-0000-0000-0000261E0000}"/>
    <cellStyle name="40% - Accent2 2 2 5 2 5" xfId="7723" xr:uid="{00000000-0005-0000-0000-0000271E0000}"/>
    <cellStyle name="40% - Accent2 2 2 5 3" xfId="7724" xr:uid="{00000000-0005-0000-0000-0000281E0000}"/>
    <cellStyle name="40% - Accent2 2 2 5 3 2" xfId="7725" xr:uid="{00000000-0005-0000-0000-0000291E0000}"/>
    <cellStyle name="40% - Accent2 2 2 5 3 2 2" xfId="7726" xr:uid="{00000000-0005-0000-0000-00002A1E0000}"/>
    <cellStyle name="40% - Accent2 2 2 5 3 2 2 2" xfId="7727" xr:uid="{00000000-0005-0000-0000-00002B1E0000}"/>
    <cellStyle name="40% - Accent2 2 2 5 3 2 3" xfId="7728" xr:uid="{00000000-0005-0000-0000-00002C1E0000}"/>
    <cellStyle name="40% - Accent2 2 2 5 3 3" xfId="7729" xr:uid="{00000000-0005-0000-0000-00002D1E0000}"/>
    <cellStyle name="40% - Accent2 2 2 5 3 3 2" xfId="7730" xr:uid="{00000000-0005-0000-0000-00002E1E0000}"/>
    <cellStyle name="40% - Accent2 2 2 5 3 4" xfId="7731" xr:uid="{00000000-0005-0000-0000-00002F1E0000}"/>
    <cellStyle name="40% - Accent2 2 2 5 4" xfId="7732" xr:uid="{00000000-0005-0000-0000-0000301E0000}"/>
    <cellStyle name="40% - Accent2 2 2 5 4 2" xfId="7733" xr:uid="{00000000-0005-0000-0000-0000311E0000}"/>
    <cellStyle name="40% - Accent2 2 2 5 4 2 2" xfId="7734" xr:uid="{00000000-0005-0000-0000-0000321E0000}"/>
    <cellStyle name="40% - Accent2 2 2 5 4 3" xfId="7735" xr:uid="{00000000-0005-0000-0000-0000331E0000}"/>
    <cellStyle name="40% - Accent2 2 2 5 5" xfId="7736" xr:uid="{00000000-0005-0000-0000-0000341E0000}"/>
    <cellStyle name="40% - Accent2 2 2 5 5 2" xfId="7737" xr:uid="{00000000-0005-0000-0000-0000351E0000}"/>
    <cellStyle name="40% - Accent2 2 2 5 6" xfId="7738" xr:uid="{00000000-0005-0000-0000-0000361E0000}"/>
    <cellStyle name="40% - Accent2 2 2 6" xfId="7739" xr:uid="{00000000-0005-0000-0000-0000371E0000}"/>
    <cellStyle name="40% - Accent2 2 2 6 2" xfId="7740" xr:uid="{00000000-0005-0000-0000-0000381E0000}"/>
    <cellStyle name="40% - Accent2 2 2 6 2 2" xfId="7741" xr:uid="{00000000-0005-0000-0000-0000391E0000}"/>
    <cellStyle name="40% - Accent2 2 2 6 2 2 2" xfId="7742" xr:uid="{00000000-0005-0000-0000-00003A1E0000}"/>
    <cellStyle name="40% - Accent2 2 2 6 2 2 2 2" xfId="7743" xr:uid="{00000000-0005-0000-0000-00003B1E0000}"/>
    <cellStyle name="40% - Accent2 2 2 6 2 2 3" xfId="7744" xr:uid="{00000000-0005-0000-0000-00003C1E0000}"/>
    <cellStyle name="40% - Accent2 2 2 6 2 3" xfId="7745" xr:uid="{00000000-0005-0000-0000-00003D1E0000}"/>
    <cellStyle name="40% - Accent2 2 2 6 2 3 2" xfId="7746" xr:uid="{00000000-0005-0000-0000-00003E1E0000}"/>
    <cellStyle name="40% - Accent2 2 2 6 2 4" xfId="7747" xr:uid="{00000000-0005-0000-0000-00003F1E0000}"/>
    <cellStyle name="40% - Accent2 2 2 6 3" xfId="7748" xr:uid="{00000000-0005-0000-0000-0000401E0000}"/>
    <cellStyle name="40% - Accent2 2 2 6 3 2" xfId="7749" xr:uid="{00000000-0005-0000-0000-0000411E0000}"/>
    <cellStyle name="40% - Accent2 2 2 6 3 2 2" xfId="7750" xr:uid="{00000000-0005-0000-0000-0000421E0000}"/>
    <cellStyle name="40% - Accent2 2 2 6 3 3" xfId="7751" xr:uid="{00000000-0005-0000-0000-0000431E0000}"/>
    <cellStyle name="40% - Accent2 2 2 6 4" xfId="7752" xr:uid="{00000000-0005-0000-0000-0000441E0000}"/>
    <cellStyle name="40% - Accent2 2 2 6 4 2" xfId="7753" xr:uid="{00000000-0005-0000-0000-0000451E0000}"/>
    <cellStyle name="40% - Accent2 2 2 6 5" xfId="7754" xr:uid="{00000000-0005-0000-0000-0000461E0000}"/>
    <cellStyle name="40% - Accent2 2 2 7" xfId="7755" xr:uid="{00000000-0005-0000-0000-0000471E0000}"/>
    <cellStyle name="40% - Accent2 2 2 7 2" xfId="7756" xr:uid="{00000000-0005-0000-0000-0000481E0000}"/>
    <cellStyle name="40% - Accent2 2 2 7 2 2" xfId="7757" xr:uid="{00000000-0005-0000-0000-0000491E0000}"/>
    <cellStyle name="40% - Accent2 2 2 7 2 2 2" xfId="7758" xr:uid="{00000000-0005-0000-0000-00004A1E0000}"/>
    <cellStyle name="40% - Accent2 2 2 7 2 3" xfId="7759" xr:uid="{00000000-0005-0000-0000-00004B1E0000}"/>
    <cellStyle name="40% - Accent2 2 2 7 3" xfId="7760" xr:uid="{00000000-0005-0000-0000-00004C1E0000}"/>
    <cellStyle name="40% - Accent2 2 2 7 3 2" xfId="7761" xr:uid="{00000000-0005-0000-0000-00004D1E0000}"/>
    <cellStyle name="40% - Accent2 2 2 7 4" xfId="7762" xr:uid="{00000000-0005-0000-0000-00004E1E0000}"/>
    <cellStyle name="40% - Accent2 2 2 8" xfId="7763" xr:uid="{00000000-0005-0000-0000-00004F1E0000}"/>
    <cellStyle name="40% - Accent2 2 2 8 2" xfId="7764" xr:uid="{00000000-0005-0000-0000-0000501E0000}"/>
    <cellStyle name="40% - Accent2 2 2 8 2 2" xfId="7765" xr:uid="{00000000-0005-0000-0000-0000511E0000}"/>
    <cellStyle name="40% - Accent2 2 2 8 3" xfId="7766" xr:uid="{00000000-0005-0000-0000-0000521E0000}"/>
    <cellStyle name="40% - Accent2 2 2 9" xfId="7767" xr:uid="{00000000-0005-0000-0000-0000531E0000}"/>
    <cellStyle name="40% - Accent2 2 2 9 2" xfId="7768" xr:uid="{00000000-0005-0000-0000-0000541E0000}"/>
    <cellStyle name="40% - Accent2 2 3" xfId="7769" xr:uid="{00000000-0005-0000-0000-0000551E0000}"/>
    <cellStyle name="40% - Accent2 2 3 2" xfId="7770" xr:uid="{00000000-0005-0000-0000-0000561E0000}"/>
    <cellStyle name="40% - Accent2 2 3 2 2" xfId="7771" xr:uid="{00000000-0005-0000-0000-0000571E0000}"/>
    <cellStyle name="40% - Accent2 2 3 2 2 2" xfId="7772" xr:uid="{00000000-0005-0000-0000-0000581E0000}"/>
    <cellStyle name="40% - Accent2 2 3 2 2 2 2" xfId="7773" xr:uid="{00000000-0005-0000-0000-0000591E0000}"/>
    <cellStyle name="40% - Accent2 2 3 2 2 2 2 2" xfId="7774" xr:uid="{00000000-0005-0000-0000-00005A1E0000}"/>
    <cellStyle name="40% - Accent2 2 3 2 2 2 2 2 2" xfId="7775" xr:uid="{00000000-0005-0000-0000-00005B1E0000}"/>
    <cellStyle name="40% - Accent2 2 3 2 2 2 2 2 2 2" xfId="7776" xr:uid="{00000000-0005-0000-0000-00005C1E0000}"/>
    <cellStyle name="40% - Accent2 2 3 2 2 2 2 2 2 2 2" xfId="7777" xr:uid="{00000000-0005-0000-0000-00005D1E0000}"/>
    <cellStyle name="40% - Accent2 2 3 2 2 2 2 2 2 3" xfId="7778" xr:uid="{00000000-0005-0000-0000-00005E1E0000}"/>
    <cellStyle name="40% - Accent2 2 3 2 2 2 2 2 3" xfId="7779" xr:uid="{00000000-0005-0000-0000-00005F1E0000}"/>
    <cellStyle name="40% - Accent2 2 3 2 2 2 2 2 3 2" xfId="7780" xr:uid="{00000000-0005-0000-0000-0000601E0000}"/>
    <cellStyle name="40% - Accent2 2 3 2 2 2 2 2 4" xfId="7781" xr:uid="{00000000-0005-0000-0000-0000611E0000}"/>
    <cellStyle name="40% - Accent2 2 3 2 2 2 2 3" xfId="7782" xr:uid="{00000000-0005-0000-0000-0000621E0000}"/>
    <cellStyle name="40% - Accent2 2 3 2 2 2 2 3 2" xfId="7783" xr:uid="{00000000-0005-0000-0000-0000631E0000}"/>
    <cellStyle name="40% - Accent2 2 3 2 2 2 2 3 2 2" xfId="7784" xr:uid="{00000000-0005-0000-0000-0000641E0000}"/>
    <cellStyle name="40% - Accent2 2 3 2 2 2 2 3 3" xfId="7785" xr:uid="{00000000-0005-0000-0000-0000651E0000}"/>
    <cellStyle name="40% - Accent2 2 3 2 2 2 2 4" xfId="7786" xr:uid="{00000000-0005-0000-0000-0000661E0000}"/>
    <cellStyle name="40% - Accent2 2 3 2 2 2 2 4 2" xfId="7787" xr:uid="{00000000-0005-0000-0000-0000671E0000}"/>
    <cellStyle name="40% - Accent2 2 3 2 2 2 2 5" xfId="7788" xr:uid="{00000000-0005-0000-0000-0000681E0000}"/>
    <cellStyle name="40% - Accent2 2 3 2 2 2 3" xfId="7789" xr:uid="{00000000-0005-0000-0000-0000691E0000}"/>
    <cellStyle name="40% - Accent2 2 3 2 2 2 3 2" xfId="7790" xr:uid="{00000000-0005-0000-0000-00006A1E0000}"/>
    <cellStyle name="40% - Accent2 2 3 2 2 2 3 2 2" xfId="7791" xr:uid="{00000000-0005-0000-0000-00006B1E0000}"/>
    <cellStyle name="40% - Accent2 2 3 2 2 2 3 2 2 2" xfId="7792" xr:uid="{00000000-0005-0000-0000-00006C1E0000}"/>
    <cellStyle name="40% - Accent2 2 3 2 2 2 3 2 3" xfId="7793" xr:uid="{00000000-0005-0000-0000-00006D1E0000}"/>
    <cellStyle name="40% - Accent2 2 3 2 2 2 3 3" xfId="7794" xr:uid="{00000000-0005-0000-0000-00006E1E0000}"/>
    <cellStyle name="40% - Accent2 2 3 2 2 2 3 3 2" xfId="7795" xr:uid="{00000000-0005-0000-0000-00006F1E0000}"/>
    <cellStyle name="40% - Accent2 2 3 2 2 2 3 4" xfId="7796" xr:uid="{00000000-0005-0000-0000-0000701E0000}"/>
    <cellStyle name="40% - Accent2 2 3 2 2 2 4" xfId="7797" xr:uid="{00000000-0005-0000-0000-0000711E0000}"/>
    <cellStyle name="40% - Accent2 2 3 2 2 2 4 2" xfId="7798" xr:uid="{00000000-0005-0000-0000-0000721E0000}"/>
    <cellStyle name="40% - Accent2 2 3 2 2 2 4 2 2" xfId="7799" xr:uid="{00000000-0005-0000-0000-0000731E0000}"/>
    <cellStyle name="40% - Accent2 2 3 2 2 2 4 3" xfId="7800" xr:uid="{00000000-0005-0000-0000-0000741E0000}"/>
    <cellStyle name="40% - Accent2 2 3 2 2 2 5" xfId="7801" xr:uid="{00000000-0005-0000-0000-0000751E0000}"/>
    <cellStyle name="40% - Accent2 2 3 2 2 2 5 2" xfId="7802" xr:uid="{00000000-0005-0000-0000-0000761E0000}"/>
    <cellStyle name="40% - Accent2 2 3 2 2 2 6" xfId="7803" xr:uid="{00000000-0005-0000-0000-0000771E0000}"/>
    <cellStyle name="40% - Accent2 2 3 2 2 3" xfId="7804" xr:uid="{00000000-0005-0000-0000-0000781E0000}"/>
    <cellStyle name="40% - Accent2 2 3 2 2 3 2" xfId="7805" xr:uid="{00000000-0005-0000-0000-0000791E0000}"/>
    <cellStyle name="40% - Accent2 2 3 2 2 3 2 2" xfId="7806" xr:uid="{00000000-0005-0000-0000-00007A1E0000}"/>
    <cellStyle name="40% - Accent2 2 3 2 2 3 2 2 2" xfId="7807" xr:uid="{00000000-0005-0000-0000-00007B1E0000}"/>
    <cellStyle name="40% - Accent2 2 3 2 2 3 2 2 2 2" xfId="7808" xr:uid="{00000000-0005-0000-0000-00007C1E0000}"/>
    <cellStyle name="40% - Accent2 2 3 2 2 3 2 2 3" xfId="7809" xr:uid="{00000000-0005-0000-0000-00007D1E0000}"/>
    <cellStyle name="40% - Accent2 2 3 2 2 3 2 3" xfId="7810" xr:uid="{00000000-0005-0000-0000-00007E1E0000}"/>
    <cellStyle name="40% - Accent2 2 3 2 2 3 2 3 2" xfId="7811" xr:uid="{00000000-0005-0000-0000-00007F1E0000}"/>
    <cellStyle name="40% - Accent2 2 3 2 2 3 2 4" xfId="7812" xr:uid="{00000000-0005-0000-0000-0000801E0000}"/>
    <cellStyle name="40% - Accent2 2 3 2 2 3 3" xfId="7813" xr:uid="{00000000-0005-0000-0000-0000811E0000}"/>
    <cellStyle name="40% - Accent2 2 3 2 2 3 3 2" xfId="7814" xr:uid="{00000000-0005-0000-0000-0000821E0000}"/>
    <cellStyle name="40% - Accent2 2 3 2 2 3 3 2 2" xfId="7815" xr:uid="{00000000-0005-0000-0000-0000831E0000}"/>
    <cellStyle name="40% - Accent2 2 3 2 2 3 3 3" xfId="7816" xr:uid="{00000000-0005-0000-0000-0000841E0000}"/>
    <cellStyle name="40% - Accent2 2 3 2 2 3 4" xfId="7817" xr:uid="{00000000-0005-0000-0000-0000851E0000}"/>
    <cellStyle name="40% - Accent2 2 3 2 2 3 4 2" xfId="7818" xr:uid="{00000000-0005-0000-0000-0000861E0000}"/>
    <cellStyle name="40% - Accent2 2 3 2 2 3 5" xfId="7819" xr:uid="{00000000-0005-0000-0000-0000871E0000}"/>
    <cellStyle name="40% - Accent2 2 3 2 2 4" xfId="7820" xr:uid="{00000000-0005-0000-0000-0000881E0000}"/>
    <cellStyle name="40% - Accent2 2 3 2 2 4 2" xfId="7821" xr:uid="{00000000-0005-0000-0000-0000891E0000}"/>
    <cellStyle name="40% - Accent2 2 3 2 2 4 2 2" xfId="7822" xr:uid="{00000000-0005-0000-0000-00008A1E0000}"/>
    <cellStyle name="40% - Accent2 2 3 2 2 4 2 2 2" xfId="7823" xr:uid="{00000000-0005-0000-0000-00008B1E0000}"/>
    <cellStyle name="40% - Accent2 2 3 2 2 4 2 3" xfId="7824" xr:uid="{00000000-0005-0000-0000-00008C1E0000}"/>
    <cellStyle name="40% - Accent2 2 3 2 2 4 3" xfId="7825" xr:uid="{00000000-0005-0000-0000-00008D1E0000}"/>
    <cellStyle name="40% - Accent2 2 3 2 2 4 3 2" xfId="7826" xr:uid="{00000000-0005-0000-0000-00008E1E0000}"/>
    <cellStyle name="40% - Accent2 2 3 2 2 4 4" xfId="7827" xr:uid="{00000000-0005-0000-0000-00008F1E0000}"/>
    <cellStyle name="40% - Accent2 2 3 2 2 5" xfId="7828" xr:uid="{00000000-0005-0000-0000-0000901E0000}"/>
    <cellStyle name="40% - Accent2 2 3 2 2 5 2" xfId="7829" xr:uid="{00000000-0005-0000-0000-0000911E0000}"/>
    <cellStyle name="40% - Accent2 2 3 2 2 5 2 2" xfId="7830" xr:uid="{00000000-0005-0000-0000-0000921E0000}"/>
    <cellStyle name="40% - Accent2 2 3 2 2 5 3" xfId="7831" xr:uid="{00000000-0005-0000-0000-0000931E0000}"/>
    <cellStyle name="40% - Accent2 2 3 2 2 6" xfId="7832" xr:uid="{00000000-0005-0000-0000-0000941E0000}"/>
    <cellStyle name="40% - Accent2 2 3 2 2 6 2" xfId="7833" xr:uid="{00000000-0005-0000-0000-0000951E0000}"/>
    <cellStyle name="40% - Accent2 2 3 2 2 7" xfId="7834" xr:uid="{00000000-0005-0000-0000-0000961E0000}"/>
    <cellStyle name="40% - Accent2 2 3 2 3" xfId="7835" xr:uid="{00000000-0005-0000-0000-0000971E0000}"/>
    <cellStyle name="40% - Accent2 2 3 2 3 2" xfId="7836" xr:uid="{00000000-0005-0000-0000-0000981E0000}"/>
    <cellStyle name="40% - Accent2 2 3 2 3 2 2" xfId="7837" xr:uid="{00000000-0005-0000-0000-0000991E0000}"/>
    <cellStyle name="40% - Accent2 2 3 2 3 2 2 2" xfId="7838" xr:uid="{00000000-0005-0000-0000-00009A1E0000}"/>
    <cellStyle name="40% - Accent2 2 3 2 3 2 2 2 2" xfId="7839" xr:uid="{00000000-0005-0000-0000-00009B1E0000}"/>
    <cellStyle name="40% - Accent2 2 3 2 3 2 2 2 2 2" xfId="7840" xr:uid="{00000000-0005-0000-0000-00009C1E0000}"/>
    <cellStyle name="40% - Accent2 2 3 2 3 2 2 2 3" xfId="7841" xr:uid="{00000000-0005-0000-0000-00009D1E0000}"/>
    <cellStyle name="40% - Accent2 2 3 2 3 2 2 3" xfId="7842" xr:uid="{00000000-0005-0000-0000-00009E1E0000}"/>
    <cellStyle name="40% - Accent2 2 3 2 3 2 2 3 2" xfId="7843" xr:uid="{00000000-0005-0000-0000-00009F1E0000}"/>
    <cellStyle name="40% - Accent2 2 3 2 3 2 2 4" xfId="7844" xr:uid="{00000000-0005-0000-0000-0000A01E0000}"/>
    <cellStyle name="40% - Accent2 2 3 2 3 2 3" xfId="7845" xr:uid="{00000000-0005-0000-0000-0000A11E0000}"/>
    <cellStyle name="40% - Accent2 2 3 2 3 2 3 2" xfId="7846" xr:uid="{00000000-0005-0000-0000-0000A21E0000}"/>
    <cellStyle name="40% - Accent2 2 3 2 3 2 3 2 2" xfId="7847" xr:uid="{00000000-0005-0000-0000-0000A31E0000}"/>
    <cellStyle name="40% - Accent2 2 3 2 3 2 3 3" xfId="7848" xr:uid="{00000000-0005-0000-0000-0000A41E0000}"/>
    <cellStyle name="40% - Accent2 2 3 2 3 2 4" xfId="7849" xr:uid="{00000000-0005-0000-0000-0000A51E0000}"/>
    <cellStyle name="40% - Accent2 2 3 2 3 2 4 2" xfId="7850" xr:uid="{00000000-0005-0000-0000-0000A61E0000}"/>
    <cellStyle name="40% - Accent2 2 3 2 3 2 5" xfId="7851" xr:uid="{00000000-0005-0000-0000-0000A71E0000}"/>
    <cellStyle name="40% - Accent2 2 3 2 3 3" xfId="7852" xr:uid="{00000000-0005-0000-0000-0000A81E0000}"/>
    <cellStyle name="40% - Accent2 2 3 2 3 3 2" xfId="7853" xr:uid="{00000000-0005-0000-0000-0000A91E0000}"/>
    <cellStyle name="40% - Accent2 2 3 2 3 3 2 2" xfId="7854" xr:uid="{00000000-0005-0000-0000-0000AA1E0000}"/>
    <cellStyle name="40% - Accent2 2 3 2 3 3 2 2 2" xfId="7855" xr:uid="{00000000-0005-0000-0000-0000AB1E0000}"/>
    <cellStyle name="40% - Accent2 2 3 2 3 3 2 3" xfId="7856" xr:uid="{00000000-0005-0000-0000-0000AC1E0000}"/>
    <cellStyle name="40% - Accent2 2 3 2 3 3 3" xfId="7857" xr:uid="{00000000-0005-0000-0000-0000AD1E0000}"/>
    <cellStyle name="40% - Accent2 2 3 2 3 3 3 2" xfId="7858" xr:uid="{00000000-0005-0000-0000-0000AE1E0000}"/>
    <cellStyle name="40% - Accent2 2 3 2 3 3 4" xfId="7859" xr:uid="{00000000-0005-0000-0000-0000AF1E0000}"/>
    <cellStyle name="40% - Accent2 2 3 2 3 4" xfId="7860" xr:uid="{00000000-0005-0000-0000-0000B01E0000}"/>
    <cellStyle name="40% - Accent2 2 3 2 3 4 2" xfId="7861" xr:uid="{00000000-0005-0000-0000-0000B11E0000}"/>
    <cellStyle name="40% - Accent2 2 3 2 3 4 2 2" xfId="7862" xr:uid="{00000000-0005-0000-0000-0000B21E0000}"/>
    <cellStyle name="40% - Accent2 2 3 2 3 4 3" xfId="7863" xr:uid="{00000000-0005-0000-0000-0000B31E0000}"/>
    <cellStyle name="40% - Accent2 2 3 2 3 5" xfId="7864" xr:uid="{00000000-0005-0000-0000-0000B41E0000}"/>
    <cellStyle name="40% - Accent2 2 3 2 3 5 2" xfId="7865" xr:uid="{00000000-0005-0000-0000-0000B51E0000}"/>
    <cellStyle name="40% - Accent2 2 3 2 3 6" xfId="7866" xr:uid="{00000000-0005-0000-0000-0000B61E0000}"/>
    <cellStyle name="40% - Accent2 2 3 2 4" xfId="7867" xr:uid="{00000000-0005-0000-0000-0000B71E0000}"/>
    <cellStyle name="40% - Accent2 2 3 2 4 2" xfId="7868" xr:uid="{00000000-0005-0000-0000-0000B81E0000}"/>
    <cellStyle name="40% - Accent2 2 3 2 4 2 2" xfId="7869" xr:uid="{00000000-0005-0000-0000-0000B91E0000}"/>
    <cellStyle name="40% - Accent2 2 3 2 4 2 2 2" xfId="7870" xr:uid="{00000000-0005-0000-0000-0000BA1E0000}"/>
    <cellStyle name="40% - Accent2 2 3 2 4 2 2 2 2" xfId="7871" xr:uid="{00000000-0005-0000-0000-0000BB1E0000}"/>
    <cellStyle name="40% - Accent2 2 3 2 4 2 2 3" xfId="7872" xr:uid="{00000000-0005-0000-0000-0000BC1E0000}"/>
    <cellStyle name="40% - Accent2 2 3 2 4 2 3" xfId="7873" xr:uid="{00000000-0005-0000-0000-0000BD1E0000}"/>
    <cellStyle name="40% - Accent2 2 3 2 4 2 3 2" xfId="7874" xr:uid="{00000000-0005-0000-0000-0000BE1E0000}"/>
    <cellStyle name="40% - Accent2 2 3 2 4 2 4" xfId="7875" xr:uid="{00000000-0005-0000-0000-0000BF1E0000}"/>
    <cellStyle name="40% - Accent2 2 3 2 4 3" xfId="7876" xr:uid="{00000000-0005-0000-0000-0000C01E0000}"/>
    <cellStyle name="40% - Accent2 2 3 2 4 3 2" xfId="7877" xr:uid="{00000000-0005-0000-0000-0000C11E0000}"/>
    <cellStyle name="40% - Accent2 2 3 2 4 3 2 2" xfId="7878" xr:uid="{00000000-0005-0000-0000-0000C21E0000}"/>
    <cellStyle name="40% - Accent2 2 3 2 4 3 3" xfId="7879" xr:uid="{00000000-0005-0000-0000-0000C31E0000}"/>
    <cellStyle name="40% - Accent2 2 3 2 4 4" xfId="7880" xr:uid="{00000000-0005-0000-0000-0000C41E0000}"/>
    <cellStyle name="40% - Accent2 2 3 2 4 4 2" xfId="7881" xr:uid="{00000000-0005-0000-0000-0000C51E0000}"/>
    <cellStyle name="40% - Accent2 2 3 2 4 5" xfId="7882" xr:uid="{00000000-0005-0000-0000-0000C61E0000}"/>
    <cellStyle name="40% - Accent2 2 3 2 5" xfId="7883" xr:uid="{00000000-0005-0000-0000-0000C71E0000}"/>
    <cellStyle name="40% - Accent2 2 3 2 5 2" xfId="7884" xr:uid="{00000000-0005-0000-0000-0000C81E0000}"/>
    <cellStyle name="40% - Accent2 2 3 2 5 2 2" xfId="7885" xr:uid="{00000000-0005-0000-0000-0000C91E0000}"/>
    <cellStyle name="40% - Accent2 2 3 2 5 2 2 2" xfId="7886" xr:uid="{00000000-0005-0000-0000-0000CA1E0000}"/>
    <cellStyle name="40% - Accent2 2 3 2 5 2 3" xfId="7887" xr:uid="{00000000-0005-0000-0000-0000CB1E0000}"/>
    <cellStyle name="40% - Accent2 2 3 2 5 3" xfId="7888" xr:uid="{00000000-0005-0000-0000-0000CC1E0000}"/>
    <cellStyle name="40% - Accent2 2 3 2 5 3 2" xfId="7889" xr:uid="{00000000-0005-0000-0000-0000CD1E0000}"/>
    <cellStyle name="40% - Accent2 2 3 2 5 4" xfId="7890" xr:uid="{00000000-0005-0000-0000-0000CE1E0000}"/>
    <cellStyle name="40% - Accent2 2 3 2 6" xfId="7891" xr:uid="{00000000-0005-0000-0000-0000CF1E0000}"/>
    <cellStyle name="40% - Accent2 2 3 2 6 2" xfId="7892" xr:uid="{00000000-0005-0000-0000-0000D01E0000}"/>
    <cellStyle name="40% - Accent2 2 3 2 6 2 2" xfId="7893" xr:uid="{00000000-0005-0000-0000-0000D11E0000}"/>
    <cellStyle name="40% - Accent2 2 3 2 6 3" xfId="7894" xr:uid="{00000000-0005-0000-0000-0000D21E0000}"/>
    <cellStyle name="40% - Accent2 2 3 2 7" xfId="7895" xr:uid="{00000000-0005-0000-0000-0000D31E0000}"/>
    <cellStyle name="40% - Accent2 2 3 2 7 2" xfId="7896" xr:uid="{00000000-0005-0000-0000-0000D41E0000}"/>
    <cellStyle name="40% - Accent2 2 3 2 8" xfId="7897" xr:uid="{00000000-0005-0000-0000-0000D51E0000}"/>
    <cellStyle name="40% - Accent2 2 3 3" xfId="7898" xr:uid="{00000000-0005-0000-0000-0000D61E0000}"/>
    <cellStyle name="40% - Accent2 2 3 3 2" xfId="7899" xr:uid="{00000000-0005-0000-0000-0000D71E0000}"/>
    <cellStyle name="40% - Accent2 2 3 3 2 2" xfId="7900" xr:uid="{00000000-0005-0000-0000-0000D81E0000}"/>
    <cellStyle name="40% - Accent2 2 3 3 2 2 2" xfId="7901" xr:uid="{00000000-0005-0000-0000-0000D91E0000}"/>
    <cellStyle name="40% - Accent2 2 3 3 2 2 2 2" xfId="7902" xr:uid="{00000000-0005-0000-0000-0000DA1E0000}"/>
    <cellStyle name="40% - Accent2 2 3 3 2 2 2 2 2" xfId="7903" xr:uid="{00000000-0005-0000-0000-0000DB1E0000}"/>
    <cellStyle name="40% - Accent2 2 3 3 2 2 2 2 2 2" xfId="7904" xr:uid="{00000000-0005-0000-0000-0000DC1E0000}"/>
    <cellStyle name="40% - Accent2 2 3 3 2 2 2 2 3" xfId="7905" xr:uid="{00000000-0005-0000-0000-0000DD1E0000}"/>
    <cellStyle name="40% - Accent2 2 3 3 2 2 2 3" xfId="7906" xr:uid="{00000000-0005-0000-0000-0000DE1E0000}"/>
    <cellStyle name="40% - Accent2 2 3 3 2 2 2 3 2" xfId="7907" xr:uid="{00000000-0005-0000-0000-0000DF1E0000}"/>
    <cellStyle name="40% - Accent2 2 3 3 2 2 2 4" xfId="7908" xr:uid="{00000000-0005-0000-0000-0000E01E0000}"/>
    <cellStyle name="40% - Accent2 2 3 3 2 2 3" xfId="7909" xr:uid="{00000000-0005-0000-0000-0000E11E0000}"/>
    <cellStyle name="40% - Accent2 2 3 3 2 2 3 2" xfId="7910" xr:uid="{00000000-0005-0000-0000-0000E21E0000}"/>
    <cellStyle name="40% - Accent2 2 3 3 2 2 3 2 2" xfId="7911" xr:uid="{00000000-0005-0000-0000-0000E31E0000}"/>
    <cellStyle name="40% - Accent2 2 3 3 2 2 3 3" xfId="7912" xr:uid="{00000000-0005-0000-0000-0000E41E0000}"/>
    <cellStyle name="40% - Accent2 2 3 3 2 2 4" xfId="7913" xr:uid="{00000000-0005-0000-0000-0000E51E0000}"/>
    <cellStyle name="40% - Accent2 2 3 3 2 2 4 2" xfId="7914" xr:uid="{00000000-0005-0000-0000-0000E61E0000}"/>
    <cellStyle name="40% - Accent2 2 3 3 2 2 5" xfId="7915" xr:uid="{00000000-0005-0000-0000-0000E71E0000}"/>
    <cellStyle name="40% - Accent2 2 3 3 2 3" xfId="7916" xr:uid="{00000000-0005-0000-0000-0000E81E0000}"/>
    <cellStyle name="40% - Accent2 2 3 3 2 3 2" xfId="7917" xr:uid="{00000000-0005-0000-0000-0000E91E0000}"/>
    <cellStyle name="40% - Accent2 2 3 3 2 3 2 2" xfId="7918" xr:uid="{00000000-0005-0000-0000-0000EA1E0000}"/>
    <cellStyle name="40% - Accent2 2 3 3 2 3 2 2 2" xfId="7919" xr:uid="{00000000-0005-0000-0000-0000EB1E0000}"/>
    <cellStyle name="40% - Accent2 2 3 3 2 3 2 3" xfId="7920" xr:uid="{00000000-0005-0000-0000-0000EC1E0000}"/>
    <cellStyle name="40% - Accent2 2 3 3 2 3 3" xfId="7921" xr:uid="{00000000-0005-0000-0000-0000ED1E0000}"/>
    <cellStyle name="40% - Accent2 2 3 3 2 3 3 2" xfId="7922" xr:uid="{00000000-0005-0000-0000-0000EE1E0000}"/>
    <cellStyle name="40% - Accent2 2 3 3 2 3 4" xfId="7923" xr:uid="{00000000-0005-0000-0000-0000EF1E0000}"/>
    <cellStyle name="40% - Accent2 2 3 3 2 4" xfId="7924" xr:uid="{00000000-0005-0000-0000-0000F01E0000}"/>
    <cellStyle name="40% - Accent2 2 3 3 2 4 2" xfId="7925" xr:uid="{00000000-0005-0000-0000-0000F11E0000}"/>
    <cellStyle name="40% - Accent2 2 3 3 2 4 2 2" xfId="7926" xr:uid="{00000000-0005-0000-0000-0000F21E0000}"/>
    <cellStyle name="40% - Accent2 2 3 3 2 4 3" xfId="7927" xr:uid="{00000000-0005-0000-0000-0000F31E0000}"/>
    <cellStyle name="40% - Accent2 2 3 3 2 5" xfId="7928" xr:uid="{00000000-0005-0000-0000-0000F41E0000}"/>
    <cellStyle name="40% - Accent2 2 3 3 2 5 2" xfId="7929" xr:uid="{00000000-0005-0000-0000-0000F51E0000}"/>
    <cellStyle name="40% - Accent2 2 3 3 2 6" xfId="7930" xr:uid="{00000000-0005-0000-0000-0000F61E0000}"/>
    <cellStyle name="40% - Accent2 2 3 3 3" xfId="7931" xr:uid="{00000000-0005-0000-0000-0000F71E0000}"/>
    <cellStyle name="40% - Accent2 2 3 3 3 2" xfId="7932" xr:uid="{00000000-0005-0000-0000-0000F81E0000}"/>
    <cellStyle name="40% - Accent2 2 3 3 3 2 2" xfId="7933" xr:uid="{00000000-0005-0000-0000-0000F91E0000}"/>
    <cellStyle name="40% - Accent2 2 3 3 3 2 2 2" xfId="7934" xr:uid="{00000000-0005-0000-0000-0000FA1E0000}"/>
    <cellStyle name="40% - Accent2 2 3 3 3 2 2 2 2" xfId="7935" xr:uid="{00000000-0005-0000-0000-0000FB1E0000}"/>
    <cellStyle name="40% - Accent2 2 3 3 3 2 2 3" xfId="7936" xr:uid="{00000000-0005-0000-0000-0000FC1E0000}"/>
    <cellStyle name="40% - Accent2 2 3 3 3 2 3" xfId="7937" xr:uid="{00000000-0005-0000-0000-0000FD1E0000}"/>
    <cellStyle name="40% - Accent2 2 3 3 3 2 3 2" xfId="7938" xr:uid="{00000000-0005-0000-0000-0000FE1E0000}"/>
    <cellStyle name="40% - Accent2 2 3 3 3 2 4" xfId="7939" xr:uid="{00000000-0005-0000-0000-0000FF1E0000}"/>
    <cellStyle name="40% - Accent2 2 3 3 3 3" xfId="7940" xr:uid="{00000000-0005-0000-0000-0000001F0000}"/>
    <cellStyle name="40% - Accent2 2 3 3 3 3 2" xfId="7941" xr:uid="{00000000-0005-0000-0000-0000011F0000}"/>
    <cellStyle name="40% - Accent2 2 3 3 3 3 2 2" xfId="7942" xr:uid="{00000000-0005-0000-0000-0000021F0000}"/>
    <cellStyle name="40% - Accent2 2 3 3 3 3 3" xfId="7943" xr:uid="{00000000-0005-0000-0000-0000031F0000}"/>
    <cellStyle name="40% - Accent2 2 3 3 3 4" xfId="7944" xr:uid="{00000000-0005-0000-0000-0000041F0000}"/>
    <cellStyle name="40% - Accent2 2 3 3 3 4 2" xfId="7945" xr:uid="{00000000-0005-0000-0000-0000051F0000}"/>
    <cellStyle name="40% - Accent2 2 3 3 3 5" xfId="7946" xr:uid="{00000000-0005-0000-0000-0000061F0000}"/>
    <cellStyle name="40% - Accent2 2 3 3 4" xfId="7947" xr:uid="{00000000-0005-0000-0000-0000071F0000}"/>
    <cellStyle name="40% - Accent2 2 3 3 4 2" xfId="7948" xr:uid="{00000000-0005-0000-0000-0000081F0000}"/>
    <cellStyle name="40% - Accent2 2 3 3 4 2 2" xfId="7949" xr:uid="{00000000-0005-0000-0000-0000091F0000}"/>
    <cellStyle name="40% - Accent2 2 3 3 4 2 2 2" xfId="7950" xr:uid="{00000000-0005-0000-0000-00000A1F0000}"/>
    <cellStyle name="40% - Accent2 2 3 3 4 2 3" xfId="7951" xr:uid="{00000000-0005-0000-0000-00000B1F0000}"/>
    <cellStyle name="40% - Accent2 2 3 3 4 3" xfId="7952" xr:uid="{00000000-0005-0000-0000-00000C1F0000}"/>
    <cellStyle name="40% - Accent2 2 3 3 4 3 2" xfId="7953" xr:uid="{00000000-0005-0000-0000-00000D1F0000}"/>
    <cellStyle name="40% - Accent2 2 3 3 4 4" xfId="7954" xr:uid="{00000000-0005-0000-0000-00000E1F0000}"/>
    <cellStyle name="40% - Accent2 2 3 3 5" xfId="7955" xr:uid="{00000000-0005-0000-0000-00000F1F0000}"/>
    <cellStyle name="40% - Accent2 2 3 3 5 2" xfId="7956" xr:uid="{00000000-0005-0000-0000-0000101F0000}"/>
    <cellStyle name="40% - Accent2 2 3 3 5 2 2" xfId="7957" xr:uid="{00000000-0005-0000-0000-0000111F0000}"/>
    <cellStyle name="40% - Accent2 2 3 3 5 3" xfId="7958" xr:uid="{00000000-0005-0000-0000-0000121F0000}"/>
    <cellStyle name="40% - Accent2 2 3 3 6" xfId="7959" xr:uid="{00000000-0005-0000-0000-0000131F0000}"/>
    <cellStyle name="40% - Accent2 2 3 3 6 2" xfId="7960" xr:uid="{00000000-0005-0000-0000-0000141F0000}"/>
    <cellStyle name="40% - Accent2 2 3 3 7" xfId="7961" xr:uid="{00000000-0005-0000-0000-0000151F0000}"/>
    <cellStyle name="40% - Accent2 2 3 4" xfId="7962" xr:uid="{00000000-0005-0000-0000-0000161F0000}"/>
    <cellStyle name="40% - Accent2 2 3 4 2" xfId="7963" xr:uid="{00000000-0005-0000-0000-0000171F0000}"/>
    <cellStyle name="40% - Accent2 2 3 4 2 2" xfId="7964" xr:uid="{00000000-0005-0000-0000-0000181F0000}"/>
    <cellStyle name="40% - Accent2 2 3 4 2 2 2" xfId="7965" xr:uid="{00000000-0005-0000-0000-0000191F0000}"/>
    <cellStyle name="40% - Accent2 2 3 4 2 2 2 2" xfId="7966" xr:uid="{00000000-0005-0000-0000-00001A1F0000}"/>
    <cellStyle name="40% - Accent2 2 3 4 2 2 2 2 2" xfId="7967" xr:uid="{00000000-0005-0000-0000-00001B1F0000}"/>
    <cellStyle name="40% - Accent2 2 3 4 2 2 2 3" xfId="7968" xr:uid="{00000000-0005-0000-0000-00001C1F0000}"/>
    <cellStyle name="40% - Accent2 2 3 4 2 2 3" xfId="7969" xr:uid="{00000000-0005-0000-0000-00001D1F0000}"/>
    <cellStyle name="40% - Accent2 2 3 4 2 2 3 2" xfId="7970" xr:uid="{00000000-0005-0000-0000-00001E1F0000}"/>
    <cellStyle name="40% - Accent2 2 3 4 2 2 4" xfId="7971" xr:uid="{00000000-0005-0000-0000-00001F1F0000}"/>
    <cellStyle name="40% - Accent2 2 3 4 2 3" xfId="7972" xr:uid="{00000000-0005-0000-0000-0000201F0000}"/>
    <cellStyle name="40% - Accent2 2 3 4 2 3 2" xfId="7973" xr:uid="{00000000-0005-0000-0000-0000211F0000}"/>
    <cellStyle name="40% - Accent2 2 3 4 2 3 2 2" xfId="7974" xr:uid="{00000000-0005-0000-0000-0000221F0000}"/>
    <cellStyle name="40% - Accent2 2 3 4 2 3 3" xfId="7975" xr:uid="{00000000-0005-0000-0000-0000231F0000}"/>
    <cellStyle name="40% - Accent2 2 3 4 2 4" xfId="7976" xr:uid="{00000000-0005-0000-0000-0000241F0000}"/>
    <cellStyle name="40% - Accent2 2 3 4 2 4 2" xfId="7977" xr:uid="{00000000-0005-0000-0000-0000251F0000}"/>
    <cellStyle name="40% - Accent2 2 3 4 2 5" xfId="7978" xr:uid="{00000000-0005-0000-0000-0000261F0000}"/>
    <cellStyle name="40% - Accent2 2 3 4 3" xfId="7979" xr:uid="{00000000-0005-0000-0000-0000271F0000}"/>
    <cellStyle name="40% - Accent2 2 3 4 3 2" xfId="7980" xr:uid="{00000000-0005-0000-0000-0000281F0000}"/>
    <cellStyle name="40% - Accent2 2 3 4 3 2 2" xfId="7981" xr:uid="{00000000-0005-0000-0000-0000291F0000}"/>
    <cellStyle name="40% - Accent2 2 3 4 3 2 2 2" xfId="7982" xr:uid="{00000000-0005-0000-0000-00002A1F0000}"/>
    <cellStyle name="40% - Accent2 2 3 4 3 2 3" xfId="7983" xr:uid="{00000000-0005-0000-0000-00002B1F0000}"/>
    <cellStyle name="40% - Accent2 2 3 4 3 3" xfId="7984" xr:uid="{00000000-0005-0000-0000-00002C1F0000}"/>
    <cellStyle name="40% - Accent2 2 3 4 3 3 2" xfId="7985" xr:uid="{00000000-0005-0000-0000-00002D1F0000}"/>
    <cellStyle name="40% - Accent2 2 3 4 3 4" xfId="7986" xr:uid="{00000000-0005-0000-0000-00002E1F0000}"/>
    <cellStyle name="40% - Accent2 2 3 4 4" xfId="7987" xr:uid="{00000000-0005-0000-0000-00002F1F0000}"/>
    <cellStyle name="40% - Accent2 2 3 4 4 2" xfId="7988" xr:uid="{00000000-0005-0000-0000-0000301F0000}"/>
    <cellStyle name="40% - Accent2 2 3 4 4 2 2" xfId="7989" xr:uid="{00000000-0005-0000-0000-0000311F0000}"/>
    <cellStyle name="40% - Accent2 2 3 4 4 3" xfId="7990" xr:uid="{00000000-0005-0000-0000-0000321F0000}"/>
    <cellStyle name="40% - Accent2 2 3 4 5" xfId="7991" xr:uid="{00000000-0005-0000-0000-0000331F0000}"/>
    <cellStyle name="40% - Accent2 2 3 4 5 2" xfId="7992" xr:uid="{00000000-0005-0000-0000-0000341F0000}"/>
    <cellStyle name="40% - Accent2 2 3 4 6" xfId="7993" xr:uid="{00000000-0005-0000-0000-0000351F0000}"/>
    <cellStyle name="40% - Accent2 2 3 5" xfId="7994" xr:uid="{00000000-0005-0000-0000-0000361F0000}"/>
    <cellStyle name="40% - Accent2 2 3 5 2" xfId="7995" xr:uid="{00000000-0005-0000-0000-0000371F0000}"/>
    <cellStyle name="40% - Accent2 2 3 5 2 2" xfId="7996" xr:uid="{00000000-0005-0000-0000-0000381F0000}"/>
    <cellStyle name="40% - Accent2 2 3 5 2 2 2" xfId="7997" xr:uid="{00000000-0005-0000-0000-0000391F0000}"/>
    <cellStyle name="40% - Accent2 2 3 5 2 2 2 2" xfId="7998" xr:uid="{00000000-0005-0000-0000-00003A1F0000}"/>
    <cellStyle name="40% - Accent2 2 3 5 2 2 3" xfId="7999" xr:uid="{00000000-0005-0000-0000-00003B1F0000}"/>
    <cellStyle name="40% - Accent2 2 3 5 2 3" xfId="8000" xr:uid="{00000000-0005-0000-0000-00003C1F0000}"/>
    <cellStyle name="40% - Accent2 2 3 5 2 3 2" xfId="8001" xr:uid="{00000000-0005-0000-0000-00003D1F0000}"/>
    <cellStyle name="40% - Accent2 2 3 5 2 4" xfId="8002" xr:uid="{00000000-0005-0000-0000-00003E1F0000}"/>
    <cellStyle name="40% - Accent2 2 3 5 3" xfId="8003" xr:uid="{00000000-0005-0000-0000-00003F1F0000}"/>
    <cellStyle name="40% - Accent2 2 3 5 3 2" xfId="8004" xr:uid="{00000000-0005-0000-0000-0000401F0000}"/>
    <cellStyle name="40% - Accent2 2 3 5 3 2 2" xfId="8005" xr:uid="{00000000-0005-0000-0000-0000411F0000}"/>
    <cellStyle name="40% - Accent2 2 3 5 3 3" xfId="8006" xr:uid="{00000000-0005-0000-0000-0000421F0000}"/>
    <cellStyle name="40% - Accent2 2 3 5 4" xfId="8007" xr:uid="{00000000-0005-0000-0000-0000431F0000}"/>
    <cellStyle name="40% - Accent2 2 3 5 4 2" xfId="8008" xr:uid="{00000000-0005-0000-0000-0000441F0000}"/>
    <cellStyle name="40% - Accent2 2 3 5 5" xfId="8009" xr:uid="{00000000-0005-0000-0000-0000451F0000}"/>
    <cellStyle name="40% - Accent2 2 3 6" xfId="8010" xr:uid="{00000000-0005-0000-0000-0000461F0000}"/>
    <cellStyle name="40% - Accent2 2 3 6 2" xfId="8011" xr:uid="{00000000-0005-0000-0000-0000471F0000}"/>
    <cellStyle name="40% - Accent2 2 3 6 2 2" xfId="8012" xr:uid="{00000000-0005-0000-0000-0000481F0000}"/>
    <cellStyle name="40% - Accent2 2 3 6 2 2 2" xfId="8013" xr:uid="{00000000-0005-0000-0000-0000491F0000}"/>
    <cellStyle name="40% - Accent2 2 3 6 2 3" xfId="8014" xr:uid="{00000000-0005-0000-0000-00004A1F0000}"/>
    <cellStyle name="40% - Accent2 2 3 6 3" xfId="8015" xr:uid="{00000000-0005-0000-0000-00004B1F0000}"/>
    <cellStyle name="40% - Accent2 2 3 6 3 2" xfId="8016" xr:uid="{00000000-0005-0000-0000-00004C1F0000}"/>
    <cellStyle name="40% - Accent2 2 3 6 4" xfId="8017" xr:uid="{00000000-0005-0000-0000-00004D1F0000}"/>
    <cellStyle name="40% - Accent2 2 3 7" xfId="8018" xr:uid="{00000000-0005-0000-0000-00004E1F0000}"/>
    <cellStyle name="40% - Accent2 2 3 7 2" xfId="8019" xr:uid="{00000000-0005-0000-0000-00004F1F0000}"/>
    <cellStyle name="40% - Accent2 2 3 7 2 2" xfId="8020" xr:uid="{00000000-0005-0000-0000-0000501F0000}"/>
    <cellStyle name="40% - Accent2 2 3 7 3" xfId="8021" xr:uid="{00000000-0005-0000-0000-0000511F0000}"/>
    <cellStyle name="40% - Accent2 2 3 8" xfId="8022" xr:uid="{00000000-0005-0000-0000-0000521F0000}"/>
    <cellStyle name="40% - Accent2 2 3 8 2" xfId="8023" xr:uid="{00000000-0005-0000-0000-0000531F0000}"/>
    <cellStyle name="40% - Accent2 2 3 9" xfId="8024" xr:uid="{00000000-0005-0000-0000-0000541F0000}"/>
    <cellStyle name="40% - Accent2 2 4" xfId="8025" xr:uid="{00000000-0005-0000-0000-0000551F0000}"/>
    <cellStyle name="40% - Accent2 2 4 2" xfId="8026" xr:uid="{00000000-0005-0000-0000-0000561F0000}"/>
    <cellStyle name="40% - Accent2 2 4 2 2" xfId="8027" xr:uid="{00000000-0005-0000-0000-0000571F0000}"/>
    <cellStyle name="40% - Accent2 2 4 2 2 2" xfId="8028" xr:uid="{00000000-0005-0000-0000-0000581F0000}"/>
    <cellStyle name="40% - Accent2 2 4 2 2 2 2" xfId="8029" xr:uid="{00000000-0005-0000-0000-0000591F0000}"/>
    <cellStyle name="40% - Accent2 2 4 2 2 2 2 2" xfId="8030" xr:uid="{00000000-0005-0000-0000-00005A1F0000}"/>
    <cellStyle name="40% - Accent2 2 4 2 2 2 2 2 2" xfId="8031" xr:uid="{00000000-0005-0000-0000-00005B1F0000}"/>
    <cellStyle name="40% - Accent2 2 4 2 2 2 2 2 2 2" xfId="8032" xr:uid="{00000000-0005-0000-0000-00005C1F0000}"/>
    <cellStyle name="40% - Accent2 2 4 2 2 2 2 2 3" xfId="8033" xr:uid="{00000000-0005-0000-0000-00005D1F0000}"/>
    <cellStyle name="40% - Accent2 2 4 2 2 2 2 3" xfId="8034" xr:uid="{00000000-0005-0000-0000-00005E1F0000}"/>
    <cellStyle name="40% - Accent2 2 4 2 2 2 2 3 2" xfId="8035" xr:uid="{00000000-0005-0000-0000-00005F1F0000}"/>
    <cellStyle name="40% - Accent2 2 4 2 2 2 2 4" xfId="8036" xr:uid="{00000000-0005-0000-0000-0000601F0000}"/>
    <cellStyle name="40% - Accent2 2 4 2 2 2 3" xfId="8037" xr:uid="{00000000-0005-0000-0000-0000611F0000}"/>
    <cellStyle name="40% - Accent2 2 4 2 2 2 3 2" xfId="8038" xr:uid="{00000000-0005-0000-0000-0000621F0000}"/>
    <cellStyle name="40% - Accent2 2 4 2 2 2 3 2 2" xfId="8039" xr:uid="{00000000-0005-0000-0000-0000631F0000}"/>
    <cellStyle name="40% - Accent2 2 4 2 2 2 3 3" xfId="8040" xr:uid="{00000000-0005-0000-0000-0000641F0000}"/>
    <cellStyle name="40% - Accent2 2 4 2 2 2 4" xfId="8041" xr:uid="{00000000-0005-0000-0000-0000651F0000}"/>
    <cellStyle name="40% - Accent2 2 4 2 2 2 4 2" xfId="8042" xr:uid="{00000000-0005-0000-0000-0000661F0000}"/>
    <cellStyle name="40% - Accent2 2 4 2 2 2 5" xfId="8043" xr:uid="{00000000-0005-0000-0000-0000671F0000}"/>
    <cellStyle name="40% - Accent2 2 4 2 2 3" xfId="8044" xr:uid="{00000000-0005-0000-0000-0000681F0000}"/>
    <cellStyle name="40% - Accent2 2 4 2 2 3 2" xfId="8045" xr:uid="{00000000-0005-0000-0000-0000691F0000}"/>
    <cellStyle name="40% - Accent2 2 4 2 2 3 2 2" xfId="8046" xr:uid="{00000000-0005-0000-0000-00006A1F0000}"/>
    <cellStyle name="40% - Accent2 2 4 2 2 3 2 2 2" xfId="8047" xr:uid="{00000000-0005-0000-0000-00006B1F0000}"/>
    <cellStyle name="40% - Accent2 2 4 2 2 3 2 3" xfId="8048" xr:uid="{00000000-0005-0000-0000-00006C1F0000}"/>
    <cellStyle name="40% - Accent2 2 4 2 2 3 3" xfId="8049" xr:uid="{00000000-0005-0000-0000-00006D1F0000}"/>
    <cellStyle name="40% - Accent2 2 4 2 2 3 3 2" xfId="8050" xr:uid="{00000000-0005-0000-0000-00006E1F0000}"/>
    <cellStyle name="40% - Accent2 2 4 2 2 3 4" xfId="8051" xr:uid="{00000000-0005-0000-0000-00006F1F0000}"/>
    <cellStyle name="40% - Accent2 2 4 2 2 4" xfId="8052" xr:uid="{00000000-0005-0000-0000-0000701F0000}"/>
    <cellStyle name="40% - Accent2 2 4 2 2 4 2" xfId="8053" xr:uid="{00000000-0005-0000-0000-0000711F0000}"/>
    <cellStyle name="40% - Accent2 2 4 2 2 4 2 2" xfId="8054" xr:uid="{00000000-0005-0000-0000-0000721F0000}"/>
    <cellStyle name="40% - Accent2 2 4 2 2 4 3" xfId="8055" xr:uid="{00000000-0005-0000-0000-0000731F0000}"/>
    <cellStyle name="40% - Accent2 2 4 2 2 5" xfId="8056" xr:uid="{00000000-0005-0000-0000-0000741F0000}"/>
    <cellStyle name="40% - Accent2 2 4 2 2 5 2" xfId="8057" xr:uid="{00000000-0005-0000-0000-0000751F0000}"/>
    <cellStyle name="40% - Accent2 2 4 2 2 6" xfId="8058" xr:uid="{00000000-0005-0000-0000-0000761F0000}"/>
    <cellStyle name="40% - Accent2 2 4 2 3" xfId="8059" xr:uid="{00000000-0005-0000-0000-0000771F0000}"/>
    <cellStyle name="40% - Accent2 2 4 2 3 2" xfId="8060" xr:uid="{00000000-0005-0000-0000-0000781F0000}"/>
    <cellStyle name="40% - Accent2 2 4 2 3 2 2" xfId="8061" xr:uid="{00000000-0005-0000-0000-0000791F0000}"/>
    <cellStyle name="40% - Accent2 2 4 2 3 2 2 2" xfId="8062" xr:uid="{00000000-0005-0000-0000-00007A1F0000}"/>
    <cellStyle name="40% - Accent2 2 4 2 3 2 2 2 2" xfId="8063" xr:uid="{00000000-0005-0000-0000-00007B1F0000}"/>
    <cellStyle name="40% - Accent2 2 4 2 3 2 2 3" xfId="8064" xr:uid="{00000000-0005-0000-0000-00007C1F0000}"/>
    <cellStyle name="40% - Accent2 2 4 2 3 2 3" xfId="8065" xr:uid="{00000000-0005-0000-0000-00007D1F0000}"/>
    <cellStyle name="40% - Accent2 2 4 2 3 2 3 2" xfId="8066" xr:uid="{00000000-0005-0000-0000-00007E1F0000}"/>
    <cellStyle name="40% - Accent2 2 4 2 3 2 4" xfId="8067" xr:uid="{00000000-0005-0000-0000-00007F1F0000}"/>
    <cellStyle name="40% - Accent2 2 4 2 3 3" xfId="8068" xr:uid="{00000000-0005-0000-0000-0000801F0000}"/>
    <cellStyle name="40% - Accent2 2 4 2 3 3 2" xfId="8069" xr:uid="{00000000-0005-0000-0000-0000811F0000}"/>
    <cellStyle name="40% - Accent2 2 4 2 3 3 2 2" xfId="8070" xr:uid="{00000000-0005-0000-0000-0000821F0000}"/>
    <cellStyle name="40% - Accent2 2 4 2 3 3 3" xfId="8071" xr:uid="{00000000-0005-0000-0000-0000831F0000}"/>
    <cellStyle name="40% - Accent2 2 4 2 3 4" xfId="8072" xr:uid="{00000000-0005-0000-0000-0000841F0000}"/>
    <cellStyle name="40% - Accent2 2 4 2 3 4 2" xfId="8073" xr:uid="{00000000-0005-0000-0000-0000851F0000}"/>
    <cellStyle name="40% - Accent2 2 4 2 3 5" xfId="8074" xr:uid="{00000000-0005-0000-0000-0000861F0000}"/>
    <cellStyle name="40% - Accent2 2 4 2 4" xfId="8075" xr:uid="{00000000-0005-0000-0000-0000871F0000}"/>
    <cellStyle name="40% - Accent2 2 4 2 4 2" xfId="8076" xr:uid="{00000000-0005-0000-0000-0000881F0000}"/>
    <cellStyle name="40% - Accent2 2 4 2 4 2 2" xfId="8077" xr:uid="{00000000-0005-0000-0000-0000891F0000}"/>
    <cellStyle name="40% - Accent2 2 4 2 4 2 2 2" xfId="8078" xr:uid="{00000000-0005-0000-0000-00008A1F0000}"/>
    <cellStyle name="40% - Accent2 2 4 2 4 2 3" xfId="8079" xr:uid="{00000000-0005-0000-0000-00008B1F0000}"/>
    <cellStyle name="40% - Accent2 2 4 2 4 3" xfId="8080" xr:uid="{00000000-0005-0000-0000-00008C1F0000}"/>
    <cellStyle name="40% - Accent2 2 4 2 4 3 2" xfId="8081" xr:uid="{00000000-0005-0000-0000-00008D1F0000}"/>
    <cellStyle name="40% - Accent2 2 4 2 4 4" xfId="8082" xr:uid="{00000000-0005-0000-0000-00008E1F0000}"/>
    <cellStyle name="40% - Accent2 2 4 2 5" xfId="8083" xr:uid="{00000000-0005-0000-0000-00008F1F0000}"/>
    <cellStyle name="40% - Accent2 2 4 2 5 2" xfId="8084" xr:uid="{00000000-0005-0000-0000-0000901F0000}"/>
    <cellStyle name="40% - Accent2 2 4 2 5 2 2" xfId="8085" xr:uid="{00000000-0005-0000-0000-0000911F0000}"/>
    <cellStyle name="40% - Accent2 2 4 2 5 3" xfId="8086" xr:uid="{00000000-0005-0000-0000-0000921F0000}"/>
    <cellStyle name="40% - Accent2 2 4 2 6" xfId="8087" xr:uid="{00000000-0005-0000-0000-0000931F0000}"/>
    <cellStyle name="40% - Accent2 2 4 2 6 2" xfId="8088" xr:uid="{00000000-0005-0000-0000-0000941F0000}"/>
    <cellStyle name="40% - Accent2 2 4 2 7" xfId="8089" xr:uid="{00000000-0005-0000-0000-0000951F0000}"/>
    <cellStyle name="40% - Accent2 2 4 3" xfId="8090" xr:uid="{00000000-0005-0000-0000-0000961F0000}"/>
    <cellStyle name="40% - Accent2 2 4 3 2" xfId="8091" xr:uid="{00000000-0005-0000-0000-0000971F0000}"/>
    <cellStyle name="40% - Accent2 2 4 3 2 2" xfId="8092" xr:uid="{00000000-0005-0000-0000-0000981F0000}"/>
    <cellStyle name="40% - Accent2 2 4 3 2 2 2" xfId="8093" xr:uid="{00000000-0005-0000-0000-0000991F0000}"/>
    <cellStyle name="40% - Accent2 2 4 3 2 2 2 2" xfId="8094" xr:uid="{00000000-0005-0000-0000-00009A1F0000}"/>
    <cellStyle name="40% - Accent2 2 4 3 2 2 2 2 2" xfId="8095" xr:uid="{00000000-0005-0000-0000-00009B1F0000}"/>
    <cellStyle name="40% - Accent2 2 4 3 2 2 2 3" xfId="8096" xr:uid="{00000000-0005-0000-0000-00009C1F0000}"/>
    <cellStyle name="40% - Accent2 2 4 3 2 2 3" xfId="8097" xr:uid="{00000000-0005-0000-0000-00009D1F0000}"/>
    <cellStyle name="40% - Accent2 2 4 3 2 2 3 2" xfId="8098" xr:uid="{00000000-0005-0000-0000-00009E1F0000}"/>
    <cellStyle name="40% - Accent2 2 4 3 2 2 4" xfId="8099" xr:uid="{00000000-0005-0000-0000-00009F1F0000}"/>
    <cellStyle name="40% - Accent2 2 4 3 2 3" xfId="8100" xr:uid="{00000000-0005-0000-0000-0000A01F0000}"/>
    <cellStyle name="40% - Accent2 2 4 3 2 3 2" xfId="8101" xr:uid="{00000000-0005-0000-0000-0000A11F0000}"/>
    <cellStyle name="40% - Accent2 2 4 3 2 3 2 2" xfId="8102" xr:uid="{00000000-0005-0000-0000-0000A21F0000}"/>
    <cellStyle name="40% - Accent2 2 4 3 2 3 3" xfId="8103" xr:uid="{00000000-0005-0000-0000-0000A31F0000}"/>
    <cellStyle name="40% - Accent2 2 4 3 2 4" xfId="8104" xr:uid="{00000000-0005-0000-0000-0000A41F0000}"/>
    <cellStyle name="40% - Accent2 2 4 3 2 4 2" xfId="8105" xr:uid="{00000000-0005-0000-0000-0000A51F0000}"/>
    <cellStyle name="40% - Accent2 2 4 3 2 5" xfId="8106" xr:uid="{00000000-0005-0000-0000-0000A61F0000}"/>
    <cellStyle name="40% - Accent2 2 4 3 3" xfId="8107" xr:uid="{00000000-0005-0000-0000-0000A71F0000}"/>
    <cellStyle name="40% - Accent2 2 4 3 3 2" xfId="8108" xr:uid="{00000000-0005-0000-0000-0000A81F0000}"/>
    <cellStyle name="40% - Accent2 2 4 3 3 2 2" xfId="8109" xr:uid="{00000000-0005-0000-0000-0000A91F0000}"/>
    <cellStyle name="40% - Accent2 2 4 3 3 2 2 2" xfId="8110" xr:uid="{00000000-0005-0000-0000-0000AA1F0000}"/>
    <cellStyle name="40% - Accent2 2 4 3 3 2 3" xfId="8111" xr:uid="{00000000-0005-0000-0000-0000AB1F0000}"/>
    <cellStyle name="40% - Accent2 2 4 3 3 3" xfId="8112" xr:uid="{00000000-0005-0000-0000-0000AC1F0000}"/>
    <cellStyle name="40% - Accent2 2 4 3 3 3 2" xfId="8113" xr:uid="{00000000-0005-0000-0000-0000AD1F0000}"/>
    <cellStyle name="40% - Accent2 2 4 3 3 4" xfId="8114" xr:uid="{00000000-0005-0000-0000-0000AE1F0000}"/>
    <cellStyle name="40% - Accent2 2 4 3 4" xfId="8115" xr:uid="{00000000-0005-0000-0000-0000AF1F0000}"/>
    <cellStyle name="40% - Accent2 2 4 3 4 2" xfId="8116" xr:uid="{00000000-0005-0000-0000-0000B01F0000}"/>
    <cellStyle name="40% - Accent2 2 4 3 4 2 2" xfId="8117" xr:uid="{00000000-0005-0000-0000-0000B11F0000}"/>
    <cellStyle name="40% - Accent2 2 4 3 4 3" xfId="8118" xr:uid="{00000000-0005-0000-0000-0000B21F0000}"/>
    <cellStyle name="40% - Accent2 2 4 3 5" xfId="8119" xr:uid="{00000000-0005-0000-0000-0000B31F0000}"/>
    <cellStyle name="40% - Accent2 2 4 3 5 2" xfId="8120" xr:uid="{00000000-0005-0000-0000-0000B41F0000}"/>
    <cellStyle name="40% - Accent2 2 4 3 6" xfId="8121" xr:uid="{00000000-0005-0000-0000-0000B51F0000}"/>
    <cellStyle name="40% - Accent2 2 4 4" xfId="8122" xr:uid="{00000000-0005-0000-0000-0000B61F0000}"/>
    <cellStyle name="40% - Accent2 2 4 4 2" xfId="8123" xr:uid="{00000000-0005-0000-0000-0000B71F0000}"/>
    <cellStyle name="40% - Accent2 2 4 4 2 2" xfId="8124" xr:uid="{00000000-0005-0000-0000-0000B81F0000}"/>
    <cellStyle name="40% - Accent2 2 4 4 2 2 2" xfId="8125" xr:uid="{00000000-0005-0000-0000-0000B91F0000}"/>
    <cellStyle name="40% - Accent2 2 4 4 2 2 2 2" xfId="8126" xr:uid="{00000000-0005-0000-0000-0000BA1F0000}"/>
    <cellStyle name="40% - Accent2 2 4 4 2 2 3" xfId="8127" xr:uid="{00000000-0005-0000-0000-0000BB1F0000}"/>
    <cellStyle name="40% - Accent2 2 4 4 2 3" xfId="8128" xr:uid="{00000000-0005-0000-0000-0000BC1F0000}"/>
    <cellStyle name="40% - Accent2 2 4 4 2 3 2" xfId="8129" xr:uid="{00000000-0005-0000-0000-0000BD1F0000}"/>
    <cellStyle name="40% - Accent2 2 4 4 2 4" xfId="8130" xr:uid="{00000000-0005-0000-0000-0000BE1F0000}"/>
    <cellStyle name="40% - Accent2 2 4 4 3" xfId="8131" xr:uid="{00000000-0005-0000-0000-0000BF1F0000}"/>
    <cellStyle name="40% - Accent2 2 4 4 3 2" xfId="8132" xr:uid="{00000000-0005-0000-0000-0000C01F0000}"/>
    <cellStyle name="40% - Accent2 2 4 4 3 2 2" xfId="8133" xr:uid="{00000000-0005-0000-0000-0000C11F0000}"/>
    <cellStyle name="40% - Accent2 2 4 4 3 3" xfId="8134" xr:uid="{00000000-0005-0000-0000-0000C21F0000}"/>
    <cellStyle name="40% - Accent2 2 4 4 4" xfId="8135" xr:uid="{00000000-0005-0000-0000-0000C31F0000}"/>
    <cellStyle name="40% - Accent2 2 4 4 4 2" xfId="8136" xr:uid="{00000000-0005-0000-0000-0000C41F0000}"/>
    <cellStyle name="40% - Accent2 2 4 4 5" xfId="8137" xr:uid="{00000000-0005-0000-0000-0000C51F0000}"/>
    <cellStyle name="40% - Accent2 2 4 5" xfId="8138" xr:uid="{00000000-0005-0000-0000-0000C61F0000}"/>
    <cellStyle name="40% - Accent2 2 4 5 2" xfId="8139" xr:uid="{00000000-0005-0000-0000-0000C71F0000}"/>
    <cellStyle name="40% - Accent2 2 4 5 2 2" xfId="8140" xr:uid="{00000000-0005-0000-0000-0000C81F0000}"/>
    <cellStyle name="40% - Accent2 2 4 5 2 2 2" xfId="8141" xr:uid="{00000000-0005-0000-0000-0000C91F0000}"/>
    <cellStyle name="40% - Accent2 2 4 5 2 3" xfId="8142" xr:uid="{00000000-0005-0000-0000-0000CA1F0000}"/>
    <cellStyle name="40% - Accent2 2 4 5 3" xfId="8143" xr:uid="{00000000-0005-0000-0000-0000CB1F0000}"/>
    <cellStyle name="40% - Accent2 2 4 5 3 2" xfId="8144" xr:uid="{00000000-0005-0000-0000-0000CC1F0000}"/>
    <cellStyle name="40% - Accent2 2 4 5 4" xfId="8145" xr:uid="{00000000-0005-0000-0000-0000CD1F0000}"/>
    <cellStyle name="40% - Accent2 2 4 6" xfId="8146" xr:uid="{00000000-0005-0000-0000-0000CE1F0000}"/>
    <cellStyle name="40% - Accent2 2 4 6 2" xfId="8147" xr:uid="{00000000-0005-0000-0000-0000CF1F0000}"/>
    <cellStyle name="40% - Accent2 2 4 6 2 2" xfId="8148" xr:uid="{00000000-0005-0000-0000-0000D01F0000}"/>
    <cellStyle name="40% - Accent2 2 4 6 3" xfId="8149" xr:uid="{00000000-0005-0000-0000-0000D11F0000}"/>
    <cellStyle name="40% - Accent2 2 4 7" xfId="8150" xr:uid="{00000000-0005-0000-0000-0000D21F0000}"/>
    <cellStyle name="40% - Accent2 2 4 7 2" xfId="8151" xr:uid="{00000000-0005-0000-0000-0000D31F0000}"/>
    <cellStyle name="40% - Accent2 2 4 8" xfId="8152" xr:uid="{00000000-0005-0000-0000-0000D41F0000}"/>
    <cellStyle name="40% - Accent2 2 5" xfId="8153" xr:uid="{00000000-0005-0000-0000-0000D51F0000}"/>
    <cellStyle name="40% - Accent2 2 5 2" xfId="8154" xr:uid="{00000000-0005-0000-0000-0000D61F0000}"/>
    <cellStyle name="40% - Accent2 2 5 2 2" xfId="8155" xr:uid="{00000000-0005-0000-0000-0000D71F0000}"/>
    <cellStyle name="40% - Accent2 2 5 2 2 2" xfId="8156" xr:uid="{00000000-0005-0000-0000-0000D81F0000}"/>
    <cellStyle name="40% - Accent2 2 5 2 2 2 2" xfId="8157" xr:uid="{00000000-0005-0000-0000-0000D91F0000}"/>
    <cellStyle name="40% - Accent2 2 5 2 2 2 2 2" xfId="8158" xr:uid="{00000000-0005-0000-0000-0000DA1F0000}"/>
    <cellStyle name="40% - Accent2 2 5 2 2 2 2 2 2" xfId="8159" xr:uid="{00000000-0005-0000-0000-0000DB1F0000}"/>
    <cellStyle name="40% - Accent2 2 5 2 2 2 2 3" xfId="8160" xr:uid="{00000000-0005-0000-0000-0000DC1F0000}"/>
    <cellStyle name="40% - Accent2 2 5 2 2 2 3" xfId="8161" xr:uid="{00000000-0005-0000-0000-0000DD1F0000}"/>
    <cellStyle name="40% - Accent2 2 5 2 2 2 3 2" xfId="8162" xr:uid="{00000000-0005-0000-0000-0000DE1F0000}"/>
    <cellStyle name="40% - Accent2 2 5 2 2 2 4" xfId="8163" xr:uid="{00000000-0005-0000-0000-0000DF1F0000}"/>
    <cellStyle name="40% - Accent2 2 5 2 2 3" xfId="8164" xr:uid="{00000000-0005-0000-0000-0000E01F0000}"/>
    <cellStyle name="40% - Accent2 2 5 2 2 3 2" xfId="8165" xr:uid="{00000000-0005-0000-0000-0000E11F0000}"/>
    <cellStyle name="40% - Accent2 2 5 2 2 3 2 2" xfId="8166" xr:uid="{00000000-0005-0000-0000-0000E21F0000}"/>
    <cellStyle name="40% - Accent2 2 5 2 2 3 3" xfId="8167" xr:uid="{00000000-0005-0000-0000-0000E31F0000}"/>
    <cellStyle name="40% - Accent2 2 5 2 2 4" xfId="8168" xr:uid="{00000000-0005-0000-0000-0000E41F0000}"/>
    <cellStyle name="40% - Accent2 2 5 2 2 4 2" xfId="8169" xr:uid="{00000000-0005-0000-0000-0000E51F0000}"/>
    <cellStyle name="40% - Accent2 2 5 2 2 5" xfId="8170" xr:uid="{00000000-0005-0000-0000-0000E61F0000}"/>
    <cellStyle name="40% - Accent2 2 5 2 3" xfId="8171" xr:uid="{00000000-0005-0000-0000-0000E71F0000}"/>
    <cellStyle name="40% - Accent2 2 5 2 3 2" xfId="8172" xr:uid="{00000000-0005-0000-0000-0000E81F0000}"/>
    <cellStyle name="40% - Accent2 2 5 2 3 2 2" xfId="8173" xr:uid="{00000000-0005-0000-0000-0000E91F0000}"/>
    <cellStyle name="40% - Accent2 2 5 2 3 2 2 2" xfId="8174" xr:uid="{00000000-0005-0000-0000-0000EA1F0000}"/>
    <cellStyle name="40% - Accent2 2 5 2 3 2 3" xfId="8175" xr:uid="{00000000-0005-0000-0000-0000EB1F0000}"/>
    <cellStyle name="40% - Accent2 2 5 2 3 3" xfId="8176" xr:uid="{00000000-0005-0000-0000-0000EC1F0000}"/>
    <cellStyle name="40% - Accent2 2 5 2 3 3 2" xfId="8177" xr:uid="{00000000-0005-0000-0000-0000ED1F0000}"/>
    <cellStyle name="40% - Accent2 2 5 2 3 4" xfId="8178" xr:uid="{00000000-0005-0000-0000-0000EE1F0000}"/>
    <cellStyle name="40% - Accent2 2 5 2 4" xfId="8179" xr:uid="{00000000-0005-0000-0000-0000EF1F0000}"/>
    <cellStyle name="40% - Accent2 2 5 2 4 2" xfId="8180" xr:uid="{00000000-0005-0000-0000-0000F01F0000}"/>
    <cellStyle name="40% - Accent2 2 5 2 4 2 2" xfId="8181" xr:uid="{00000000-0005-0000-0000-0000F11F0000}"/>
    <cellStyle name="40% - Accent2 2 5 2 4 3" xfId="8182" xr:uid="{00000000-0005-0000-0000-0000F21F0000}"/>
    <cellStyle name="40% - Accent2 2 5 2 5" xfId="8183" xr:uid="{00000000-0005-0000-0000-0000F31F0000}"/>
    <cellStyle name="40% - Accent2 2 5 2 5 2" xfId="8184" xr:uid="{00000000-0005-0000-0000-0000F41F0000}"/>
    <cellStyle name="40% - Accent2 2 5 2 6" xfId="8185" xr:uid="{00000000-0005-0000-0000-0000F51F0000}"/>
    <cellStyle name="40% - Accent2 2 5 3" xfId="8186" xr:uid="{00000000-0005-0000-0000-0000F61F0000}"/>
    <cellStyle name="40% - Accent2 2 5 3 2" xfId="8187" xr:uid="{00000000-0005-0000-0000-0000F71F0000}"/>
    <cellStyle name="40% - Accent2 2 5 3 2 2" xfId="8188" xr:uid="{00000000-0005-0000-0000-0000F81F0000}"/>
    <cellStyle name="40% - Accent2 2 5 3 2 2 2" xfId="8189" xr:uid="{00000000-0005-0000-0000-0000F91F0000}"/>
    <cellStyle name="40% - Accent2 2 5 3 2 2 2 2" xfId="8190" xr:uid="{00000000-0005-0000-0000-0000FA1F0000}"/>
    <cellStyle name="40% - Accent2 2 5 3 2 2 3" xfId="8191" xr:uid="{00000000-0005-0000-0000-0000FB1F0000}"/>
    <cellStyle name="40% - Accent2 2 5 3 2 3" xfId="8192" xr:uid="{00000000-0005-0000-0000-0000FC1F0000}"/>
    <cellStyle name="40% - Accent2 2 5 3 2 3 2" xfId="8193" xr:uid="{00000000-0005-0000-0000-0000FD1F0000}"/>
    <cellStyle name="40% - Accent2 2 5 3 2 4" xfId="8194" xr:uid="{00000000-0005-0000-0000-0000FE1F0000}"/>
    <cellStyle name="40% - Accent2 2 5 3 3" xfId="8195" xr:uid="{00000000-0005-0000-0000-0000FF1F0000}"/>
    <cellStyle name="40% - Accent2 2 5 3 3 2" xfId="8196" xr:uid="{00000000-0005-0000-0000-000000200000}"/>
    <cellStyle name="40% - Accent2 2 5 3 3 2 2" xfId="8197" xr:uid="{00000000-0005-0000-0000-000001200000}"/>
    <cellStyle name="40% - Accent2 2 5 3 3 3" xfId="8198" xr:uid="{00000000-0005-0000-0000-000002200000}"/>
    <cellStyle name="40% - Accent2 2 5 3 4" xfId="8199" xr:uid="{00000000-0005-0000-0000-000003200000}"/>
    <cellStyle name="40% - Accent2 2 5 3 4 2" xfId="8200" xr:uid="{00000000-0005-0000-0000-000004200000}"/>
    <cellStyle name="40% - Accent2 2 5 3 5" xfId="8201" xr:uid="{00000000-0005-0000-0000-000005200000}"/>
    <cellStyle name="40% - Accent2 2 5 4" xfId="8202" xr:uid="{00000000-0005-0000-0000-000006200000}"/>
    <cellStyle name="40% - Accent2 2 5 4 2" xfId="8203" xr:uid="{00000000-0005-0000-0000-000007200000}"/>
    <cellStyle name="40% - Accent2 2 5 4 2 2" xfId="8204" xr:uid="{00000000-0005-0000-0000-000008200000}"/>
    <cellStyle name="40% - Accent2 2 5 4 2 2 2" xfId="8205" xr:uid="{00000000-0005-0000-0000-000009200000}"/>
    <cellStyle name="40% - Accent2 2 5 4 2 3" xfId="8206" xr:uid="{00000000-0005-0000-0000-00000A200000}"/>
    <cellStyle name="40% - Accent2 2 5 4 3" xfId="8207" xr:uid="{00000000-0005-0000-0000-00000B200000}"/>
    <cellStyle name="40% - Accent2 2 5 4 3 2" xfId="8208" xr:uid="{00000000-0005-0000-0000-00000C200000}"/>
    <cellStyle name="40% - Accent2 2 5 4 4" xfId="8209" xr:uid="{00000000-0005-0000-0000-00000D200000}"/>
    <cellStyle name="40% - Accent2 2 5 5" xfId="8210" xr:uid="{00000000-0005-0000-0000-00000E200000}"/>
    <cellStyle name="40% - Accent2 2 5 5 2" xfId="8211" xr:uid="{00000000-0005-0000-0000-00000F200000}"/>
    <cellStyle name="40% - Accent2 2 5 5 2 2" xfId="8212" xr:uid="{00000000-0005-0000-0000-000010200000}"/>
    <cellStyle name="40% - Accent2 2 5 5 3" xfId="8213" xr:uid="{00000000-0005-0000-0000-000011200000}"/>
    <cellStyle name="40% - Accent2 2 5 6" xfId="8214" xr:uid="{00000000-0005-0000-0000-000012200000}"/>
    <cellStyle name="40% - Accent2 2 5 6 2" xfId="8215" xr:uid="{00000000-0005-0000-0000-000013200000}"/>
    <cellStyle name="40% - Accent2 2 5 7" xfId="8216" xr:uid="{00000000-0005-0000-0000-000014200000}"/>
    <cellStyle name="40% - Accent2 2 6" xfId="8217" xr:uid="{00000000-0005-0000-0000-000015200000}"/>
    <cellStyle name="40% - Accent2 2 6 2" xfId="8218" xr:uid="{00000000-0005-0000-0000-000016200000}"/>
    <cellStyle name="40% - Accent2 2 6 2 2" xfId="8219" xr:uid="{00000000-0005-0000-0000-000017200000}"/>
    <cellStyle name="40% - Accent2 2 6 2 2 2" xfId="8220" xr:uid="{00000000-0005-0000-0000-000018200000}"/>
    <cellStyle name="40% - Accent2 2 6 2 2 2 2" xfId="8221" xr:uid="{00000000-0005-0000-0000-000019200000}"/>
    <cellStyle name="40% - Accent2 2 6 2 2 2 2 2" xfId="8222" xr:uid="{00000000-0005-0000-0000-00001A200000}"/>
    <cellStyle name="40% - Accent2 2 6 2 2 2 3" xfId="8223" xr:uid="{00000000-0005-0000-0000-00001B200000}"/>
    <cellStyle name="40% - Accent2 2 6 2 2 3" xfId="8224" xr:uid="{00000000-0005-0000-0000-00001C200000}"/>
    <cellStyle name="40% - Accent2 2 6 2 2 3 2" xfId="8225" xr:uid="{00000000-0005-0000-0000-00001D200000}"/>
    <cellStyle name="40% - Accent2 2 6 2 2 4" xfId="8226" xr:uid="{00000000-0005-0000-0000-00001E200000}"/>
    <cellStyle name="40% - Accent2 2 6 2 3" xfId="8227" xr:uid="{00000000-0005-0000-0000-00001F200000}"/>
    <cellStyle name="40% - Accent2 2 6 2 3 2" xfId="8228" xr:uid="{00000000-0005-0000-0000-000020200000}"/>
    <cellStyle name="40% - Accent2 2 6 2 3 2 2" xfId="8229" xr:uid="{00000000-0005-0000-0000-000021200000}"/>
    <cellStyle name="40% - Accent2 2 6 2 3 3" xfId="8230" xr:uid="{00000000-0005-0000-0000-000022200000}"/>
    <cellStyle name="40% - Accent2 2 6 2 4" xfId="8231" xr:uid="{00000000-0005-0000-0000-000023200000}"/>
    <cellStyle name="40% - Accent2 2 6 2 4 2" xfId="8232" xr:uid="{00000000-0005-0000-0000-000024200000}"/>
    <cellStyle name="40% - Accent2 2 6 2 5" xfId="8233" xr:uid="{00000000-0005-0000-0000-000025200000}"/>
    <cellStyle name="40% - Accent2 2 6 3" xfId="8234" xr:uid="{00000000-0005-0000-0000-000026200000}"/>
    <cellStyle name="40% - Accent2 2 6 3 2" xfId="8235" xr:uid="{00000000-0005-0000-0000-000027200000}"/>
    <cellStyle name="40% - Accent2 2 6 3 2 2" xfId="8236" xr:uid="{00000000-0005-0000-0000-000028200000}"/>
    <cellStyle name="40% - Accent2 2 6 3 2 2 2" xfId="8237" xr:uid="{00000000-0005-0000-0000-000029200000}"/>
    <cellStyle name="40% - Accent2 2 6 3 2 3" xfId="8238" xr:uid="{00000000-0005-0000-0000-00002A200000}"/>
    <cellStyle name="40% - Accent2 2 6 3 3" xfId="8239" xr:uid="{00000000-0005-0000-0000-00002B200000}"/>
    <cellStyle name="40% - Accent2 2 6 3 3 2" xfId="8240" xr:uid="{00000000-0005-0000-0000-00002C200000}"/>
    <cellStyle name="40% - Accent2 2 6 3 4" xfId="8241" xr:uid="{00000000-0005-0000-0000-00002D200000}"/>
    <cellStyle name="40% - Accent2 2 6 4" xfId="8242" xr:uid="{00000000-0005-0000-0000-00002E200000}"/>
    <cellStyle name="40% - Accent2 2 6 4 2" xfId="8243" xr:uid="{00000000-0005-0000-0000-00002F200000}"/>
    <cellStyle name="40% - Accent2 2 6 4 2 2" xfId="8244" xr:uid="{00000000-0005-0000-0000-000030200000}"/>
    <cellStyle name="40% - Accent2 2 6 4 3" xfId="8245" xr:uid="{00000000-0005-0000-0000-000031200000}"/>
    <cellStyle name="40% - Accent2 2 6 5" xfId="8246" xr:uid="{00000000-0005-0000-0000-000032200000}"/>
    <cellStyle name="40% - Accent2 2 6 5 2" xfId="8247" xr:uid="{00000000-0005-0000-0000-000033200000}"/>
    <cellStyle name="40% - Accent2 2 6 6" xfId="8248" xr:uid="{00000000-0005-0000-0000-000034200000}"/>
    <cellStyle name="40% - Accent2 2 7" xfId="8249" xr:uid="{00000000-0005-0000-0000-000035200000}"/>
    <cellStyle name="40% - Accent2 2 7 2" xfId="8250" xr:uid="{00000000-0005-0000-0000-000036200000}"/>
    <cellStyle name="40% - Accent2 2 7 2 2" xfId="8251" xr:uid="{00000000-0005-0000-0000-000037200000}"/>
    <cellStyle name="40% - Accent2 2 7 2 2 2" xfId="8252" xr:uid="{00000000-0005-0000-0000-000038200000}"/>
    <cellStyle name="40% - Accent2 2 7 2 2 2 2" xfId="8253" xr:uid="{00000000-0005-0000-0000-000039200000}"/>
    <cellStyle name="40% - Accent2 2 7 2 2 3" xfId="8254" xr:uid="{00000000-0005-0000-0000-00003A200000}"/>
    <cellStyle name="40% - Accent2 2 7 2 3" xfId="8255" xr:uid="{00000000-0005-0000-0000-00003B200000}"/>
    <cellStyle name="40% - Accent2 2 7 2 3 2" xfId="8256" xr:uid="{00000000-0005-0000-0000-00003C200000}"/>
    <cellStyle name="40% - Accent2 2 7 2 4" xfId="8257" xr:uid="{00000000-0005-0000-0000-00003D200000}"/>
    <cellStyle name="40% - Accent2 2 7 3" xfId="8258" xr:uid="{00000000-0005-0000-0000-00003E200000}"/>
    <cellStyle name="40% - Accent2 2 7 3 2" xfId="8259" xr:uid="{00000000-0005-0000-0000-00003F200000}"/>
    <cellStyle name="40% - Accent2 2 7 3 2 2" xfId="8260" xr:uid="{00000000-0005-0000-0000-000040200000}"/>
    <cellStyle name="40% - Accent2 2 7 3 3" xfId="8261" xr:uid="{00000000-0005-0000-0000-000041200000}"/>
    <cellStyle name="40% - Accent2 2 7 4" xfId="8262" xr:uid="{00000000-0005-0000-0000-000042200000}"/>
    <cellStyle name="40% - Accent2 2 7 4 2" xfId="8263" xr:uid="{00000000-0005-0000-0000-000043200000}"/>
    <cellStyle name="40% - Accent2 2 7 5" xfId="8264" xr:uid="{00000000-0005-0000-0000-000044200000}"/>
    <cellStyle name="40% - Accent2 2 8" xfId="8265" xr:uid="{00000000-0005-0000-0000-000045200000}"/>
    <cellStyle name="40% - Accent2 2 8 2" xfId="8266" xr:uid="{00000000-0005-0000-0000-000046200000}"/>
    <cellStyle name="40% - Accent2 2 8 2 2" xfId="8267" xr:uid="{00000000-0005-0000-0000-000047200000}"/>
    <cellStyle name="40% - Accent2 2 8 2 2 2" xfId="8268" xr:uid="{00000000-0005-0000-0000-000048200000}"/>
    <cellStyle name="40% - Accent2 2 8 2 3" xfId="8269" xr:uid="{00000000-0005-0000-0000-000049200000}"/>
    <cellStyle name="40% - Accent2 2 8 3" xfId="8270" xr:uid="{00000000-0005-0000-0000-00004A200000}"/>
    <cellStyle name="40% - Accent2 2 8 3 2" xfId="8271" xr:uid="{00000000-0005-0000-0000-00004B200000}"/>
    <cellStyle name="40% - Accent2 2 8 4" xfId="8272" xr:uid="{00000000-0005-0000-0000-00004C200000}"/>
    <cellStyle name="40% - Accent2 2 9" xfId="8273" xr:uid="{00000000-0005-0000-0000-00004D200000}"/>
    <cellStyle name="40% - Accent2 2 9 2" xfId="8274" xr:uid="{00000000-0005-0000-0000-00004E200000}"/>
    <cellStyle name="40% - Accent2 2 9 2 2" xfId="8275" xr:uid="{00000000-0005-0000-0000-00004F200000}"/>
    <cellStyle name="40% - Accent2 2 9 3" xfId="8276" xr:uid="{00000000-0005-0000-0000-000050200000}"/>
    <cellStyle name="40% - Accent2 3" xfId="8277" xr:uid="{00000000-0005-0000-0000-000051200000}"/>
    <cellStyle name="40% - Accent2 4" xfId="8278" xr:uid="{00000000-0005-0000-0000-000052200000}"/>
    <cellStyle name="40% - Accent2 5" xfId="8279" xr:uid="{00000000-0005-0000-0000-000053200000}"/>
    <cellStyle name="40% - Accent2 6" xfId="8280" xr:uid="{00000000-0005-0000-0000-000054200000}"/>
    <cellStyle name="40% - Accent2 7" xfId="8281" xr:uid="{00000000-0005-0000-0000-000055200000}"/>
    <cellStyle name="40% - Accent2 8" xfId="8282" xr:uid="{00000000-0005-0000-0000-000056200000}"/>
    <cellStyle name="40% - Accent2 9" xfId="8283" xr:uid="{00000000-0005-0000-0000-000057200000}"/>
    <cellStyle name="40% - Accent3 10" xfId="8284" xr:uid="{00000000-0005-0000-0000-000058200000}"/>
    <cellStyle name="40% - Accent3 11" xfId="8285" xr:uid="{00000000-0005-0000-0000-000059200000}"/>
    <cellStyle name="40% - Accent3 12" xfId="8286" xr:uid="{00000000-0005-0000-0000-00005A200000}"/>
    <cellStyle name="40% - Accent3 13" xfId="8287" xr:uid="{00000000-0005-0000-0000-00005B200000}"/>
    <cellStyle name="40% - Accent3 2" xfId="8288" xr:uid="{00000000-0005-0000-0000-00005C200000}"/>
    <cellStyle name="40% - Accent3 2 10" xfId="8289" xr:uid="{00000000-0005-0000-0000-00005D200000}"/>
    <cellStyle name="40% - Accent3 2 10 2" xfId="8290" xr:uid="{00000000-0005-0000-0000-00005E200000}"/>
    <cellStyle name="40% - Accent3 2 11" xfId="8291" xr:uid="{00000000-0005-0000-0000-00005F200000}"/>
    <cellStyle name="40% - Accent3 2 2" xfId="8292" xr:uid="{00000000-0005-0000-0000-000060200000}"/>
    <cellStyle name="40% - Accent3 2 2 10" xfId="8293" xr:uid="{00000000-0005-0000-0000-000061200000}"/>
    <cellStyle name="40% - Accent3 2 2 2" xfId="8294" xr:uid="{00000000-0005-0000-0000-000062200000}"/>
    <cellStyle name="40% - Accent3 2 2 2 2" xfId="8295" xr:uid="{00000000-0005-0000-0000-000063200000}"/>
    <cellStyle name="40% - Accent3 2 2 2 2 2" xfId="8296" xr:uid="{00000000-0005-0000-0000-000064200000}"/>
    <cellStyle name="40% - Accent3 2 2 2 2 2 2" xfId="8297" xr:uid="{00000000-0005-0000-0000-000065200000}"/>
    <cellStyle name="40% - Accent3 2 2 2 2 2 2 2" xfId="8298" xr:uid="{00000000-0005-0000-0000-000066200000}"/>
    <cellStyle name="40% - Accent3 2 2 2 2 2 2 2 2" xfId="8299" xr:uid="{00000000-0005-0000-0000-000067200000}"/>
    <cellStyle name="40% - Accent3 2 2 2 2 2 2 2 2 2" xfId="8300" xr:uid="{00000000-0005-0000-0000-000068200000}"/>
    <cellStyle name="40% - Accent3 2 2 2 2 2 2 2 2 2 2" xfId="8301" xr:uid="{00000000-0005-0000-0000-000069200000}"/>
    <cellStyle name="40% - Accent3 2 2 2 2 2 2 2 2 2 2 2" xfId="8302" xr:uid="{00000000-0005-0000-0000-00006A200000}"/>
    <cellStyle name="40% - Accent3 2 2 2 2 2 2 2 2 2 3" xfId="8303" xr:uid="{00000000-0005-0000-0000-00006B200000}"/>
    <cellStyle name="40% - Accent3 2 2 2 2 2 2 2 2 3" xfId="8304" xr:uid="{00000000-0005-0000-0000-00006C200000}"/>
    <cellStyle name="40% - Accent3 2 2 2 2 2 2 2 2 3 2" xfId="8305" xr:uid="{00000000-0005-0000-0000-00006D200000}"/>
    <cellStyle name="40% - Accent3 2 2 2 2 2 2 2 2 4" xfId="8306" xr:uid="{00000000-0005-0000-0000-00006E200000}"/>
    <cellStyle name="40% - Accent3 2 2 2 2 2 2 2 3" xfId="8307" xr:uid="{00000000-0005-0000-0000-00006F200000}"/>
    <cellStyle name="40% - Accent3 2 2 2 2 2 2 2 3 2" xfId="8308" xr:uid="{00000000-0005-0000-0000-000070200000}"/>
    <cellStyle name="40% - Accent3 2 2 2 2 2 2 2 3 2 2" xfId="8309" xr:uid="{00000000-0005-0000-0000-000071200000}"/>
    <cellStyle name="40% - Accent3 2 2 2 2 2 2 2 3 3" xfId="8310" xr:uid="{00000000-0005-0000-0000-000072200000}"/>
    <cellStyle name="40% - Accent3 2 2 2 2 2 2 2 4" xfId="8311" xr:uid="{00000000-0005-0000-0000-000073200000}"/>
    <cellStyle name="40% - Accent3 2 2 2 2 2 2 2 4 2" xfId="8312" xr:uid="{00000000-0005-0000-0000-000074200000}"/>
    <cellStyle name="40% - Accent3 2 2 2 2 2 2 2 5" xfId="8313" xr:uid="{00000000-0005-0000-0000-000075200000}"/>
    <cellStyle name="40% - Accent3 2 2 2 2 2 2 3" xfId="8314" xr:uid="{00000000-0005-0000-0000-000076200000}"/>
    <cellStyle name="40% - Accent3 2 2 2 2 2 2 3 2" xfId="8315" xr:uid="{00000000-0005-0000-0000-000077200000}"/>
    <cellStyle name="40% - Accent3 2 2 2 2 2 2 3 2 2" xfId="8316" xr:uid="{00000000-0005-0000-0000-000078200000}"/>
    <cellStyle name="40% - Accent3 2 2 2 2 2 2 3 2 2 2" xfId="8317" xr:uid="{00000000-0005-0000-0000-000079200000}"/>
    <cellStyle name="40% - Accent3 2 2 2 2 2 2 3 2 3" xfId="8318" xr:uid="{00000000-0005-0000-0000-00007A200000}"/>
    <cellStyle name="40% - Accent3 2 2 2 2 2 2 3 3" xfId="8319" xr:uid="{00000000-0005-0000-0000-00007B200000}"/>
    <cellStyle name="40% - Accent3 2 2 2 2 2 2 3 3 2" xfId="8320" xr:uid="{00000000-0005-0000-0000-00007C200000}"/>
    <cellStyle name="40% - Accent3 2 2 2 2 2 2 3 4" xfId="8321" xr:uid="{00000000-0005-0000-0000-00007D200000}"/>
    <cellStyle name="40% - Accent3 2 2 2 2 2 2 4" xfId="8322" xr:uid="{00000000-0005-0000-0000-00007E200000}"/>
    <cellStyle name="40% - Accent3 2 2 2 2 2 2 4 2" xfId="8323" xr:uid="{00000000-0005-0000-0000-00007F200000}"/>
    <cellStyle name="40% - Accent3 2 2 2 2 2 2 4 2 2" xfId="8324" xr:uid="{00000000-0005-0000-0000-000080200000}"/>
    <cellStyle name="40% - Accent3 2 2 2 2 2 2 4 3" xfId="8325" xr:uid="{00000000-0005-0000-0000-000081200000}"/>
    <cellStyle name="40% - Accent3 2 2 2 2 2 2 5" xfId="8326" xr:uid="{00000000-0005-0000-0000-000082200000}"/>
    <cellStyle name="40% - Accent3 2 2 2 2 2 2 5 2" xfId="8327" xr:uid="{00000000-0005-0000-0000-000083200000}"/>
    <cellStyle name="40% - Accent3 2 2 2 2 2 2 6" xfId="8328" xr:uid="{00000000-0005-0000-0000-000084200000}"/>
    <cellStyle name="40% - Accent3 2 2 2 2 2 3" xfId="8329" xr:uid="{00000000-0005-0000-0000-000085200000}"/>
    <cellStyle name="40% - Accent3 2 2 2 2 2 3 2" xfId="8330" xr:uid="{00000000-0005-0000-0000-000086200000}"/>
    <cellStyle name="40% - Accent3 2 2 2 2 2 3 2 2" xfId="8331" xr:uid="{00000000-0005-0000-0000-000087200000}"/>
    <cellStyle name="40% - Accent3 2 2 2 2 2 3 2 2 2" xfId="8332" xr:uid="{00000000-0005-0000-0000-000088200000}"/>
    <cellStyle name="40% - Accent3 2 2 2 2 2 3 2 2 2 2" xfId="8333" xr:uid="{00000000-0005-0000-0000-000089200000}"/>
    <cellStyle name="40% - Accent3 2 2 2 2 2 3 2 2 3" xfId="8334" xr:uid="{00000000-0005-0000-0000-00008A200000}"/>
    <cellStyle name="40% - Accent3 2 2 2 2 2 3 2 3" xfId="8335" xr:uid="{00000000-0005-0000-0000-00008B200000}"/>
    <cellStyle name="40% - Accent3 2 2 2 2 2 3 2 3 2" xfId="8336" xr:uid="{00000000-0005-0000-0000-00008C200000}"/>
    <cellStyle name="40% - Accent3 2 2 2 2 2 3 2 4" xfId="8337" xr:uid="{00000000-0005-0000-0000-00008D200000}"/>
    <cellStyle name="40% - Accent3 2 2 2 2 2 3 3" xfId="8338" xr:uid="{00000000-0005-0000-0000-00008E200000}"/>
    <cellStyle name="40% - Accent3 2 2 2 2 2 3 3 2" xfId="8339" xr:uid="{00000000-0005-0000-0000-00008F200000}"/>
    <cellStyle name="40% - Accent3 2 2 2 2 2 3 3 2 2" xfId="8340" xr:uid="{00000000-0005-0000-0000-000090200000}"/>
    <cellStyle name="40% - Accent3 2 2 2 2 2 3 3 3" xfId="8341" xr:uid="{00000000-0005-0000-0000-000091200000}"/>
    <cellStyle name="40% - Accent3 2 2 2 2 2 3 4" xfId="8342" xr:uid="{00000000-0005-0000-0000-000092200000}"/>
    <cellStyle name="40% - Accent3 2 2 2 2 2 3 4 2" xfId="8343" xr:uid="{00000000-0005-0000-0000-000093200000}"/>
    <cellStyle name="40% - Accent3 2 2 2 2 2 3 5" xfId="8344" xr:uid="{00000000-0005-0000-0000-000094200000}"/>
    <cellStyle name="40% - Accent3 2 2 2 2 2 4" xfId="8345" xr:uid="{00000000-0005-0000-0000-000095200000}"/>
    <cellStyle name="40% - Accent3 2 2 2 2 2 4 2" xfId="8346" xr:uid="{00000000-0005-0000-0000-000096200000}"/>
    <cellStyle name="40% - Accent3 2 2 2 2 2 4 2 2" xfId="8347" xr:uid="{00000000-0005-0000-0000-000097200000}"/>
    <cellStyle name="40% - Accent3 2 2 2 2 2 4 2 2 2" xfId="8348" xr:uid="{00000000-0005-0000-0000-000098200000}"/>
    <cellStyle name="40% - Accent3 2 2 2 2 2 4 2 3" xfId="8349" xr:uid="{00000000-0005-0000-0000-000099200000}"/>
    <cellStyle name="40% - Accent3 2 2 2 2 2 4 3" xfId="8350" xr:uid="{00000000-0005-0000-0000-00009A200000}"/>
    <cellStyle name="40% - Accent3 2 2 2 2 2 4 3 2" xfId="8351" xr:uid="{00000000-0005-0000-0000-00009B200000}"/>
    <cellStyle name="40% - Accent3 2 2 2 2 2 4 4" xfId="8352" xr:uid="{00000000-0005-0000-0000-00009C200000}"/>
    <cellStyle name="40% - Accent3 2 2 2 2 2 5" xfId="8353" xr:uid="{00000000-0005-0000-0000-00009D200000}"/>
    <cellStyle name="40% - Accent3 2 2 2 2 2 5 2" xfId="8354" xr:uid="{00000000-0005-0000-0000-00009E200000}"/>
    <cellStyle name="40% - Accent3 2 2 2 2 2 5 2 2" xfId="8355" xr:uid="{00000000-0005-0000-0000-00009F200000}"/>
    <cellStyle name="40% - Accent3 2 2 2 2 2 5 3" xfId="8356" xr:uid="{00000000-0005-0000-0000-0000A0200000}"/>
    <cellStyle name="40% - Accent3 2 2 2 2 2 6" xfId="8357" xr:uid="{00000000-0005-0000-0000-0000A1200000}"/>
    <cellStyle name="40% - Accent3 2 2 2 2 2 6 2" xfId="8358" xr:uid="{00000000-0005-0000-0000-0000A2200000}"/>
    <cellStyle name="40% - Accent3 2 2 2 2 2 7" xfId="8359" xr:uid="{00000000-0005-0000-0000-0000A3200000}"/>
    <cellStyle name="40% - Accent3 2 2 2 2 3" xfId="8360" xr:uid="{00000000-0005-0000-0000-0000A4200000}"/>
    <cellStyle name="40% - Accent3 2 2 2 2 3 2" xfId="8361" xr:uid="{00000000-0005-0000-0000-0000A5200000}"/>
    <cellStyle name="40% - Accent3 2 2 2 2 3 2 2" xfId="8362" xr:uid="{00000000-0005-0000-0000-0000A6200000}"/>
    <cellStyle name="40% - Accent3 2 2 2 2 3 2 2 2" xfId="8363" xr:uid="{00000000-0005-0000-0000-0000A7200000}"/>
    <cellStyle name="40% - Accent3 2 2 2 2 3 2 2 2 2" xfId="8364" xr:uid="{00000000-0005-0000-0000-0000A8200000}"/>
    <cellStyle name="40% - Accent3 2 2 2 2 3 2 2 2 2 2" xfId="8365" xr:uid="{00000000-0005-0000-0000-0000A9200000}"/>
    <cellStyle name="40% - Accent3 2 2 2 2 3 2 2 2 3" xfId="8366" xr:uid="{00000000-0005-0000-0000-0000AA200000}"/>
    <cellStyle name="40% - Accent3 2 2 2 2 3 2 2 3" xfId="8367" xr:uid="{00000000-0005-0000-0000-0000AB200000}"/>
    <cellStyle name="40% - Accent3 2 2 2 2 3 2 2 3 2" xfId="8368" xr:uid="{00000000-0005-0000-0000-0000AC200000}"/>
    <cellStyle name="40% - Accent3 2 2 2 2 3 2 2 4" xfId="8369" xr:uid="{00000000-0005-0000-0000-0000AD200000}"/>
    <cellStyle name="40% - Accent3 2 2 2 2 3 2 3" xfId="8370" xr:uid="{00000000-0005-0000-0000-0000AE200000}"/>
    <cellStyle name="40% - Accent3 2 2 2 2 3 2 3 2" xfId="8371" xr:uid="{00000000-0005-0000-0000-0000AF200000}"/>
    <cellStyle name="40% - Accent3 2 2 2 2 3 2 3 2 2" xfId="8372" xr:uid="{00000000-0005-0000-0000-0000B0200000}"/>
    <cellStyle name="40% - Accent3 2 2 2 2 3 2 3 3" xfId="8373" xr:uid="{00000000-0005-0000-0000-0000B1200000}"/>
    <cellStyle name="40% - Accent3 2 2 2 2 3 2 4" xfId="8374" xr:uid="{00000000-0005-0000-0000-0000B2200000}"/>
    <cellStyle name="40% - Accent3 2 2 2 2 3 2 4 2" xfId="8375" xr:uid="{00000000-0005-0000-0000-0000B3200000}"/>
    <cellStyle name="40% - Accent3 2 2 2 2 3 2 5" xfId="8376" xr:uid="{00000000-0005-0000-0000-0000B4200000}"/>
    <cellStyle name="40% - Accent3 2 2 2 2 3 3" xfId="8377" xr:uid="{00000000-0005-0000-0000-0000B5200000}"/>
    <cellStyle name="40% - Accent3 2 2 2 2 3 3 2" xfId="8378" xr:uid="{00000000-0005-0000-0000-0000B6200000}"/>
    <cellStyle name="40% - Accent3 2 2 2 2 3 3 2 2" xfId="8379" xr:uid="{00000000-0005-0000-0000-0000B7200000}"/>
    <cellStyle name="40% - Accent3 2 2 2 2 3 3 2 2 2" xfId="8380" xr:uid="{00000000-0005-0000-0000-0000B8200000}"/>
    <cellStyle name="40% - Accent3 2 2 2 2 3 3 2 3" xfId="8381" xr:uid="{00000000-0005-0000-0000-0000B9200000}"/>
    <cellStyle name="40% - Accent3 2 2 2 2 3 3 3" xfId="8382" xr:uid="{00000000-0005-0000-0000-0000BA200000}"/>
    <cellStyle name="40% - Accent3 2 2 2 2 3 3 3 2" xfId="8383" xr:uid="{00000000-0005-0000-0000-0000BB200000}"/>
    <cellStyle name="40% - Accent3 2 2 2 2 3 3 4" xfId="8384" xr:uid="{00000000-0005-0000-0000-0000BC200000}"/>
    <cellStyle name="40% - Accent3 2 2 2 2 3 4" xfId="8385" xr:uid="{00000000-0005-0000-0000-0000BD200000}"/>
    <cellStyle name="40% - Accent3 2 2 2 2 3 4 2" xfId="8386" xr:uid="{00000000-0005-0000-0000-0000BE200000}"/>
    <cellStyle name="40% - Accent3 2 2 2 2 3 4 2 2" xfId="8387" xr:uid="{00000000-0005-0000-0000-0000BF200000}"/>
    <cellStyle name="40% - Accent3 2 2 2 2 3 4 3" xfId="8388" xr:uid="{00000000-0005-0000-0000-0000C0200000}"/>
    <cellStyle name="40% - Accent3 2 2 2 2 3 5" xfId="8389" xr:uid="{00000000-0005-0000-0000-0000C1200000}"/>
    <cellStyle name="40% - Accent3 2 2 2 2 3 5 2" xfId="8390" xr:uid="{00000000-0005-0000-0000-0000C2200000}"/>
    <cellStyle name="40% - Accent3 2 2 2 2 3 6" xfId="8391" xr:uid="{00000000-0005-0000-0000-0000C3200000}"/>
    <cellStyle name="40% - Accent3 2 2 2 2 4" xfId="8392" xr:uid="{00000000-0005-0000-0000-0000C4200000}"/>
    <cellStyle name="40% - Accent3 2 2 2 2 4 2" xfId="8393" xr:uid="{00000000-0005-0000-0000-0000C5200000}"/>
    <cellStyle name="40% - Accent3 2 2 2 2 4 2 2" xfId="8394" xr:uid="{00000000-0005-0000-0000-0000C6200000}"/>
    <cellStyle name="40% - Accent3 2 2 2 2 4 2 2 2" xfId="8395" xr:uid="{00000000-0005-0000-0000-0000C7200000}"/>
    <cellStyle name="40% - Accent3 2 2 2 2 4 2 2 2 2" xfId="8396" xr:uid="{00000000-0005-0000-0000-0000C8200000}"/>
    <cellStyle name="40% - Accent3 2 2 2 2 4 2 2 3" xfId="8397" xr:uid="{00000000-0005-0000-0000-0000C9200000}"/>
    <cellStyle name="40% - Accent3 2 2 2 2 4 2 3" xfId="8398" xr:uid="{00000000-0005-0000-0000-0000CA200000}"/>
    <cellStyle name="40% - Accent3 2 2 2 2 4 2 3 2" xfId="8399" xr:uid="{00000000-0005-0000-0000-0000CB200000}"/>
    <cellStyle name="40% - Accent3 2 2 2 2 4 2 4" xfId="8400" xr:uid="{00000000-0005-0000-0000-0000CC200000}"/>
    <cellStyle name="40% - Accent3 2 2 2 2 4 3" xfId="8401" xr:uid="{00000000-0005-0000-0000-0000CD200000}"/>
    <cellStyle name="40% - Accent3 2 2 2 2 4 3 2" xfId="8402" xr:uid="{00000000-0005-0000-0000-0000CE200000}"/>
    <cellStyle name="40% - Accent3 2 2 2 2 4 3 2 2" xfId="8403" xr:uid="{00000000-0005-0000-0000-0000CF200000}"/>
    <cellStyle name="40% - Accent3 2 2 2 2 4 3 3" xfId="8404" xr:uid="{00000000-0005-0000-0000-0000D0200000}"/>
    <cellStyle name="40% - Accent3 2 2 2 2 4 4" xfId="8405" xr:uid="{00000000-0005-0000-0000-0000D1200000}"/>
    <cellStyle name="40% - Accent3 2 2 2 2 4 4 2" xfId="8406" xr:uid="{00000000-0005-0000-0000-0000D2200000}"/>
    <cellStyle name="40% - Accent3 2 2 2 2 4 5" xfId="8407" xr:uid="{00000000-0005-0000-0000-0000D3200000}"/>
    <cellStyle name="40% - Accent3 2 2 2 2 5" xfId="8408" xr:uid="{00000000-0005-0000-0000-0000D4200000}"/>
    <cellStyle name="40% - Accent3 2 2 2 2 5 2" xfId="8409" xr:uid="{00000000-0005-0000-0000-0000D5200000}"/>
    <cellStyle name="40% - Accent3 2 2 2 2 5 2 2" xfId="8410" xr:uid="{00000000-0005-0000-0000-0000D6200000}"/>
    <cellStyle name="40% - Accent3 2 2 2 2 5 2 2 2" xfId="8411" xr:uid="{00000000-0005-0000-0000-0000D7200000}"/>
    <cellStyle name="40% - Accent3 2 2 2 2 5 2 3" xfId="8412" xr:uid="{00000000-0005-0000-0000-0000D8200000}"/>
    <cellStyle name="40% - Accent3 2 2 2 2 5 3" xfId="8413" xr:uid="{00000000-0005-0000-0000-0000D9200000}"/>
    <cellStyle name="40% - Accent3 2 2 2 2 5 3 2" xfId="8414" xr:uid="{00000000-0005-0000-0000-0000DA200000}"/>
    <cellStyle name="40% - Accent3 2 2 2 2 5 4" xfId="8415" xr:uid="{00000000-0005-0000-0000-0000DB200000}"/>
    <cellStyle name="40% - Accent3 2 2 2 2 6" xfId="8416" xr:uid="{00000000-0005-0000-0000-0000DC200000}"/>
    <cellStyle name="40% - Accent3 2 2 2 2 6 2" xfId="8417" xr:uid="{00000000-0005-0000-0000-0000DD200000}"/>
    <cellStyle name="40% - Accent3 2 2 2 2 6 2 2" xfId="8418" xr:uid="{00000000-0005-0000-0000-0000DE200000}"/>
    <cellStyle name="40% - Accent3 2 2 2 2 6 3" xfId="8419" xr:uid="{00000000-0005-0000-0000-0000DF200000}"/>
    <cellStyle name="40% - Accent3 2 2 2 2 7" xfId="8420" xr:uid="{00000000-0005-0000-0000-0000E0200000}"/>
    <cellStyle name="40% - Accent3 2 2 2 2 7 2" xfId="8421" xr:uid="{00000000-0005-0000-0000-0000E1200000}"/>
    <cellStyle name="40% - Accent3 2 2 2 2 8" xfId="8422" xr:uid="{00000000-0005-0000-0000-0000E2200000}"/>
    <cellStyle name="40% - Accent3 2 2 2 3" xfId="8423" xr:uid="{00000000-0005-0000-0000-0000E3200000}"/>
    <cellStyle name="40% - Accent3 2 2 2 3 2" xfId="8424" xr:uid="{00000000-0005-0000-0000-0000E4200000}"/>
    <cellStyle name="40% - Accent3 2 2 2 3 2 2" xfId="8425" xr:uid="{00000000-0005-0000-0000-0000E5200000}"/>
    <cellStyle name="40% - Accent3 2 2 2 3 2 2 2" xfId="8426" xr:uid="{00000000-0005-0000-0000-0000E6200000}"/>
    <cellStyle name="40% - Accent3 2 2 2 3 2 2 2 2" xfId="8427" xr:uid="{00000000-0005-0000-0000-0000E7200000}"/>
    <cellStyle name="40% - Accent3 2 2 2 3 2 2 2 2 2" xfId="8428" xr:uid="{00000000-0005-0000-0000-0000E8200000}"/>
    <cellStyle name="40% - Accent3 2 2 2 3 2 2 2 2 2 2" xfId="8429" xr:uid="{00000000-0005-0000-0000-0000E9200000}"/>
    <cellStyle name="40% - Accent3 2 2 2 3 2 2 2 2 3" xfId="8430" xr:uid="{00000000-0005-0000-0000-0000EA200000}"/>
    <cellStyle name="40% - Accent3 2 2 2 3 2 2 2 3" xfId="8431" xr:uid="{00000000-0005-0000-0000-0000EB200000}"/>
    <cellStyle name="40% - Accent3 2 2 2 3 2 2 2 3 2" xfId="8432" xr:uid="{00000000-0005-0000-0000-0000EC200000}"/>
    <cellStyle name="40% - Accent3 2 2 2 3 2 2 2 4" xfId="8433" xr:uid="{00000000-0005-0000-0000-0000ED200000}"/>
    <cellStyle name="40% - Accent3 2 2 2 3 2 2 3" xfId="8434" xr:uid="{00000000-0005-0000-0000-0000EE200000}"/>
    <cellStyle name="40% - Accent3 2 2 2 3 2 2 3 2" xfId="8435" xr:uid="{00000000-0005-0000-0000-0000EF200000}"/>
    <cellStyle name="40% - Accent3 2 2 2 3 2 2 3 2 2" xfId="8436" xr:uid="{00000000-0005-0000-0000-0000F0200000}"/>
    <cellStyle name="40% - Accent3 2 2 2 3 2 2 3 3" xfId="8437" xr:uid="{00000000-0005-0000-0000-0000F1200000}"/>
    <cellStyle name="40% - Accent3 2 2 2 3 2 2 4" xfId="8438" xr:uid="{00000000-0005-0000-0000-0000F2200000}"/>
    <cellStyle name="40% - Accent3 2 2 2 3 2 2 4 2" xfId="8439" xr:uid="{00000000-0005-0000-0000-0000F3200000}"/>
    <cellStyle name="40% - Accent3 2 2 2 3 2 2 5" xfId="8440" xr:uid="{00000000-0005-0000-0000-0000F4200000}"/>
    <cellStyle name="40% - Accent3 2 2 2 3 2 3" xfId="8441" xr:uid="{00000000-0005-0000-0000-0000F5200000}"/>
    <cellStyle name="40% - Accent3 2 2 2 3 2 3 2" xfId="8442" xr:uid="{00000000-0005-0000-0000-0000F6200000}"/>
    <cellStyle name="40% - Accent3 2 2 2 3 2 3 2 2" xfId="8443" xr:uid="{00000000-0005-0000-0000-0000F7200000}"/>
    <cellStyle name="40% - Accent3 2 2 2 3 2 3 2 2 2" xfId="8444" xr:uid="{00000000-0005-0000-0000-0000F8200000}"/>
    <cellStyle name="40% - Accent3 2 2 2 3 2 3 2 3" xfId="8445" xr:uid="{00000000-0005-0000-0000-0000F9200000}"/>
    <cellStyle name="40% - Accent3 2 2 2 3 2 3 3" xfId="8446" xr:uid="{00000000-0005-0000-0000-0000FA200000}"/>
    <cellStyle name="40% - Accent3 2 2 2 3 2 3 3 2" xfId="8447" xr:uid="{00000000-0005-0000-0000-0000FB200000}"/>
    <cellStyle name="40% - Accent3 2 2 2 3 2 3 4" xfId="8448" xr:uid="{00000000-0005-0000-0000-0000FC200000}"/>
    <cellStyle name="40% - Accent3 2 2 2 3 2 4" xfId="8449" xr:uid="{00000000-0005-0000-0000-0000FD200000}"/>
    <cellStyle name="40% - Accent3 2 2 2 3 2 4 2" xfId="8450" xr:uid="{00000000-0005-0000-0000-0000FE200000}"/>
    <cellStyle name="40% - Accent3 2 2 2 3 2 4 2 2" xfId="8451" xr:uid="{00000000-0005-0000-0000-0000FF200000}"/>
    <cellStyle name="40% - Accent3 2 2 2 3 2 4 3" xfId="8452" xr:uid="{00000000-0005-0000-0000-000000210000}"/>
    <cellStyle name="40% - Accent3 2 2 2 3 2 5" xfId="8453" xr:uid="{00000000-0005-0000-0000-000001210000}"/>
    <cellStyle name="40% - Accent3 2 2 2 3 2 5 2" xfId="8454" xr:uid="{00000000-0005-0000-0000-000002210000}"/>
    <cellStyle name="40% - Accent3 2 2 2 3 2 6" xfId="8455" xr:uid="{00000000-0005-0000-0000-000003210000}"/>
    <cellStyle name="40% - Accent3 2 2 2 3 3" xfId="8456" xr:uid="{00000000-0005-0000-0000-000004210000}"/>
    <cellStyle name="40% - Accent3 2 2 2 3 3 2" xfId="8457" xr:uid="{00000000-0005-0000-0000-000005210000}"/>
    <cellStyle name="40% - Accent3 2 2 2 3 3 2 2" xfId="8458" xr:uid="{00000000-0005-0000-0000-000006210000}"/>
    <cellStyle name="40% - Accent3 2 2 2 3 3 2 2 2" xfId="8459" xr:uid="{00000000-0005-0000-0000-000007210000}"/>
    <cellStyle name="40% - Accent3 2 2 2 3 3 2 2 2 2" xfId="8460" xr:uid="{00000000-0005-0000-0000-000008210000}"/>
    <cellStyle name="40% - Accent3 2 2 2 3 3 2 2 3" xfId="8461" xr:uid="{00000000-0005-0000-0000-000009210000}"/>
    <cellStyle name="40% - Accent3 2 2 2 3 3 2 3" xfId="8462" xr:uid="{00000000-0005-0000-0000-00000A210000}"/>
    <cellStyle name="40% - Accent3 2 2 2 3 3 2 3 2" xfId="8463" xr:uid="{00000000-0005-0000-0000-00000B210000}"/>
    <cellStyle name="40% - Accent3 2 2 2 3 3 2 4" xfId="8464" xr:uid="{00000000-0005-0000-0000-00000C210000}"/>
    <cellStyle name="40% - Accent3 2 2 2 3 3 3" xfId="8465" xr:uid="{00000000-0005-0000-0000-00000D210000}"/>
    <cellStyle name="40% - Accent3 2 2 2 3 3 3 2" xfId="8466" xr:uid="{00000000-0005-0000-0000-00000E210000}"/>
    <cellStyle name="40% - Accent3 2 2 2 3 3 3 2 2" xfId="8467" xr:uid="{00000000-0005-0000-0000-00000F210000}"/>
    <cellStyle name="40% - Accent3 2 2 2 3 3 3 3" xfId="8468" xr:uid="{00000000-0005-0000-0000-000010210000}"/>
    <cellStyle name="40% - Accent3 2 2 2 3 3 4" xfId="8469" xr:uid="{00000000-0005-0000-0000-000011210000}"/>
    <cellStyle name="40% - Accent3 2 2 2 3 3 4 2" xfId="8470" xr:uid="{00000000-0005-0000-0000-000012210000}"/>
    <cellStyle name="40% - Accent3 2 2 2 3 3 5" xfId="8471" xr:uid="{00000000-0005-0000-0000-000013210000}"/>
    <cellStyle name="40% - Accent3 2 2 2 3 4" xfId="8472" xr:uid="{00000000-0005-0000-0000-000014210000}"/>
    <cellStyle name="40% - Accent3 2 2 2 3 4 2" xfId="8473" xr:uid="{00000000-0005-0000-0000-000015210000}"/>
    <cellStyle name="40% - Accent3 2 2 2 3 4 2 2" xfId="8474" xr:uid="{00000000-0005-0000-0000-000016210000}"/>
    <cellStyle name="40% - Accent3 2 2 2 3 4 2 2 2" xfId="8475" xr:uid="{00000000-0005-0000-0000-000017210000}"/>
    <cellStyle name="40% - Accent3 2 2 2 3 4 2 3" xfId="8476" xr:uid="{00000000-0005-0000-0000-000018210000}"/>
    <cellStyle name="40% - Accent3 2 2 2 3 4 3" xfId="8477" xr:uid="{00000000-0005-0000-0000-000019210000}"/>
    <cellStyle name="40% - Accent3 2 2 2 3 4 3 2" xfId="8478" xr:uid="{00000000-0005-0000-0000-00001A210000}"/>
    <cellStyle name="40% - Accent3 2 2 2 3 4 4" xfId="8479" xr:uid="{00000000-0005-0000-0000-00001B210000}"/>
    <cellStyle name="40% - Accent3 2 2 2 3 5" xfId="8480" xr:uid="{00000000-0005-0000-0000-00001C210000}"/>
    <cellStyle name="40% - Accent3 2 2 2 3 5 2" xfId="8481" xr:uid="{00000000-0005-0000-0000-00001D210000}"/>
    <cellStyle name="40% - Accent3 2 2 2 3 5 2 2" xfId="8482" xr:uid="{00000000-0005-0000-0000-00001E210000}"/>
    <cellStyle name="40% - Accent3 2 2 2 3 5 3" xfId="8483" xr:uid="{00000000-0005-0000-0000-00001F210000}"/>
    <cellStyle name="40% - Accent3 2 2 2 3 6" xfId="8484" xr:uid="{00000000-0005-0000-0000-000020210000}"/>
    <cellStyle name="40% - Accent3 2 2 2 3 6 2" xfId="8485" xr:uid="{00000000-0005-0000-0000-000021210000}"/>
    <cellStyle name="40% - Accent3 2 2 2 3 7" xfId="8486" xr:uid="{00000000-0005-0000-0000-000022210000}"/>
    <cellStyle name="40% - Accent3 2 2 2 4" xfId="8487" xr:uid="{00000000-0005-0000-0000-000023210000}"/>
    <cellStyle name="40% - Accent3 2 2 2 4 2" xfId="8488" xr:uid="{00000000-0005-0000-0000-000024210000}"/>
    <cellStyle name="40% - Accent3 2 2 2 4 2 2" xfId="8489" xr:uid="{00000000-0005-0000-0000-000025210000}"/>
    <cellStyle name="40% - Accent3 2 2 2 4 2 2 2" xfId="8490" xr:uid="{00000000-0005-0000-0000-000026210000}"/>
    <cellStyle name="40% - Accent3 2 2 2 4 2 2 2 2" xfId="8491" xr:uid="{00000000-0005-0000-0000-000027210000}"/>
    <cellStyle name="40% - Accent3 2 2 2 4 2 2 2 2 2" xfId="8492" xr:uid="{00000000-0005-0000-0000-000028210000}"/>
    <cellStyle name="40% - Accent3 2 2 2 4 2 2 2 3" xfId="8493" xr:uid="{00000000-0005-0000-0000-000029210000}"/>
    <cellStyle name="40% - Accent3 2 2 2 4 2 2 3" xfId="8494" xr:uid="{00000000-0005-0000-0000-00002A210000}"/>
    <cellStyle name="40% - Accent3 2 2 2 4 2 2 3 2" xfId="8495" xr:uid="{00000000-0005-0000-0000-00002B210000}"/>
    <cellStyle name="40% - Accent3 2 2 2 4 2 2 4" xfId="8496" xr:uid="{00000000-0005-0000-0000-00002C210000}"/>
    <cellStyle name="40% - Accent3 2 2 2 4 2 3" xfId="8497" xr:uid="{00000000-0005-0000-0000-00002D210000}"/>
    <cellStyle name="40% - Accent3 2 2 2 4 2 3 2" xfId="8498" xr:uid="{00000000-0005-0000-0000-00002E210000}"/>
    <cellStyle name="40% - Accent3 2 2 2 4 2 3 2 2" xfId="8499" xr:uid="{00000000-0005-0000-0000-00002F210000}"/>
    <cellStyle name="40% - Accent3 2 2 2 4 2 3 3" xfId="8500" xr:uid="{00000000-0005-0000-0000-000030210000}"/>
    <cellStyle name="40% - Accent3 2 2 2 4 2 4" xfId="8501" xr:uid="{00000000-0005-0000-0000-000031210000}"/>
    <cellStyle name="40% - Accent3 2 2 2 4 2 4 2" xfId="8502" xr:uid="{00000000-0005-0000-0000-000032210000}"/>
    <cellStyle name="40% - Accent3 2 2 2 4 2 5" xfId="8503" xr:uid="{00000000-0005-0000-0000-000033210000}"/>
    <cellStyle name="40% - Accent3 2 2 2 4 3" xfId="8504" xr:uid="{00000000-0005-0000-0000-000034210000}"/>
    <cellStyle name="40% - Accent3 2 2 2 4 3 2" xfId="8505" xr:uid="{00000000-0005-0000-0000-000035210000}"/>
    <cellStyle name="40% - Accent3 2 2 2 4 3 2 2" xfId="8506" xr:uid="{00000000-0005-0000-0000-000036210000}"/>
    <cellStyle name="40% - Accent3 2 2 2 4 3 2 2 2" xfId="8507" xr:uid="{00000000-0005-0000-0000-000037210000}"/>
    <cellStyle name="40% - Accent3 2 2 2 4 3 2 3" xfId="8508" xr:uid="{00000000-0005-0000-0000-000038210000}"/>
    <cellStyle name="40% - Accent3 2 2 2 4 3 3" xfId="8509" xr:uid="{00000000-0005-0000-0000-000039210000}"/>
    <cellStyle name="40% - Accent3 2 2 2 4 3 3 2" xfId="8510" xr:uid="{00000000-0005-0000-0000-00003A210000}"/>
    <cellStyle name="40% - Accent3 2 2 2 4 3 4" xfId="8511" xr:uid="{00000000-0005-0000-0000-00003B210000}"/>
    <cellStyle name="40% - Accent3 2 2 2 4 4" xfId="8512" xr:uid="{00000000-0005-0000-0000-00003C210000}"/>
    <cellStyle name="40% - Accent3 2 2 2 4 4 2" xfId="8513" xr:uid="{00000000-0005-0000-0000-00003D210000}"/>
    <cellStyle name="40% - Accent3 2 2 2 4 4 2 2" xfId="8514" xr:uid="{00000000-0005-0000-0000-00003E210000}"/>
    <cellStyle name="40% - Accent3 2 2 2 4 4 3" xfId="8515" xr:uid="{00000000-0005-0000-0000-00003F210000}"/>
    <cellStyle name="40% - Accent3 2 2 2 4 5" xfId="8516" xr:uid="{00000000-0005-0000-0000-000040210000}"/>
    <cellStyle name="40% - Accent3 2 2 2 4 5 2" xfId="8517" xr:uid="{00000000-0005-0000-0000-000041210000}"/>
    <cellStyle name="40% - Accent3 2 2 2 4 6" xfId="8518" xr:uid="{00000000-0005-0000-0000-000042210000}"/>
    <cellStyle name="40% - Accent3 2 2 2 5" xfId="8519" xr:uid="{00000000-0005-0000-0000-000043210000}"/>
    <cellStyle name="40% - Accent3 2 2 2 5 2" xfId="8520" xr:uid="{00000000-0005-0000-0000-000044210000}"/>
    <cellStyle name="40% - Accent3 2 2 2 5 2 2" xfId="8521" xr:uid="{00000000-0005-0000-0000-000045210000}"/>
    <cellStyle name="40% - Accent3 2 2 2 5 2 2 2" xfId="8522" xr:uid="{00000000-0005-0000-0000-000046210000}"/>
    <cellStyle name="40% - Accent3 2 2 2 5 2 2 2 2" xfId="8523" xr:uid="{00000000-0005-0000-0000-000047210000}"/>
    <cellStyle name="40% - Accent3 2 2 2 5 2 2 3" xfId="8524" xr:uid="{00000000-0005-0000-0000-000048210000}"/>
    <cellStyle name="40% - Accent3 2 2 2 5 2 3" xfId="8525" xr:uid="{00000000-0005-0000-0000-000049210000}"/>
    <cellStyle name="40% - Accent3 2 2 2 5 2 3 2" xfId="8526" xr:uid="{00000000-0005-0000-0000-00004A210000}"/>
    <cellStyle name="40% - Accent3 2 2 2 5 2 4" xfId="8527" xr:uid="{00000000-0005-0000-0000-00004B210000}"/>
    <cellStyle name="40% - Accent3 2 2 2 5 3" xfId="8528" xr:uid="{00000000-0005-0000-0000-00004C210000}"/>
    <cellStyle name="40% - Accent3 2 2 2 5 3 2" xfId="8529" xr:uid="{00000000-0005-0000-0000-00004D210000}"/>
    <cellStyle name="40% - Accent3 2 2 2 5 3 2 2" xfId="8530" xr:uid="{00000000-0005-0000-0000-00004E210000}"/>
    <cellStyle name="40% - Accent3 2 2 2 5 3 3" xfId="8531" xr:uid="{00000000-0005-0000-0000-00004F210000}"/>
    <cellStyle name="40% - Accent3 2 2 2 5 4" xfId="8532" xr:uid="{00000000-0005-0000-0000-000050210000}"/>
    <cellStyle name="40% - Accent3 2 2 2 5 4 2" xfId="8533" xr:uid="{00000000-0005-0000-0000-000051210000}"/>
    <cellStyle name="40% - Accent3 2 2 2 5 5" xfId="8534" xr:uid="{00000000-0005-0000-0000-000052210000}"/>
    <cellStyle name="40% - Accent3 2 2 2 6" xfId="8535" xr:uid="{00000000-0005-0000-0000-000053210000}"/>
    <cellStyle name="40% - Accent3 2 2 2 6 2" xfId="8536" xr:uid="{00000000-0005-0000-0000-000054210000}"/>
    <cellStyle name="40% - Accent3 2 2 2 6 2 2" xfId="8537" xr:uid="{00000000-0005-0000-0000-000055210000}"/>
    <cellStyle name="40% - Accent3 2 2 2 6 2 2 2" xfId="8538" xr:uid="{00000000-0005-0000-0000-000056210000}"/>
    <cellStyle name="40% - Accent3 2 2 2 6 2 3" xfId="8539" xr:uid="{00000000-0005-0000-0000-000057210000}"/>
    <cellStyle name="40% - Accent3 2 2 2 6 3" xfId="8540" xr:uid="{00000000-0005-0000-0000-000058210000}"/>
    <cellStyle name="40% - Accent3 2 2 2 6 3 2" xfId="8541" xr:uid="{00000000-0005-0000-0000-000059210000}"/>
    <cellStyle name="40% - Accent3 2 2 2 6 4" xfId="8542" xr:uid="{00000000-0005-0000-0000-00005A210000}"/>
    <cellStyle name="40% - Accent3 2 2 2 7" xfId="8543" xr:uid="{00000000-0005-0000-0000-00005B210000}"/>
    <cellStyle name="40% - Accent3 2 2 2 7 2" xfId="8544" xr:uid="{00000000-0005-0000-0000-00005C210000}"/>
    <cellStyle name="40% - Accent3 2 2 2 7 2 2" xfId="8545" xr:uid="{00000000-0005-0000-0000-00005D210000}"/>
    <cellStyle name="40% - Accent3 2 2 2 7 3" xfId="8546" xr:uid="{00000000-0005-0000-0000-00005E210000}"/>
    <cellStyle name="40% - Accent3 2 2 2 8" xfId="8547" xr:uid="{00000000-0005-0000-0000-00005F210000}"/>
    <cellStyle name="40% - Accent3 2 2 2 8 2" xfId="8548" xr:uid="{00000000-0005-0000-0000-000060210000}"/>
    <cellStyle name="40% - Accent3 2 2 2 9" xfId="8549" xr:uid="{00000000-0005-0000-0000-000061210000}"/>
    <cellStyle name="40% - Accent3 2 2 3" xfId="8550" xr:uid="{00000000-0005-0000-0000-000062210000}"/>
    <cellStyle name="40% - Accent3 2 2 3 2" xfId="8551" xr:uid="{00000000-0005-0000-0000-000063210000}"/>
    <cellStyle name="40% - Accent3 2 2 3 2 2" xfId="8552" xr:uid="{00000000-0005-0000-0000-000064210000}"/>
    <cellStyle name="40% - Accent3 2 2 3 2 2 2" xfId="8553" xr:uid="{00000000-0005-0000-0000-000065210000}"/>
    <cellStyle name="40% - Accent3 2 2 3 2 2 2 2" xfId="8554" xr:uid="{00000000-0005-0000-0000-000066210000}"/>
    <cellStyle name="40% - Accent3 2 2 3 2 2 2 2 2" xfId="8555" xr:uid="{00000000-0005-0000-0000-000067210000}"/>
    <cellStyle name="40% - Accent3 2 2 3 2 2 2 2 2 2" xfId="8556" xr:uid="{00000000-0005-0000-0000-000068210000}"/>
    <cellStyle name="40% - Accent3 2 2 3 2 2 2 2 2 2 2" xfId="8557" xr:uid="{00000000-0005-0000-0000-000069210000}"/>
    <cellStyle name="40% - Accent3 2 2 3 2 2 2 2 2 3" xfId="8558" xr:uid="{00000000-0005-0000-0000-00006A210000}"/>
    <cellStyle name="40% - Accent3 2 2 3 2 2 2 2 3" xfId="8559" xr:uid="{00000000-0005-0000-0000-00006B210000}"/>
    <cellStyle name="40% - Accent3 2 2 3 2 2 2 2 3 2" xfId="8560" xr:uid="{00000000-0005-0000-0000-00006C210000}"/>
    <cellStyle name="40% - Accent3 2 2 3 2 2 2 2 4" xfId="8561" xr:uid="{00000000-0005-0000-0000-00006D210000}"/>
    <cellStyle name="40% - Accent3 2 2 3 2 2 2 3" xfId="8562" xr:uid="{00000000-0005-0000-0000-00006E210000}"/>
    <cellStyle name="40% - Accent3 2 2 3 2 2 2 3 2" xfId="8563" xr:uid="{00000000-0005-0000-0000-00006F210000}"/>
    <cellStyle name="40% - Accent3 2 2 3 2 2 2 3 2 2" xfId="8564" xr:uid="{00000000-0005-0000-0000-000070210000}"/>
    <cellStyle name="40% - Accent3 2 2 3 2 2 2 3 3" xfId="8565" xr:uid="{00000000-0005-0000-0000-000071210000}"/>
    <cellStyle name="40% - Accent3 2 2 3 2 2 2 4" xfId="8566" xr:uid="{00000000-0005-0000-0000-000072210000}"/>
    <cellStyle name="40% - Accent3 2 2 3 2 2 2 4 2" xfId="8567" xr:uid="{00000000-0005-0000-0000-000073210000}"/>
    <cellStyle name="40% - Accent3 2 2 3 2 2 2 5" xfId="8568" xr:uid="{00000000-0005-0000-0000-000074210000}"/>
    <cellStyle name="40% - Accent3 2 2 3 2 2 3" xfId="8569" xr:uid="{00000000-0005-0000-0000-000075210000}"/>
    <cellStyle name="40% - Accent3 2 2 3 2 2 3 2" xfId="8570" xr:uid="{00000000-0005-0000-0000-000076210000}"/>
    <cellStyle name="40% - Accent3 2 2 3 2 2 3 2 2" xfId="8571" xr:uid="{00000000-0005-0000-0000-000077210000}"/>
    <cellStyle name="40% - Accent3 2 2 3 2 2 3 2 2 2" xfId="8572" xr:uid="{00000000-0005-0000-0000-000078210000}"/>
    <cellStyle name="40% - Accent3 2 2 3 2 2 3 2 3" xfId="8573" xr:uid="{00000000-0005-0000-0000-000079210000}"/>
    <cellStyle name="40% - Accent3 2 2 3 2 2 3 3" xfId="8574" xr:uid="{00000000-0005-0000-0000-00007A210000}"/>
    <cellStyle name="40% - Accent3 2 2 3 2 2 3 3 2" xfId="8575" xr:uid="{00000000-0005-0000-0000-00007B210000}"/>
    <cellStyle name="40% - Accent3 2 2 3 2 2 3 4" xfId="8576" xr:uid="{00000000-0005-0000-0000-00007C210000}"/>
    <cellStyle name="40% - Accent3 2 2 3 2 2 4" xfId="8577" xr:uid="{00000000-0005-0000-0000-00007D210000}"/>
    <cellStyle name="40% - Accent3 2 2 3 2 2 4 2" xfId="8578" xr:uid="{00000000-0005-0000-0000-00007E210000}"/>
    <cellStyle name="40% - Accent3 2 2 3 2 2 4 2 2" xfId="8579" xr:uid="{00000000-0005-0000-0000-00007F210000}"/>
    <cellStyle name="40% - Accent3 2 2 3 2 2 4 3" xfId="8580" xr:uid="{00000000-0005-0000-0000-000080210000}"/>
    <cellStyle name="40% - Accent3 2 2 3 2 2 5" xfId="8581" xr:uid="{00000000-0005-0000-0000-000081210000}"/>
    <cellStyle name="40% - Accent3 2 2 3 2 2 5 2" xfId="8582" xr:uid="{00000000-0005-0000-0000-000082210000}"/>
    <cellStyle name="40% - Accent3 2 2 3 2 2 6" xfId="8583" xr:uid="{00000000-0005-0000-0000-000083210000}"/>
    <cellStyle name="40% - Accent3 2 2 3 2 3" xfId="8584" xr:uid="{00000000-0005-0000-0000-000084210000}"/>
    <cellStyle name="40% - Accent3 2 2 3 2 3 2" xfId="8585" xr:uid="{00000000-0005-0000-0000-000085210000}"/>
    <cellStyle name="40% - Accent3 2 2 3 2 3 2 2" xfId="8586" xr:uid="{00000000-0005-0000-0000-000086210000}"/>
    <cellStyle name="40% - Accent3 2 2 3 2 3 2 2 2" xfId="8587" xr:uid="{00000000-0005-0000-0000-000087210000}"/>
    <cellStyle name="40% - Accent3 2 2 3 2 3 2 2 2 2" xfId="8588" xr:uid="{00000000-0005-0000-0000-000088210000}"/>
    <cellStyle name="40% - Accent3 2 2 3 2 3 2 2 3" xfId="8589" xr:uid="{00000000-0005-0000-0000-000089210000}"/>
    <cellStyle name="40% - Accent3 2 2 3 2 3 2 3" xfId="8590" xr:uid="{00000000-0005-0000-0000-00008A210000}"/>
    <cellStyle name="40% - Accent3 2 2 3 2 3 2 3 2" xfId="8591" xr:uid="{00000000-0005-0000-0000-00008B210000}"/>
    <cellStyle name="40% - Accent3 2 2 3 2 3 2 4" xfId="8592" xr:uid="{00000000-0005-0000-0000-00008C210000}"/>
    <cellStyle name="40% - Accent3 2 2 3 2 3 3" xfId="8593" xr:uid="{00000000-0005-0000-0000-00008D210000}"/>
    <cellStyle name="40% - Accent3 2 2 3 2 3 3 2" xfId="8594" xr:uid="{00000000-0005-0000-0000-00008E210000}"/>
    <cellStyle name="40% - Accent3 2 2 3 2 3 3 2 2" xfId="8595" xr:uid="{00000000-0005-0000-0000-00008F210000}"/>
    <cellStyle name="40% - Accent3 2 2 3 2 3 3 3" xfId="8596" xr:uid="{00000000-0005-0000-0000-000090210000}"/>
    <cellStyle name="40% - Accent3 2 2 3 2 3 4" xfId="8597" xr:uid="{00000000-0005-0000-0000-000091210000}"/>
    <cellStyle name="40% - Accent3 2 2 3 2 3 4 2" xfId="8598" xr:uid="{00000000-0005-0000-0000-000092210000}"/>
    <cellStyle name="40% - Accent3 2 2 3 2 3 5" xfId="8599" xr:uid="{00000000-0005-0000-0000-000093210000}"/>
    <cellStyle name="40% - Accent3 2 2 3 2 4" xfId="8600" xr:uid="{00000000-0005-0000-0000-000094210000}"/>
    <cellStyle name="40% - Accent3 2 2 3 2 4 2" xfId="8601" xr:uid="{00000000-0005-0000-0000-000095210000}"/>
    <cellStyle name="40% - Accent3 2 2 3 2 4 2 2" xfId="8602" xr:uid="{00000000-0005-0000-0000-000096210000}"/>
    <cellStyle name="40% - Accent3 2 2 3 2 4 2 2 2" xfId="8603" xr:uid="{00000000-0005-0000-0000-000097210000}"/>
    <cellStyle name="40% - Accent3 2 2 3 2 4 2 3" xfId="8604" xr:uid="{00000000-0005-0000-0000-000098210000}"/>
    <cellStyle name="40% - Accent3 2 2 3 2 4 3" xfId="8605" xr:uid="{00000000-0005-0000-0000-000099210000}"/>
    <cellStyle name="40% - Accent3 2 2 3 2 4 3 2" xfId="8606" xr:uid="{00000000-0005-0000-0000-00009A210000}"/>
    <cellStyle name="40% - Accent3 2 2 3 2 4 4" xfId="8607" xr:uid="{00000000-0005-0000-0000-00009B210000}"/>
    <cellStyle name="40% - Accent3 2 2 3 2 5" xfId="8608" xr:uid="{00000000-0005-0000-0000-00009C210000}"/>
    <cellStyle name="40% - Accent3 2 2 3 2 5 2" xfId="8609" xr:uid="{00000000-0005-0000-0000-00009D210000}"/>
    <cellStyle name="40% - Accent3 2 2 3 2 5 2 2" xfId="8610" xr:uid="{00000000-0005-0000-0000-00009E210000}"/>
    <cellStyle name="40% - Accent3 2 2 3 2 5 3" xfId="8611" xr:uid="{00000000-0005-0000-0000-00009F210000}"/>
    <cellStyle name="40% - Accent3 2 2 3 2 6" xfId="8612" xr:uid="{00000000-0005-0000-0000-0000A0210000}"/>
    <cellStyle name="40% - Accent3 2 2 3 2 6 2" xfId="8613" xr:uid="{00000000-0005-0000-0000-0000A1210000}"/>
    <cellStyle name="40% - Accent3 2 2 3 2 7" xfId="8614" xr:uid="{00000000-0005-0000-0000-0000A2210000}"/>
    <cellStyle name="40% - Accent3 2 2 3 3" xfId="8615" xr:uid="{00000000-0005-0000-0000-0000A3210000}"/>
    <cellStyle name="40% - Accent3 2 2 3 3 2" xfId="8616" xr:uid="{00000000-0005-0000-0000-0000A4210000}"/>
    <cellStyle name="40% - Accent3 2 2 3 3 2 2" xfId="8617" xr:uid="{00000000-0005-0000-0000-0000A5210000}"/>
    <cellStyle name="40% - Accent3 2 2 3 3 2 2 2" xfId="8618" xr:uid="{00000000-0005-0000-0000-0000A6210000}"/>
    <cellStyle name="40% - Accent3 2 2 3 3 2 2 2 2" xfId="8619" xr:uid="{00000000-0005-0000-0000-0000A7210000}"/>
    <cellStyle name="40% - Accent3 2 2 3 3 2 2 2 2 2" xfId="8620" xr:uid="{00000000-0005-0000-0000-0000A8210000}"/>
    <cellStyle name="40% - Accent3 2 2 3 3 2 2 2 3" xfId="8621" xr:uid="{00000000-0005-0000-0000-0000A9210000}"/>
    <cellStyle name="40% - Accent3 2 2 3 3 2 2 3" xfId="8622" xr:uid="{00000000-0005-0000-0000-0000AA210000}"/>
    <cellStyle name="40% - Accent3 2 2 3 3 2 2 3 2" xfId="8623" xr:uid="{00000000-0005-0000-0000-0000AB210000}"/>
    <cellStyle name="40% - Accent3 2 2 3 3 2 2 4" xfId="8624" xr:uid="{00000000-0005-0000-0000-0000AC210000}"/>
    <cellStyle name="40% - Accent3 2 2 3 3 2 3" xfId="8625" xr:uid="{00000000-0005-0000-0000-0000AD210000}"/>
    <cellStyle name="40% - Accent3 2 2 3 3 2 3 2" xfId="8626" xr:uid="{00000000-0005-0000-0000-0000AE210000}"/>
    <cellStyle name="40% - Accent3 2 2 3 3 2 3 2 2" xfId="8627" xr:uid="{00000000-0005-0000-0000-0000AF210000}"/>
    <cellStyle name="40% - Accent3 2 2 3 3 2 3 3" xfId="8628" xr:uid="{00000000-0005-0000-0000-0000B0210000}"/>
    <cellStyle name="40% - Accent3 2 2 3 3 2 4" xfId="8629" xr:uid="{00000000-0005-0000-0000-0000B1210000}"/>
    <cellStyle name="40% - Accent3 2 2 3 3 2 4 2" xfId="8630" xr:uid="{00000000-0005-0000-0000-0000B2210000}"/>
    <cellStyle name="40% - Accent3 2 2 3 3 2 5" xfId="8631" xr:uid="{00000000-0005-0000-0000-0000B3210000}"/>
    <cellStyle name="40% - Accent3 2 2 3 3 3" xfId="8632" xr:uid="{00000000-0005-0000-0000-0000B4210000}"/>
    <cellStyle name="40% - Accent3 2 2 3 3 3 2" xfId="8633" xr:uid="{00000000-0005-0000-0000-0000B5210000}"/>
    <cellStyle name="40% - Accent3 2 2 3 3 3 2 2" xfId="8634" xr:uid="{00000000-0005-0000-0000-0000B6210000}"/>
    <cellStyle name="40% - Accent3 2 2 3 3 3 2 2 2" xfId="8635" xr:uid="{00000000-0005-0000-0000-0000B7210000}"/>
    <cellStyle name="40% - Accent3 2 2 3 3 3 2 3" xfId="8636" xr:uid="{00000000-0005-0000-0000-0000B8210000}"/>
    <cellStyle name="40% - Accent3 2 2 3 3 3 3" xfId="8637" xr:uid="{00000000-0005-0000-0000-0000B9210000}"/>
    <cellStyle name="40% - Accent3 2 2 3 3 3 3 2" xfId="8638" xr:uid="{00000000-0005-0000-0000-0000BA210000}"/>
    <cellStyle name="40% - Accent3 2 2 3 3 3 4" xfId="8639" xr:uid="{00000000-0005-0000-0000-0000BB210000}"/>
    <cellStyle name="40% - Accent3 2 2 3 3 4" xfId="8640" xr:uid="{00000000-0005-0000-0000-0000BC210000}"/>
    <cellStyle name="40% - Accent3 2 2 3 3 4 2" xfId="8641" xr:uid="{00000000-0005-0000-0000-0000BD210000}"/>
    <cellStyle name="40% - Accent3 2 2 3 3 4 2 2" xfId="8642" xr:uid="{00000000-0005-0000-0000-0000BE210000}"/>
    <cellStyle name="40% - Accent3 2 2 3 3 4 3" xfId="8643" xr:uid="{00000000-0005-0000-0000-0000BF210000}"/>
    <cellStyle name="40% - Accent3 2 2 3 3 5" xfId="8644" xr:uid="{00000000-0005-0000-0000-0000C0210000}"/>
    <cellStyle name="40% - Accent3 2 2 3 3 5 2" xfId="8645" xr:uid="{00000000-0005-0000-0000-0000C1210000}"/>
    <cellStyle name="40% - Accent3 2 2 3 3 6" xfId="8646" xr:uid="{00000000-0005-0000-0000-0000C2210000}"/>
    <cellStyle name="40% - Accent3 2 2 3 4" xfId="8647" xr:uid="{00000000-0005-0000-0000-0000C3210000}"/>
    <cellStyle name="40% - Accent3 2 2 3 4 2" xfId="8648" xr:uid="{00000000-0005-0000-0000-0000C4210000}"/>
    <cellStyle name="40% - Accent3 2 2 3 4 2 2" xfId="8649" xr:uid="{00000000-0005-0000-0000-0000C5210000}"/>
    <cellStyle name="40% - Accent3 2 2 3 4 2 2 2" xfId="8650" xr:uid="{00000000-0005-0000-0000-0000C6210000}"/>
    <cellStyle name="40% - Accent3 2 2 3 4 2 2 2 2" xfId="8651" xr:uid="{00000000-0005-0000-0000-0000C7210000}"/>
    <cellStyle name="40% - Accent3 2 2 3 4 2 2 3" xfId="8652" xr:uid="{00000000-0005-0000-0000-0000C8210000}"/>
    <cellStyle name="40% - Accent3 2 2 3 4 2 3" xfId="8653" xr:uid="{00000000-0005-0000-0000-0000C9210000}"/>
    <cellStyle name="40% - Accent3 2 2 3 4 2 3 2" xfId="8654" xr:uid="{00000000-0005-0000-0000-0000CA210000}"/>
    <cellStyle name="40% - Accent3 2 2 3 4 2 4" xfId="8655" xr:uid="{00000000-0005-0000-0000-0000CB210000}"/>
    <cellStyle name="40% - Accent3 2 2 3 4 3" xfId="8656" xr:uid="{00000000-0005-0000-0000-0000CC210000}"/>
    <cellStyle name="40% - Accent3 2 2 3 4 3 2" xfId="8657" xr:uid="{00000000-0005-0000-0000-0000CD210000}"/>
    <cellStyle name="40% - Accent3 2 2 3 4 3 2 2" xfId="8658" xr:uid="{00000000-0005-0000-0000-0000CE210000}"/>
    <cellStyle name="40% - Accent3 2 2 3 4 3 3" xfId="8659" xr:uid="{00000000-0005-0000-0000-0000CF210000}"/>
    <cellStyle name="40% - Accent3 2 2 3 4 4" xfId="8660" xr:uid="{00000000-0005-0000-0000-0000D0210000}"/>
    <cellStyle name="40% - Accent3 2 2 3 4 4 2" xfId="8661" xr:uid="{00000000-0005-0000-0000-0000D1210000}"/>
    <cellStyle name="40% - Accent3 2 2 3 4 5" xfId="8662" xr:uid="{00000000-0005-0000-0000-0000D2210000}"/>
    <cellStyle name="40% - Accent3 2 2 3 5" xfId="8663" xr:uid="{00000000-0005-0000-0000-0000D3210000}"/>
    <cellStyle name="40% - Accent3 2 2 3 5 2" xfId="8664" xr:uid="{00000000-0005-0000-0000-0000D4210000}"/>
    <cellStyle name="40% - Accent3 2 2 3 5 2 2" xfId="8665" xr:uid="{00000000-0005-0000-0000-0000D5210000}"/>
    <cellStyle name="40% - Accent3 2 2 3 5 2 2 2" xfId="8666" xr:uid="{00000000-0005-0000-0000-0000D6210000}"/>
    <cellStyle name="40% - Accent3 2 2 3 5 2 3" xfId="8667" xr:uid="{00000000-0005-0000-0000-0000D7210000}"/>
    <cellStyle name="40% - Accent3 2 2 3 5 3" xfId="8668" xr:uid="{00000000-0005-0000-0000-0000D8210000}"/>
    <cellStyle name="40% - Accent3 2 2 3 5 3 2" xfId="8669" xr:uid="{00000000-0005-0000-0000-0000D9210000}"/>
    <cellStyle name="40% - Accent3 2 2 3 5 4" xfId="8670" xr:uid="{00000000-0005-0000-0000-0000DA210000}"/>
    <cellStyle name="40% - Accent3 2 2 3 6" xfId="8671" xr:uid="{00000000-0005-0000-0000-0000DB210000}"/>
    <cellStyle name="40% - Accent3 2 2 3 6 2" xfId="8672" xr:uid="{00000000-0005-0000-0000-0000DC210000}"/>
    <cellStyle name="40% - Accent3 2 2 3 6 2 2" xfId="8673" xr:uid="{00000000-0005-0000-0000-0000DD210000}"/>
    <cellStyle name="40% - Accent3 2 2 3 6 3" xfId="8674" xr:uid="{00000000-0005-0000-0000-0000DE210000}"/>
    <cellStyle name="40% - Accent3 2 2 3 7" xfId="8675" xr:uid="{00000000-0005-0000-0000-0000DF210000}"/>
    <cellStyle name="40% - Accent3 2 2 3 7 2" xfId="8676" xr:uid="{00000000-0005-0000-0000-0000E0210000}"/>
    <cellStyle name="40% - Accent3 2 2 3 8" xfId="8677" xr:uid="{00000000-0005-0000-0000-0000E1210000}"/>
    <cellStyle name="40% - Accent3 2 2 4" xfId="8678" xr:uid="{00000000-0005-0000-0000-0000E2210000}"/>
    <cellStyle name="40% - Accent3 2 2 4 2" xfId="8679" xr:uid="{00000000-0005-0000-0000-0000E3210000}"/>
    <cellStyle name="40% - Accent3 2 2 4 2 2" xfId="8680" xr:uid="{00000000-0005-0000-0000-0000E4210000}"/>
    <cellStyle name="40% - Accent3 2 2 4 2 2 2" xfId="8681" xr:uid="{00000000-0005-0000-0000-0000E5210000}"/>
    <cellStyle name="40% - Accent3 2 2 4 2 2 2 2" xfId="8682" xr:uid="{00000000-0005-0000-0000-0000E6210000}"/>
    <cellStyle name="40% - Accent3 2 2 4 2 2 2 2 2" xfId="8683" xr:uid="{00000000-0005-0000-0000-0000E7210000}"/>
    <cellStyle name="40% - Accent3 2 2 4 2 2 2 2 2 2" xfId="8684" xr:uid="{00000000-0005-0000-0000-0000E8210000}"/>
    <cellStyle name="40% - Accent3 2 2 4 2 2 2 2 3" xfId="8685" xr:uid="{00000000-0005-0000-0000-0000E9210000}"/>
    <cellStyle name="40% - Accent3 2 2 4 2 2 2 3" xfId="8686" xr:uid="{00000000-0005-0000-0000-0000EA210000}"/>
    <cellStyle name="40% - Accent3 2 2 4 2 2 2 3 2" xfId="8687" xr:uid="{00000000-0005-0000-0000-0000EB210000}"/>
    <cellStyle name="40% - Accent3 2 2 4 2 2 2 4" xfId="8688" xr:uid="{00000000-0005-0000-0000-0000EC210000}"/>
    <cellStyle name="40% - Accent3 2 2 4 2 2 3" xfId="8689" xr:uid="{00000000-0005-0000-0000-0000ED210000}"/>
    <cellStyle name="40% - Accent3 2 2 4 2 2 3 2" xfId="8690" xr:uid="{00000000-0005-0000-0000-0000EE210000}"/>
    <cellStyle name="40% - Accent3 2 2 4 2 2 3 2 2" xfId="8691" xr:uid="{00000000-0005-0000-0000-0000EF210000}"/>
    <cellStyle name="40% - Accent3 2 2 4 2 2 3 3" xfId="8692" xr:uid="{00000000-0005-0000-0000-0000F0210000}"/>
    <cellStyle name="40% - Accent3 2 2 4 2 2 4" xfId="8693" xr:uid="{00000000-0005-0000-0000-0000F1210000}"/>
    <cellStyle name="40% - Accent3 2 2 4 2 2 4 2" xfId="8694" xr:uid="{00000000-0005-0000-0000-0000F2210000}"/>
    <cellStyle name="40% - Accent3 2 2 4 2 2 5" xfId="8695" xr:uid="{00000000-0005-0000-0000-0000F3210000}"/>
    <cellStyle name="40% - Accent3 2 2 4 2 3" xfId="8696" xr:uid="{00000000-0005-0000-0000-0000F4210000}"/>
    <cellStyle name="40% - Accent3 2 2 4 2 3 2" xfId="8697" xr:uid="{00000000-0005-0000-0000-0000F5210000}"/>
    <cellStyle name="40% - Accent3 2 2 4 2 3 2 2" xfId="8698" xr:uid="{00000000-0005-0000-0000-0000F6210000}"/>
    <cellStyle name="40% - Accent3 2 2 4 2 3 2 2 2" xfId="8699" xr:uid="{00000000-0005-0000-0000-0000F7210000}"/>
    <cellStyle name="40% - Accent3 2 2 4 2 3 2 3" xfId="8700" xr:uid="{00000000-0005-0000-0000-0000F8210000}"/>
    <cellStyle name="40% - Accent3 2 2 4 2 3 3" xfId="8701" xr:uid="{00000000-0005-0000-0000-0000F9210000}"/>
    <cellStyle name="40% - Accent3 2 2 4 2 3 3 2" xfId="8702" xr:uid="{00000000-0005-0000-0000-0000FA210000}"/>
    <cellStyle name="40% - Accent3 2 2 4 2 3 4" xfId="8703" xr:uid="{00000000-0005-0000-0000-0000FB210000}"/>
    <cellStyle name="40% - Accent3 2 2 4 2 4" xfId="8704" xr:uid="{00000000-0005-0000-0000-0000FC210000}"/>
    <cellStyle name="40% - Accent3 2 2 4 2 4 2" xfId="8705" xr:uid="{00000000-0005-0000-0000-0000FD210000}"/>
    <cellStyle name="40% - Accent3 2 2 4 2 4 2 2" xfId="8706" xr:uid="{00000000-0005-0000-0000-0000FE210000}"/>
    <cellStyle name="40% - Accent3 2 2 4 2 4 3" xfId="8707" xr:uid="{00000000-0005-0000-0000-0000FF210000}"/>
    <cellStyle name="40% - Accent3 2 2 4 2 5" xfId="8708" xr:uid="{00000000-0005-0000-0000-000000220000}"/>
    <cellStyle name="40% - Accent3 2 2 4 2 5 2" xfId="8709" xr:uid="{00000000-0005-0000-0000-000001220000}"/>
    <cellStyle name="40% - Accent3 2 2 4 2 6" xfId="8710" xr:uid="{00000000-0005-0000-0000-000002220000}"/>
    <cellStyle name="40% - Accent3 2 2 4 3" xfId="8711" xr:uid="{00000000-0005-0000-0000-000003220000}"/>
    <cellStyle name="40% - Accent3 2 2 4 3 2" xfId="8712" xr:uid="{00000000-0005-0000-0000-000004220000}"/>
    <cellStyle name="40% - Accent3 2 2 4 3 2 2" xfId="8713" xr:uid="{00000000-0005-0000-0000-000005220000}"/>
    <cellStyle name="40% - Accent3 2 2 4 3 2 2 2" xfId="8714" xr:uid="{00000000-0005-0000-0000-000006220000}"/>
    <cellStyle name="40% - Accent3 2 2 4 3 2 2 2 2" xfId="8715" xr:uid="{00000000-0005-0000-0000-000007220000}"/>
    <cellStyle name="40% - Accent3 2 2 4 3 2 2 3" xfId="8716" xr:uid="{00000000-0005-0000-0000-000008220000}"/>
    <cellStyle name="40% - Accent3 2 2 4 3 2 3" xfId="8717" xr:uid="{00000000-0005-0000-0000-000009220000}"/>
    <cellStyle name="40% - Accent3 2 2 4 3 2 3 2" xfId="8718" xr:uid="{00000000-0005-0000-0000-00000A220000}"/>
    <cellStyle name="40% - Accent3 2 2 4 3 2 4" xfId="8719" xr:uid="{00000000-0005-0000-0000-00000B220000}"/>
    <cellStyle name="40% - Accent3 2 2 4 3 3" xfId="8720" xr:uid="{00000000-0005-0000-0000-00000C220000}"/>
    <cellStyle name="40% - Accent3 2 2 4 3 3 2" xfId="8721" xr:uid="{00000000-0005-0000-0000-00000D220000}"/>
    <cellStyle name="40% - Accent3 2 2 4 3 3 2 2" xfId="8722" xr:uid="{00000000-0005-0000-0000-00000E220000}"/>
    <cellStyle name="40% - Accent3 2 2 4 3 3 3" xfId="8723" xr:uid="{00000000-0005-0000-0000-00000F220000}"/>
    <cellStyle name="40% - Accent3 2 2 4 3 4" xfId="8724" xr:uid="{00000000-0005-0000-0000-000010220000}"/>
    <cellStyle name="40% - Accent3 2 2 4 3 4 2" xfId="8725" xr:uid="{00000000-0005-0000-0000-000011220000}"/>
    <cellStyle name="40% - Accent3 2 2 4 3 5" xfId="8726" xr:uid="{00000000-0005-0000-0000-000012220000}"/>
    <cellStyle name="40% - Accent3 2 2 4 4" xfId="8727" xr:uid="{00000000-0005-0000-0000-000013220000}"/>
    <cellStyle name="40% - Accent3 2 2 4 4 2" xfId="8728" xr:uid="{00000000-0005-0000-0000-000014220000}"/>
    <cellStyle name="40% - Accent3 2 2 4 4 2 2" xfId="8729" xr:uid="{00000000-0005-0000-0000-000015220000}"/>
    <cellStyle name="40% - Accent3 2 2 4 4 2 2 2" xfId="8730" xr:uid="{00000000-0005-0000-0000-000016220000}"/>
    <cellStyle name="40% - Accent3 2 2 4 4 2 3" xfId="8731" xr:uid="{00000000-0005-0000-0000-000017220000}"/>
    <cellStyle name="40% - Accent3 2 2 4 4 3" xfId="8732" xr:uid="{00000000-0005-0000-0000-000018220000}"/>
    <cellStyle name="40% - Accent3 2 2 4 4 3 2" xfId="8733" xr:uid="{00000000-0005-0000-0000-000019220000}"/>
    <cellStyle name="40% - Accent3 2 2 4 4 4" xfId="8734" xr:uid="{00000000-0005-0000-0000-00001A220000}"/>
    <cellStyle name="40% - Accent3 2 2 4 5" xfId="8735" xr:uid="{00000000-0005-0000-0000-00001B220000}"/>
    <cellStyle name="40% - Accent3 2 2 4 5 2" xfId="8736" xr:uid="{00000000-0005-0000-0000-00001C220000}"/>
    <cellStyle name="40% - Accent3 2 2 4 5 2 2" xfId="8737" xr:uid="{00000000-0005-0000-0000-00001D220000}"/>
    <cellStyle name="40% - Accent3 2 2 4 5 3" xfId="8738" xr:uid="{00000000-0005-0000-0000-00001E220000}"/>
    <cellStyle name="40% - Accent3 2 2 4 6" xfId="8739" xr:uid="{00000000-0005-0000-0000-00001F220000}"/>
    <cellStyle name="40% - Accent3 2 2 4 6 2" xfId="8740" xr:uid="{00000000-0005-0000-0000-000020220000}"/>
    <cellStyle name="40% - Accent3 2 2 4 7" xfId="8741" xr:uid="{00000000-0005-0000-0000-000021220000}"/>
    <cellStyle name="40% - Accent3 2 2 5" xfId="8742" xr:uid="{00000000-0005-0000-0000-000022220000}"/>
    <cellStyle name="40% - Accent3 2 2 5 2" xfId="8743" xr:uid="{00000000-0005-0000-0000-000023220000}"/>
    <cellStyle name="40% - Accent3 2 2 5 2 2" xfId="8744" xr:uid="{00000000-0005-0000-0000-000024220000}"/>
    <cellStyle name="40% - Accent3 2 2 5 2 2 2" xfId="8745" xr:uid="{00000000-0005-0000-0000-000025220000}"/>
    <cellStyle name="40% - Accent3 2 2 5 2 2 2 2" xfId="8746" xr:uid="{00000000-0005-0000-0000-000026220000}"/>
    <cellStyle name="40% - Accent3 2 2 5 2 2 2 2 2" xfId="8747" xr:uid="{00000000-0005-0000-0000-000027220000}"/>
    <cellStyle name="40% - Accent3 2 2 5 2 2 2 3" xfId="8748" xr:uid="{00000000-0005-0000-0000-000028220000}"/>
    <cellStyle name="40% - Accent3 2 2 5 2 2 3" xfId="8749" xr:uid="{00000000-0005-0000-0000-000029220000}"/>
    <cellStyle name="40% - Accent3 2 2 5 2 2 3 2" xfId="8750" xr:uid="{00000000-0005-0000-0000-00002A220000}"/>
    <cellStyle name="40% - Accent3 2 2 5 2 2 4" xfId="8751" xr:uid="{00000000-0005-0000-0000-00002B220000}"/>
    <cellStyle name="40% - Accent3 2 2 5 2 3" xfId="8752" xr:uid="{00000000-0005-0000-0000-00002C220000}"/>
    <cellStyle name="40% - Accent3 2 2 5 2 3 2" xfId="8753" xr:uid="{00000000-0005-0000-0000-00002D220000}"/>
    <cellStyle name="40% - Accent3 2 2 5 2 3 2 2" xfId="8754" xr:uid="{00000000-0005-0000-0000-00002E220000}"/>
    <cellStyle name="40% - Accent3 2 2 5 2 3 3" xfId="8755" xr:uid="{00000000-0005-0000-0000-00002F220000}"/>
    <cellStyle name="40% - Accent3 2 2 5 2 4" xfId="8756" xr:uid="{00000000-0005-0000-0000-000030220000}"/>
    <cellStyle name="40% - Accent3 2 2 5 2 4 2" xfId="8757" xr:uid="{00000000-0005-0000-0000-000031220000}"/>
    <cellStyle name="40% - Accent3 2 2 5 2 5" xfId="8758" xr:uid="{00000000-0005-0000-0000-000032220000}"/>
    <cellStyle name="40% - Accent3 2 2 5 3" xfId="8759" xr:uid="{00000000-0005-0000-0000-000033220000}"/>
    <cellStyle name="40% - Accent3 2 2 5 3 2" xfId="8760" xr:uid="{00000000-0005-0000-0000-000034220000}"/>
    <cellStyle name="40% - Accent3 2 2 5 3 2 2" xfId="8761" xr:uid="{00000000-0005-0000-0000-000035220000}"/>
    <cellStyle name="40% - Accent3 2 2 5 3 2 2 2" xfId="8762" xr:uid="{00000000-0005-0000-0000-000036220000}"/>
    <cellStyle name="40% - Accent3 2 2 5 3 2 3" xfId="8763" xr:uid="{00000000-0005-0000-0000-000037220000}"/>
    <cellStyle name="40% - Accent3 2 2 5 3 3" xfId="8764" xr:uid="{00000000-0005-0000-0000-000038220000}"/>
    <cellStyle name="40% - Accent3 2 2 5 3 3 2" xfId="8765" xr:uid="{00000000-0005-0000-0000-000039220000}"/>
    <cellStyle name="40% - Accent3 2 2 5 3 4" xfId="8766" xr:uid="{00000000-0005-0000-0000-00003A220000}"/>
    <cellStyle name="40% - Accent3 2 2 5 4" xfId="8767" xr:uid="{00000000-0005-0000-0000-00003B220000}"/>
    <cellStyle name="40% - Accent3 2 2 5 4 2" xfId="8768" xr:uid="{00000000-0005-0000-0000-00003C220000}"/>
    <cellStyle name="40% - Accent3 2 2 5 4 2 2" xfId="8769" xr:uid="{00000000-0005-0000-0000-00003D220000}"/>
    <cellStyle name="40% - Accent3 2 2 5 4 3" xfId="8770" xr:uid="{00000000-0005-0000-0000-00003E220000}"/>
    <cellStyle name="40% - Accent3 2 2 5 5" xfId="8771" xr:uid="{00000000-0005-0000-0000-00003F220000}"/>
    <cellStyle name="40% - Accent3 2 2 5 5 2" xfId="8772" xr:uid="{00000000-0005-0000-0000-000040220000}"/>
    <cellStyle name="40% - Accent3 2 2 5 6" xfId="8773" xr:uid="{00000000-0005-0000-0000-000041220000}"/>
    <cellStyle name="40% - Accent3 2 2 6" xfId="8774" xr:uid="{00000000-0005-0000-0000-000042220000}"/>
    <cellStyle name="40% - Accent3 2 2 6 2" xfId="8775" xr:uid="{00000000-0005-0000-0000-000043220000}"/>
    <cellStyle name="40% - Accent3 2 2 6 2 2" xfId="8776" xr:uid="{00000000-0005-0000-0000-000044220000}"/>
    <cellStyle name="40% - Accent3 2 2 6 2 2 2" xfId="8777" xr:uid="{00000000-0005-0000-0000-000045220000}"/>
    <cellStyle name="40% - Accent3 2 2 6 2 2 2 2" xfId="8778" xr:uid="{00000000-0005-0000-0000-000046220000}"/>
    <cellStyle name="40% - Accent3 2 2 6 2 2 3" xfId="8779" xr:uid="{00000000-0005-0000-0000-000047220000}"/>
    <cellStyle name="40% - Accent3 2 2 6 2 3" xfId="8780" xr:uid="{00000000-0005-0000-0000-000048220000}"/>
    <cellStyle name="40% - Accent3 2 2 6 2 3 2" xfId="8781" xr:uid="{00000000-0005-0000-0000-000049220000}"/>
    <cellStyle name="40% - Accent3 2 2 6 2 4" xfId="8782" xr:uid="{00000000-0005-0000-0000-00004A220000}"/>
    <cellStyle name="40% - Accent3 2 2 6 3" xfId="8783" xr:uid="{00000000-0005-0000-0000-00004B220000}"/>
    <cellStyle name="40% - Accent3 2 2 6 3 2" xfId="8784" xr:uid="{00000000-0005-0000-0000-00004C220000}"/>
    <cellStyle name="40% - Accent3 2 2 6 3 2 2" xfId="8785" xr:uid="{00000000-0005-0000-0000-00004D220000}"/>
    <cellStyle name="40% - Accent3 2 2 6 3 3" xfId="8786" xr:uid="{00000000-0005-0000-0000-00004E220000}"/>
    <cellStyle name="40% - Accent3 2 2 6 4" xfId="8787" xr:uid="{00000000-0005-0000-0000-00004F220000}"/>
    <cellStyle name="40% - Accent3 2 2 6 4 2" xfId="8788" xr:uid="{00000000-0005-0000-0000-000050220000}"/>
    <cellStyle name="40% - Accent3 2 2 6 5" xfId="8789" xr:uid="{00000000-0005-0000-0000-000051220000}"/>
    <cellStyle name="40% - Accent3 2 2 7" xfId="8790" xr:uid="{00000000-0005-0000-0000-000052220000}"/>
    <cellStyle name="40% - Accent3 2 2 7 2" xfId="8791" xr:uid="{00000000-0005-0000-0000-000053220000}"/>
    <cellStyle name="40% - Accent3 2 2 7 2 2" xfId="8792" xr:uid="{00000000-0005-0000-0000-000054220000}"/>
    <cellStyle name="40% - Accent3 2 2 7 2 2 2" xfId="8793" xr:uid="{00000000-0005-0000-0000-000055220000}"/>
    <cellStyle name="40% - Accent3 2 2 7 2 3" xfId="8794" xr:uid="{00000000-0005-0000-0000-000056220000}"/>
    <cellStyle name="40% - Accent3 2 2 7 3" xfId="8795" xr:uid="{00000000-0005-0000-0000-000057220000}"/>
    <cellStyle name="40% - Accent3 2 2 7 3 2" xfId="8796" xr:uid="{00000000-0005-0000-0000-000058220000}"/>
    <cellStyle name="40% - Accent3 2 2 7 4" xfId="8797" xr:uid="{00000000-0005-0000-0000-000059220000}"/>
    <cellStyle name="40% - Accent3 2 2 8" xfId="8798" xr:uid="{00000000-0005-0000-0000-00005A220000}"/>
    <cellStyle name="40% - Accent3 2 2 8 2" xfId="8799" xr:uid="{00000000-0005-0000-0000-00005B220000}"/>
    <cellStyle name="40% - Accent3 2 2 8 2 2" xfId="8800" xr:uid="{00000000-0005-0000-0000-00005C220000}"/>
    <cellStyle name="40% - Accent3 2 2 8 3" xfId="8801" xr:uid="{00000000-0005-0000-0000-00005D220000}"/>
    <cellStyle name="40% - Accent3 2 2 9" xfId="8802" xr:uid="{00000000-0005-0000-0000-00005E220000}"/>
    <cellStyle name="40% - Accent3 2 2 9 2" xfId="8803" xr:uid="{00000000-0005-0000-0000-00005F220000}"/>
    <cellStyle name="40% - Accent3 2 3" xfId="8804" xr:uid="{00000000-0005-0000-0000-000060220000}"/>
    <cellStyle name="40% - Accent3 2 3 2" xfId="8805" xr:uid="{00000000-0005-0000-0000-000061220000}"/>
    <cellStyle name="40% - Accent3 2 3 2 2" xfId="8806" xr:uid="{00000000-0005-0000-0000-000062220000}"/>
    <cellStyle name="40% - Accent3 2 3 2 2 2" xfId="8807" xr:uid="{00000000-0005-0000-0000-000063220000}"/>
    <cellStyle name="40% - Accent3 2 3 2 2 2 2" xfId="8808" xr:uid="{00000000-0005-0000-0000-000064220000}"/>
    <cellStyle name="40% - Accent3 2 3 2 2 2 2 2" xfId="8809" xr:uid="{00000000-0005-0000-0000-000065220000}"/>
    <cellStyle name="40% - Accent3 2 3 2 2 2 2 2 2" xfId="8810" xr:uid="{00000000-0005-0000-0000-000066220000}"/>
    <cellStyle name="40% - Accent3 2 3 2 2 2 2 2 2 2" xfId="8811" xr:uid="{00000000-0005-0000-0000-000067220000}"/>
    <cellStyle name="40% - Accent3 2 3 2 2 2 2 2 2 2 2" xfId="8812" xr:uid="{00000000-0005-0000-0000-000068220000}"/>
    <cellStyle name="40% - Accent3 2 3 2 2 2 2 2 2 3" xfId="8813" xr:uid="{00000000-0005-0000-0000-000069220000}"/>
    <cellStyle name="40% - Accent3 2 3 2 2 2 2 2 3" xfId="8814" xr:uid="{00000000-0005-0000-0000-00006A220000}"/>
    <cellStyle name="40% - Accent3 2 3 2 2 2 2 2 3 2" xfId="8815" xr:uid="{00000000-0005-0000-0000-00006B220000}"/>
    <cellStyle name="40% - Accent3 2 3 2 2 2 2 2 4" xfId="8816" xr:uid="{00000000-0005-0000-0000-00006C220000}"/>
    <cellStyle name="40% - Accent3 2 3 2 2 2 2 3" xfId="8817" xr:uid="{00000000-0005-0000-0000-00006D220000}"/>
    <cellStyle name="40% - Accent3 2 3 2 2 2 2 3 2" xfId="8818" xr:uid="{00000000-0005-0000-0000-00006E220000}"/>
    <cellStyle name="40% - Accent3 2 3 2 2 2 2 3 2 2" xfId="8819" xr:uid="{00000000-0005-0000-0000-00006F220000}"/>
    <cellStyle name="40% - Accent3 2 3 2 2 2 2 3 3" xfId="8820" xr:uid="{00000000-0005-0000-0000-000070220000}"/>
    <cellStyle name="40% - Accent3 2 3 2 2 2 2 4" xfId="8821" xr:uid="{00000000-0005-0000-0000-000071220000}"/>
    <cellStyle name="40% - Accent3 2 3 2 2 2 2 4 2" xfId="8822" xr:uid="{00000000-0005-0000-0000-000072220000}"/>
    <cellStyle name="40% - Accent3 2 3 2 2 2 2 5" xfId="8823" xr:uid="{00000000-0005-0000-0000-000073220000}"/>
    <cellStyle name="40% - Accent3 2 3 2 2 2 3" xfId="8824" xr:uid="{00000000-0005-0000-0000-000074220000}"/>
    <cellStyle name="40% - Accent3 2 3 2 2 2 3 2" xfId="8825" xr:uid="{00000000-0005-0000-0000-000075220000}"/>
    <cellStyle name="40% - Accent3 2 3 2 2 2 3 2 2" xfId="8826" xr:uid="{00000000-0005-0000-0000-000076220000}"/>
    <cellStyle name="40% - Accent3 2 3 2 2 2 3 2 2 2" xfId="8827" xr:uid="{00000000-0005-0000-0000-000077220000}"/>
    <cellStyle name="40% - Accent3 2 3 2 2 2 3 2 3" xfId="8828" xr:uid="{00000000-0005-0000-0000-000078220000}"/>
    <cellStyle name="40% - Accent3 2 3 2 2 2 3 3" xfId="8829" xr:uid="{00000000-0005-0000-0000-000079220000}"/>
    <cellStyle name="40% - Accent3 2 3 2 2 2 3 3 2" xfId="8830" xr:uid="{00000000-0005-0000-0000-00007A220000}"/>
    <cellStyle name="40% - Accent3 2 3 2 2 2 3 4" xfId="8831" xr:uid="{00000000-0005-0000-0000-00007B220000}"/>
    <cellStyle name="40% - Accent3 2 3 2 2 2 4" xfId="8832" xr:uid="{00000000-0005-0000-0000-00007C220000}"/>
    <cellStyle name="40% - Accent3 2 3 2 2 2 4 2" xfId="8833" xr:uid="{00000000-0005-0000-0000-00007D220000}"/>
    <cellStyle name="40% - Accent3 2 3 2 2 2 4 2 2" xfId="8834" xr:uid="{00000000-0005-0000-0000-00007E220000}"/>
    <cellStyle name="40% - Accent3 2 3 2 2 2 4 3" xfId="8835" xr:uid="{00000000-0005-0000-0000-00007F220000}"/>
    <cellStyle name="40% - Accent3 2 3 2 2 2 5" xfId="8836" xr:uid="{00000000-0005-0000-0000-000080220000}"/>
    <cellStyle name="40% - Accent3 2 3 2 2 2 5 2" xfId="8837" xr:uid="{00000000-0005-0000-0000-000081220000}"/>
    <cellStyle name="40% - Accent3 2 3 2 2 2 6" xfId="8838" xr:uid="{00000000-0005-0000-0000-000082220000}"/>
    <cellStyle name="40% - Accent3 2 3 2 2 3" xfId="8839" xr:uid="{00000000-0005-0000-0000-000083220000}"/>
    <cellStyle name="40% - Accent3 2 3 2 2 3 2" xfId="8840" xr:uid="{00000000-0005-0000-0000-000084220000}"/>
    <cellStyle name="40% - Accent3 2 3 2 2 3 2 2" xfId="8841" xr:uid="{00000000-0005-0000-0000-000085220000}"/>
    <cellStyle name="40% - Accent3 2 3 2 2 3 2 2 2" xfId="8842" xr:uid="{00000000-0005-0000-0000-000086220000}"/>
    <cellStyle name="40% - Accent3 2 3 2 2 3 2 2 2 2" xfId="8843" xr:uid="{00000000-0005-0000-0000-000087220000}"/>
    <cellStyle name="40% - Accent3 2 3 2 2 3 2 2 3" xfId="8844" xr:uid="{00000000-0005-0000-0000-000088220000}"/>
    <cellStyle name="40% - Accent3 2 3 2 2 3 2 3" xfId="8845" xr:uid="{00000000-0005-0000-0000-000089220000}"/>
    <cellStyle name="40% - Accent3 2 3 2 2 3 2 3 2" xfId="8846" xr:uid="{00000000-0005-0000-0000-00008A220000}"/>
    <cellStyle name="40% - Accent3 2 3 2 2 3 2 4" xfId="8847" xr:uid="{00000000-0005-0000-0000-00008B220000}"/>
    <cellStyle name="40% - Accent3 2 3 2 2 3 3" xfId="8848" xr:uid="{00000000-0005-0000-0000-00008C220000}"/>
    <cellStyle name="40% - Accent3 2 3 2 2 3 3 2" xfId="8849" xr:uid="{00000000-0005-0000-0000-00008D220000}"/>
    <cellStyle name="40% - Accent3 2 3 2 2 3 3 2 2" xfId="8850" xr:uid="{00000000-0005-0000-0000-00008E220000}"/>
    <cellStyle name="40% - Accent3 2 3 2 2 3 3 3" xfId="8851" xr:uid="{00000000-0005-0000-0000-00008F220000}"/>
    <cellStyle name="40% - Accent3 2 3 2 2 3 4" xfId="8852" xr:uid="{00000000-0005-0000-0000-000090220000}"/>
    <cellStyle name="40% - Accent3 2 3 2 2 3 4 2" xfId="8853" xr:uid="{00000000-0005-0000-0000-000091220000}"/>
    <cellStyle name="40% - Accent3 2 3 2 2 3 5" xfId="8854" xr:uid="{00000000-0005-0000-0000-000092220000}"/>
    <cellStyle name="40% - Accent3 2 3 2 2 4" xfId="8855" xr:uid="{00000000-0005-0000-0000-000093220000}"/>
    <cellStyle name="40% - Accent3 2 3 2 2 4 2" xfId="8856" xr:uid="{00000000-0005-0000-0000-000094220000}"/>
    <cellStyle name="40% - Accent3 2 3 2 2 4 2 2" xfId="8857" xr:uid="{00000000-0005-0000-0000-000095220000}"/>
    <cellStyle name="40% - Accent3 2 3 2 2 4 2 2 2" xfId="8858" xr:uid="{00000000-0005-0000-0000-000096220000}"/>
    <cellStyle name="40% - Accent3 2 3 2 2 4 2 3" xfId="8859" xr:uid="{00000000-0005-0000-0000-000097220000}"/>
    <cellStyle name="40% - Accent3 2 3 2 2 4 3" xfId="8860" xr:uid="{00000000-0005-0000-0000-000098220000}"/>
    <cellStyle name="40% - Accent3 2 3 2 2 4 3 2" xfId="8861" xr:uid="{00000000-0005-0000-0000-000099220000}"/>
    <cellStyle name="40% - Accent3 2 3 2 2 4 4" xfId="8862" xr:uid="{00000000-0005-0000-0000-00009A220000}"/>
    <cellStyle name="40% - Accent3 2 3 2 2 5" xfId="8863" xr:uid="{00000000-0005-0000-0000-00009B220000}"/>
    <cellStyle name="40% - Accent3 2 3 2 2 5 2" xfId="8864" xr:uid="{00000000-0005-0000-0000-00009C220000}"/>
    <cellStyle name="40% - Accent3 2 3 2 2 5 2 2" xfId="8865" xr:uid="{00000000-0005-0000-0000-00009D220000}"/>
    <cellStyle name="40% - Accent3 2 3 2 2 5 3" xfId="8866" xr:uid="{00000000-0005-0000-0000-00009E220000}"/>
    <cellStyle name="40% - Accent3 2 3 2 2 6" xfId="8867" xr:uid="{00000000-0005-0000-0000-00009F220000}"/>
    <cellStyle name="40% - Accent3 2 3 2 2 6 2" xfId="8868" xr:uid="{00000000-0005-0000-0000-0000A0220000}"/>
    <cellStyle name="40% - Accent3 2 3 2 2 7" xfId="8869" xr:uid="{00000000-0005-0000-0000-0000A1220000}"/>
    <cellStyle name="40% - Accent3 2 3 2 3" xfId="8870" xr:uid="{00000000-0005-0000-0000-0000A2220000}"/>
    <cellStyle name="40% - Accent3 2 3 2 3 2" xfId="8871" xr:uid="{00000000-0005-0000-0000-0000A3220000}"/>
    <cellStyle name="40% - Accent3 2 3 2 3 2 2" xfId="8872" xr:uid="{00000000-0005-0000-0000-0000A4220000}"/>
    <cellStyle name="40% - Accent3 2 3 2 3 2 2 2" xfId="8873" xr:uid="{00000000-0005-0000-0000-0000A5220000}"/>
    <cellStyle name="40% - Accent3 2 3 2 3 2 2 2 2" xfId="8874" xr:uid="{00000000-0005-0000-0000-0000A6220000}"/>
    <cellStyle name="40% - Accent3 2 3 2 3 2 2 2 2 2" xfId="8875" xr:uid="{00000000-0005-0000-0000-0000A7220000}"/>
    <cellStyle name="40% - Accent3 2 3 2 3 2 2 2 3" xfId="8876" xr:uid="{00000000-0005-0000-0000-0000A8220000}"/>
    <cellStyle name="40% - Accent3 2 3 2 3 2 2 3" xfId="8877" xr:uid="{00000000-0005-0000-0000-0000A9220000}"/>
    <cellStyle name="40% - Accent3 2 3 2 3 2 2 3 2" xfId="8878" xr:uid="{00000000-0005-0000-0000-0000AA220000}"/>
    <cellStyle name="40% - Accent3 2 3 2 3 2 2 4" xfId="8879" xr:uid="{00000000-0005-0000-0000-0000AB220000}"/>
    <cellStyle name="40% - Accent3 2 3 2 3 2 3" xfId="8880" xr:uid="{00000000-0005-0000-0000-0000AC220000}"/>
    <cellStyle name="40% - Accent3 2 3 2 3 2 3 2" xfId="8881" xr:uid="{00000000-0005-0000-0000-0000AD220000}"/>
    <cellStyle name="40% - Accent3 2 3 2 3 2 3 2 2" xfId="8882" xr:uid="{00000000-0005-0000-0000-0000AE220000}"/>
    <cellStyle name="40% - Accent3 2 3 2 3 2 3 3" xfId="8883" xr:uid="{00000000-0005-0000-0000-0000AF220000}"/>
    <cellStyle name="40% - Accent3 2 3 2 3 2 4" xfId="8884" xr:uid="{00000000-0005-0000-0000-0000B0220000}"/>
    <cellStyle name="40% - Accent3 2 3 2 3 2 4 2" xfId="8885" xr:uid="{00000000-0005-0000-0000-0000B1220000}"/>
    <cellStyle name="40% - Accent3 2 3 2 3 2 5" xfId="8886" xr:uid="{00000000-0005-0000-0000-0000B2220000}"/>
    <cellStyle name="40% - Accent3 2 3 2 3 3" xfId="8887" xr:uid="{00000000-0005-0000-0000-0000B3220000}"/>
    <cellStyle name="40% - Accent3 2 3 2 3 3 2" xfId="8888" xr:uid="{00000000-0005-0000-0000-0000B4220000}"/>
    <cellStyle name="40% - Accent3 2 3 2 3 3 2 2" xfId="8889" xr:uid="{00000000-0005-0000-0000-0000B5220000}"/>
    <cellStyle name="40% - Accent3 2 3 2 3 3 2 2 2" xfId="8890" xr:uid="{00000000-0005-0000-0000-0000B6220000}"/>
    <cellStyle name="40% - Accent3 2 3 2 3 3 2 3" xfId="8891" xr:uid="{00000000-0005-0000-0000-0000B7220000}"/>
    <cellStyle name="40% - Accent3 2 3 2 3 3 3" xfId="8892" xr:uid="{00000000-0005-0000-0000-0000B8220000}"/>
    <cellStyle name="40% - Accent3 2 3 2 3 3 3 2" xfId="8893" xr:uid="{00000000-0005-0000-0000-0000B9220000}"/>
    <cellStyle name="40% - Accent3 2 3 2 3 3 4" xfId="8894" xr:uid="{00000000-0005-0000-0000-0000BA220000}"/>
    <cellStyle name="40% - Accent3 2 3 2 3 4" xfId="8895" xr:uid="{00000000-0005-0000-0000-0000BB220000}"/>
    <cellStyle name="40% - Accent3 2 3 2 3 4 2" xfId="8896" xr:uid="{00000000-0005-0000-0000-0000BC220000}"/>
    <cellStyle name="40% - Accent3 2 3 2 3 4 2 2" xfId="8897" xr:uid="{00000000-0005-0000-0000-0000BD220000}"/>
    <cellStyle name="40% - Accent3 2 3 2 3 4 3" xfId="8898" xr:uid="{00000000-0005-0000-0000-0000BE220000}"/>
    <cellStyle name="40% - Accent3 2 3 2 3 5" xfId="8899" xr:uid="{00000000-0005-0000-0000-0000BF220000}"/>
    <cellStyle name="40% - Accent3 2 3 2 3 5 2" xfId="8900" xr:uid="{00000000-0005-0000-0000-0000C0220000}"/>
    <cellStyle name="40% - Accent3 2 3 2 3 6" xfId="8901" xr:uid="{00000000-0005-0000-0000-0000C1220000}"/>
    <cellStyle name="40% - Accent3 2 3 2 4" xfId="8902" xr:uid="{00000000-0005-0000-0000-0000C2220000}"/>
    <cellStyle name="40% - Accent3 2 3 2 4 2" xfId="8903" xr:uid="{00000000-0005-0000-0000-0000C3220000}"/>
    <cellStyle name="40% - Accent3 2 3 2 4 2 2" xfId="8904" xr:uid="{00000000-0005-0000-0000-0000C4220000}"/>
    <cellStyle name="40% - Accent3 2 3 2 4 2 2 2" xfId="8905" xr:uid="{00000000-0005-0000-0000-0000C5220000}"/>
    <cellStyle name="40% - Accent3 2 3 2 4 2 2 2 2" xfId="8906" xr:uid="{00000000-0005-0000-0000-0000C6220000}"/>
    <cellStyle name="40% - Accent3 2 3 2 4 2 2 3" xfId="8907" xr:uid="{00000000-0005-0000-0000-0000C7220000}"/>
    <cellStyle name="40% - Accent3 2 3 2 4 2 3" xfId="8908" xr:uid="{00000000-0005-0000-0000-0000C8220000}"/>
    <cellStyle name="40% - Accent3 2 3 2 4 2 3 2" xfId="8909" xr:uid="{00000000-0005-0000-0000-0000C9220000}"/>
    <cellStyle name="40% - Accent3 2 3 2 4 2 4" xfId="8910" xr:uid="{00000000-0005-0000-0000-0000CA220000}"/>
    <cellStyle name="40% - Accent3 2 3 2 4 3" xfId="8911" xr:uid="{00000000-0005-0000-0000-0000CB220000}"/>
    <cellStyle name="40% - Accent3 2 3 2 4 3 2" xfId="8912" xr:uid="{00000000-0005-0000-0000-0000CC220000}"/>
    <cellStyle name="40% - Accent3 2 3 2 4 3 2 2" xfId="8913" xr:uid="{00000000-0005-0000-0000-0000CD220000}"/>
    <cellStyle name="40% - Accent3 2 3 2 4 3 3" xfId="8914" xr:uid="{00000000-0005-0000-0000-0000CE220000}"/>
    <cellStyle name="40% - Accent3 2 3 2 4 4" xfId="8915" xr:uid="{00000000-0005-0000-0000-0000CF220000}"/>
    <cellStyle name="40% - Accent3 2 3 2 4 4 2" xfId="8916" xr:uid="{00000000-0005-0000-0000-0000D0220000}"/>
    <cellStyle name="40% - Accent3 2 3 2 4 5" xfId="8917" xr:uid="{00000000-0005-0000-0000-0000D1220000}"/>
    <cellStyle name="40% - Accent3 2 3 2 5" xfId="8918" xr:uid="{00000000-0005-0000-0000-0000D2220000}"/>
    <cellStyle name="40% - Accent3 2 3 2 5 2" xfId="8919" xr:uid="{00000000-0005-0000-0000-0000D3220000}"/>
    <cellStyle name="40% - Accent3 2 3 2 5 2 2" xfId="8920" xr:uid="{00000000-0005-0000-0000-0000D4220000}"/>
    <cellStyle name="40% - Accent3 2 3 2 5 2 2 2" xfId="8921" xr:uid="{00000000-0005-0000-0000-0000D5220000}"/>
    <cellStyle name="40% - Accent3 2 3 2 5 2 3" xfId="8922" xr:uid="{00000000-0005-0000-0000-0000D6220000}"/>
    <cellStyle name="40% - Accent3 2 3 2 5 3" xfId="8923" xr:uid="{00000000-0005-0000-0000-0000D7220000}"/>
    <cellStyle name="40% - Accent3 2 3 2 5 3 2" xfId="8924" xr:uid="{00000000-0005-0000-0000-0000D8220000}"/>
    <cellStyle name="40% - Accent3 2 3 2 5 4" xfId="8925" xr:uid="{00000000-0005-0000-0000-0000D9220000}"/>
    <cellStyle name="40% - Accent3 2 3 2 6" xfId="8926" xr:uid="{00000000-0005-0000-0000-0000DA220000}"/>
    <cellStyle name="40% - Accent3 2 3 2 6 2" xfId="8927" xr:uid="{00000000-0005-0000-0000-0000DB220000}"/>
    <cellStyle name="40% - Accent3 2 3 2 6 2 2" xfId="8928" xr:uid="{00000000-0005-0000-0000-0000DC220000}"/>
    <cellStyle name="40% - Accent3 2 3 2 6 3" xfId="8929" xr:uid="{00000000-0005-0000-0000-0000DD220000}"/>
    <cellStyle name="40% - Accent3 2 3 2 7" xfId="8930" xr:uid="{00000000-0005-0000-0000-0000DE220000}"/>
    <cellStyle name="40% - Accent3 2 3 2 7 2" xfId="8931" xr:uid="{00000000-0005-0000-0000-0000DF220000}"/>
    <cellStyle name="40% - Accent3 2 3 2 8" xfId="8932" xr:uid="{00000000-0005-0000-0000-0000E0220000}"/>
    <cellStyle name="40% - Accent3 2 3 3" xfId="8933" xr:uid="{00000000-0005-0000-0000-0000E1220000}"/>
    <cellStyle name="40% - Accent3 2 3 3 2" xfId="8934" xr:uid="{00000000-0005-0000-0000-0000E2220000}"/>
    <cellStyle name="40% - Accent3 2 3 3 2 2" xfId="8935" xr:uid="{00000000-0005-0000-0000-0000E3220000}"/>
    <cellStyle name="40% - Accent3 2 3 3 2 2 2" xfId="8936" xr:uid="{00000000-0005-0000-0000-0000E4220000}"/>
    <cellStyle name="40% - Accent3 2 3 3 2 2 2 2" xfId="8937" xr:uid="{00000000-0005-0000-0000-0000E5220000}"/>
    <cellStyle name="40% - Accent3 2 3 3 2 2 2 2 2" xfId="8938" xr:uid="{00000000-0005-0000-0000-0000E6220000}"/>
    <cellStyle name="40% - Accent3 2 3 3 2 2 2 2 2 2" xfId="8939" xr:uid="{00000000-0005-0000-0000-0000E7220000}"/>
    <cellStyle name="40% - Accent3 2 3 3 2 2 2 2 3" xfId="8940" xr:uid="{00000000-0005-0000-0000-0000E8220000}"/>
    <cellStyle name="40% - Accent3 2 3 3 2 2 2 3" xfId="8941" xr:uid="{00000000-0005-0000-0000-0000E9220000}"/>
    <cellStyle name="40% - Accent3 2 3 3 2 2 2 3 2" xfId="8942" xr:uid="{00000000-0005-0000-0000-0000EA220000}"/>
    <cellStyle name="40% - Accent3 2 3 3 2 2 2 4" xfId="8943" xr:uid="{00000000-0005-0000-0000-0000EB220000}"/>
    <cellStyle name="40% - Accent3 2 3 3 2 2 3" xfId="8944" xr:uid="{00000000-0005-0000-0000-0000EC220000}"/>
    <cellStyle name="40% - Accent3 2 3 3 2 2 3 2" xfId="8945" xr:uid="{00000000-0005-0000-0000-0000ED220000}"/>
    <cellStyle name="40% - Accent3 2 3 3 2 2 3 2 2" xfId="8946" xr:uid="{00000000-0005-0000-0000-0000EE220000}"/>
    <cellStyle name="40% - Accent3 2 3 3 2 2 3 3" xfId="8947" xr:uid="{00000000-0005-0000-0000-0000EF220000}"/>
    <cellStyle name="40% - Accent3 2 3 3 2 2 4" xfId="8948" xr:uid="{00000000-0005-0000-0000-0000F0220000}"/>
    <cellStyle name="40% - Accent3 2 3 3 2 2 4 2" xfId="8949" xr:uid="{00000000-0005-0000-0000-0000F1220000}"/>
    <cellStyle name="40% - Accent3 2 3 3 2 2 5" xfId="8950" xr:uid="{00000000-0005-0000-0000-0000F2220000}"/>
    <cellStyle name="40% - Accent3 2 3 3 2 3" xfId="8951" xr:uid="{00000000-0005-0000-0000-0000F3220000}"/>
    <cellStyle name="40% - Accent3 2 3 3 2 3 2" xfId="8952" xr:uid="{00000000-0005-0000-0000-0000F4220000}"/>
    <cellStyle name="40% - Accent3 2 3 3 2 3 2 2" xfId="8953" xr:uid="{00000000-0005-0000-0000-0000F5220000}"/>
    <cellStyle name="40% - Accent3 2 3 3 2 3 2 2 2" xfId="8954" xr:uid="{00000000-0005-0000-0000-0000F6220000}"/>
    <cellStyle name="40% - Accent3 2 3 3 2 3 2 3" xfId="8955" xr:uid="{00000000-0005-0000-0000-0000F7220000}"/>
    <cellStyle name="40% - Accent3 2 3 3 2 3 3" xfId="8956" xr:uid="{00000000-0005-0000-0000-0000F8220000}"/>
    <cellStyle name="40% - Accent3 2 3 3 2 3 3 2" xfId="8957" xr:uid="{00000000-0005-0000-0000-0000F9220000}"/>
    <cellStyle name="40% - Accent3 2 3 3 2 3 4" xfId="8958" xr:uid="{00000000-0005-0000-0000-0000FA220000}"/>
    <cellStyle name="40% - Accent3 2 3 3 2 4" xfId="8959" xr:uid="{00000000-0005-0000-0000-0000FB220000}"/>
    <cellStyle name="40% - Accent3 2 3 3 2 4 2" xfId="8960" xr:uid="{00000000-0005-0000-0000-0000FC220000}"/>
    <cellStyle name="40% - Accent3 2 3 3 2 4 2 2" xfId="8961" xr:uid="{00000000-0005-0000-0000-0000FD220000}"/>
    <cellStyle name="40% - Accent3 2 3 3 2 4 3" xfId="8962" xr:uid="{00000000-0005-0000-0000-0000FE220000}"/>
    <cellStyle name="40% - Accent3 2 3 3 2 5" xfId="8963" xr:uid="{00000000-0005-0000-0000-0000FF220000}"/>
    <cellStyle name="40% - Accent3 2 3 3 2 5 2" xfId="8964" xr:uid="{00000000-0005-0000-0000-000000230000}"/>
    <cellStyle name="40% - Accent3 2 3 3 2 6" xfId="8965" xr:uid="{00000000-0005-0000-0000-000001230000}"/>
    <cellStyle name="40% - Accent3 2 3 3 3" xfId="8966" xr:uid="{00000000-0005-0000-0000-000002230000}"/>
    <cellStyle name="40% - Accent3 2 3 3 3 2" xfId="8967" xr:uid="{00000000-0005-0000-0000-000003230000}"/>
    <cellStyle name="40% - Accent3 2 3 3 3 2 2" xfId="8968" xr:uid="{00000000-0005-0000-0000-000004230000}"/>
    <cellStyle name="40% - Accent3 2 3 3 3 2 2 2" xfId="8969" xr:uid="{00000000-0005-0000-0000-000005230000}"/>
    <cellStyle name="40% - Accent3 2 3 3 3 2 2 2 2" xfId="8970" xr:uid="{00000000-0005-0000-0000-000006230000}"/>
    <cellStyle name="40% - Accent3 2 3 3 3 2 2 3" xfId="8971" xr:uid="{00000000-0005-0000-0000-000007230000}"/>
    <cellStyle name="40% - Accent3 2 3 3 3 2 3" xfId="8972" xr:uid="{00000000-0005-0000-0000-000008230000}"/>
    <cellStyle name="40% - Accent3 2 3 3 3 2 3 2" xfId="8973" xr:uid="{00000000-0005-0000-0000-000009230000}"/>
    <cellStyle name="40% - Accent3 2 3 3 3 2 4" xfId="8974" xr:uid="{00000000-0005-0000-0000-00000A230000}"/>
    <cellStyle name="40% - Accent3 2 3 3 3 3" xfId="8975" xr:uid="{00000000-0005-0000-0000-00000B230000}"/>
    <cellStyle name="40% - Accent3 2 3 3 3 3 2" xfId="8976" xr:uid="{00000000-0005-0000-0000-00000C230000}"/>
    <cellStyle name="40% - Accent3 2 3 3 3 3 2 2" xfId="8977" xr:uid="{00000000-0005-0000-0000-00000D230000}"/>
    <cellStyle name="40% - Accent3 2 3 3 3 3 3" xfId="8978" xr:uid="{00000000-0005-0000-0000-00000E230000}"/>
    <cellStyle name="40% - Accent3 2 3 3 3 4" xfId="8979" xr:uid="{00000000-0005-0000-0000-00000F230000}"/>
    <cellStyle name="40% - Accent3 2 3 3 3 4 2" xfId="8980" xr:uid="{00000000-0005-0000-0000-000010230000}"/>
    <cellStyle name="40% - Accent3 2 3 3 3 5" xfId="8981" xr:uid="{00000000-0005-0000-0000-000011230000}"/>
    <cellStyle name="40% - Accent3 2 3 3 4" xfId="8982" xr:uid="{00000000-0005-0000-0000-000012230000}"/>
    <cellStyle name="40% - Accent3 2 3 3 4 2" xfId="8983" xr:uid="{00000000-0005-0000-0000-000013230000}"/>
    <cellStyle name="40% - Accent3 2 3 3 4 2 2" xfId="8984" xr:uid="{00000000-0005-0000-0000-000014230000}"/>
    <cellStyle name="40% - Accent3 2 3 3 4 2 2 2" xfId="8985" xr:uid="{00000000-0005-0000-0000-000015230000}"/>
    <cellStyle name="40% - Accent3 2 3 3 4 2 3" xfId="8986" xr:uid="{00000000-0005-0000-0000-000016230000}"/>
    <cellStyle name="40% - Accent3 2 3 3 4 3" xfId="8987" xr:uid="{00000000-0005-0000-0000-000017230000}"/>
    <cellStyle name="40% - Accent3 2 3 3 4 3 2" xfId="8988" xr:uid="{00000000-0005-0000-0000-000018230000}"/>
    <cellStyle name="40% - Accent3 2 3 3 4 4" xfId="8989" xr:uid="{00000000-0005-0000-0000-000019230000}"/>
    <cellStyle name="40% - Accent3 2 3 3 5" xfId="8990" xr:uid="{00000000-0005-0000-0000-00001A230000}"/>
    <cellStyle name="40% - Accent3 2 3 3 5 2" xfId="8991" xr:uid="{00000000-0005-0000-0000-00001B230000}"/>
    <cellStyle name="40% - Accent3 2 3 3 5 2 2" xfId="8992" xr:uid="{00000000-0005-0000-0000-00001C230000}"/>
    <cellStyle name="40% - Accent3 2 3 3 5 3" xfId="8993" xr:uid="{00000000-0005-0000-0000-00001D230000}"/>
    <cellStyle name="40% - Accent3 2 3 3 6" xfId="8994" xr:uid="{00000000-0005-0000-0000-00001E230000}"/>
    <cellStyle name="40% - Accent3 2 3 3 6 2" xfId="8995" xr:uid="{00000000-0005-0000-0000-00001F230000}"/>
    <cellStyle name="40% - Accent3 2 3 3 7" xfId="8996" xr:uid="{00000000-0005-0000-0000-000020230000}"/>
    <cellStyle name="40% - Accent3 2 3 4" xfId="8997" xr:uid="{00000000-0005-0000-0000-000021230000}"/>
    <cellStyle name="40% - Accent3 2 3 4 2" xfId="8998" xr:uid="{00000000-0005-0000-0000-000022230000}"/>
    <cellStyle name="40% - Accent3 2 3 4 2 2" xfId="8999" xr:uid="{00000000-0005-0000-0000-000023230000}"/>
    <cellStyle name="40% - Accent3 2 3 4 2 2 2" xfId="9000" xr:uid="{00000000-0005-0000-0000-000024230000}"/>
    <cellStyle name="40% - Accent3 2 3 4 2 2 2 2" xfId="9001" xr:uid="{00000000-0005-0000-0000-000025230000}"/>
    <cellStyle name="40% - Accent3 2 3 4 2 2 2 2 2" xfId="9002" xr:uid="{00000000-0005-0000-0000-000026230000}"/>
    <cellStyle name="40% - Accent3 2 3 4 2 2 2 3" xfId="9003" xr:uid="{00000000-0005-0000-0000-000027230000}"/>
    <cellStyle name="40% - Accent3 2 3 4 2 2 3" xfId="9004" xr:uid="{00000000-0005-0000-0000-000028230000}"/>
    <cellStyle name="40% - Accent3 2 3 4 2 2 3 2" xfId="9005" xr:uid="{00000000-0005-0000-0000-000029230000}"/>
    <cellStyle name="40% - Accent3 2 3 4 2 2 4" xfId="9006" xr:uid="{00000000-0005-0000-0000-00002A230000}"/>
    <cellStyle name="40% - Accent3 2 3 4 2 3" xfId="9007" xr:uid="{00000000-0005-0000-0000-00002B230000}"/>
    <cellStyle name="40% - Accent3 2 3 4 2 3 2" xfId="9008" xr:uid="{00000000-0005-0000-0000-00002C230000}"/>
    <cellStyle name="40% - Accent3 2 3 4 2 3 2 2" xfId="9009" xr:uid="{00000000-0005-0000-0000-00002D230000}"/>
    <cellStyle name="40% - Accent3 2 3 4 2 3 3" xfId="9010" xr:uid="{00000000-0005-0000-0000-00002E230000}"/>
    <cellStyle name="40% - Accent3 2 3 4 2 4" xfId="9011" xr:uid="{00000000-0005-0000-0000-00002F230000}"/>
    <cellStyle name="40% - Accent3 2 3 4 2 4 2" xfId="9012" xr:uid="{00000000-0005-0000-0000-000030230000}"/>
    <cellStyle name="40% - Accent3 2 3 4 2 5" xfId="9013" xr:uid="{00000000-0005-0000-0000-000031230000}"/>
    <cellStyle name="40% - Accent3 2 3 4 3" xfId="9014" xr:uid="{00000000-0005-0000-0000-000032230000}"/>
    <cellStyle name="40% - Accent3 2 3 4 3 2" xfId="9015" xr:uid="{00000000-0005-0000-0000-000033230000}"/>
    <cellStyle name="40% - Accent3 2 3 4 3 2 2" xfId="9016" xr:uid="{00000000-0005-0000-0000-000034230000}"/>
    <cellStyle name="40% - Accent3 2 3 4 3 2 2 2" xfId="9017" xr:uid="{00000000-0005-0000-0000-000035230000}"/>
    <cellStyle name="40% - Accent3 2 3 4 3 2 3" xfId="9018" xr:uid="{00000000-0005-0000-0000-000036230000}"/>
    <cellStyle name="40% - Accent3 2 3 4 3 3" xfId="9019" xr:uid="{00000000-0005-0000-0000-000037230000}"/>
    <cellStyle name="40% - Accent3 2 3 4 3 3 2" xfId="9020" xr:uid="{00000000-0005-0000-0000-000038230000}"/>
    <cellStyle name="40% - Accent3 2 3 4 3 4" xfId="9021" xr:uid="{00000000-0005-0000-0000-000039230000}"/>
    <cellStyle name="40% - Accent3 2 3 4 4" xfId="9022" xr:uid="{00000000-0005-0000-0000-00003A230000}"/>
    <cellStyle name="40% - Accent3 2 3 4 4 2" xfId="9023" xr:uid="{00000000-0005-0000-0000-00003B230000}"/>
    <cellStyle name="40% - Accent3 2 3 4 4 2 2" xfId="9024" xr:uid="{00000000-0005-0000-0000-00003C230000}"/>
    <cellStyle name="40% - Accent3 2 3 4 4 3" xfId="9025" xr:uid="{00000000-0005-0000-0000-00003D230000}"/>
    <cellStyle name="40% - Accent3 2 3 4 5" xfId="9026" xr:uid="{00000000-0005-0000-0000-00003E230000}"/>
    <cellStyle name="40% - Accent3 2 3 4 5 2" xfId="9027" xr:uid="{00000000-0005-0000-0000-00003F230000}"/>
    <cellStyle name="40% - Accent3 2 3 4 6" xfId="9028" xr:uid="{00000000-0005-0000-0000-000040230000}"/>
    <cellStyle name="40% - Accent3 2 3 5" xfId="9029" xr:uid="{00000000-0005-0000-0000-000041230000}"/>
    <cellStyle name="40% - Accent3 2 3 5 2" xfId="9030" xr:uid="{00000000-0005-0000-0000-000042230000}"/>
    <cellStyle name="40% - Accent3 2 3 5 2 2" xfId="9031" xr:uid="{00000000-0005-0000-0000-000043230000}"/>
    <cellStyle name="40% - Accent3 2 3 5 2 2 2" xfId="9032" xr:uid="{00000000-0005-0000-0000-000044230000}"/>
    <cellStyle name="40% - Accent3 2 3 5 2 2 2 2" xfId="9033" xr:uid="{00000000-0005-0000-0000-000045230000}"/>
    <cellStyle name="40% - Accent3 2 3 5 2 2 3" xfId="9034" xr:uid="{00000000-0005-0000-0000-000046230000}"/>
    <cellStyle name="40% - Accent3 2 3 5 2 3" xfId="9035" xr:uid="{00000000-0005-0000-0000-000047230000}"/>
    <cellStyle name="40% - Accent3 2 3 5 2 3 2" xfId="9036" xr:uid="{00000000-0005-0000-0000-000048230000}"/>
    <cellStyle name="40% - Accent3 2 3 5 2 4" xfId="9037" xr:uid="{00000000-0005-0000-0000-000049230000}"/>
    <cellStyle name="40% - Accent3 2 3 5 3" xfId="9038" xr:uid="{00000000-0005-0000-0000-00004A230000}"/>
    <cellStyle name="40% - Accent3 2 3 5 3 2" xfId="9039" xr:uid="{00000000-0005-0000-0000-00004B230000}"/>
    <cellStyle name="40% - Accent3 2 3 5 3 2 2" xfId="9040" xr:uid="{00000000-0005-0000-0000-00004C230000}"/>
    <cellStyle name="40% - Accent3 2 3 5 3 3" xfId="9041" xr:uid="{00000000-0005-0000-0000-00004D230000}"/>
    <cellStyle name="40% - Accent3 2 3 5 4" xfId="9042" xr:uid="{00000000-0005-0000-0000-00004E230000}"/>
    <cellStyle name="40% - Accent3 2 3 5 4 2" xfId="9043" xr:uid="{00000000-0005-0000-0000-00004F230000}"/>
    <cellStyle name="40% - Accent3 2 3 5 5" xfId="9044" xr:uid="{00000000-0005-0000-0000-000050230000}"/>
    <cellStyle name="40% - Accent3 2 3 6" xfId="9045" xr:uid="{00000000-0005-0000-0000-000051230000}"/>
    <cellStyle name="40% - Accent3 2 3 6 2" xfId="9046" xr:uid="{00000000-0005-0000-0000-000052230000}"/>
    <cellStyle name="40% - Accent3 2 3 6 2 2" xfId="9047" xr:uid="{00000000-0005-0000-0000-000053230000}"/>
    <cellStyle name="40% - Accent3 2 3 6 2 2 2" xfId="9048" xr:uid="{00000000-0005-0000-0000-000054230000}"/>
    <cellStyle name="40% - Accent3 2 3 6 2 3" xfId="9049" xr:uid="{00000000-0005-0000-0000-000055230000}"/>
    <cellStyle name="40% - Accent3 2 3 6 3" xfId="9050" xr:uid="{00000000-0005-0000-0000-000056230000}"/>
    <cellStyle name="40% - Accent3 2 3 6 3 2" xfId="9051" xr:uid="{00000000-0005-0000-0000-000057230000}"/>
    <cellStyle name="40% - Accent3 2 3 6 4" xfId="9052" xr:uid="{00000000-0005-0000-0000-000058230000}"/>
    <cellStyle name="40% - Accent3 2 3 7" xfId="9053" xr:uid="{00000000-0005-0000-0000-000059230000}"/>
    <cellStyle name="40% - Accent3 2 3 7 2" xfId="9054" xr:uid="{00000000-0005-0000-0000-00005A230000}"/>
    <cellStyle name="40% - Accent3 2 3 7 2 2" xfId="9055" xr:uid="{00000000-0005-0000-0000-00005B230000}"/>
    <cellStyle name="40% - Accent3 2 3 7 3" xfId="9056" xr:uid="{00000000-0005-0000-0000-00005C230000}"/>
    <cellStyle name="40% - Accent3 2 3 8" xfId="9057" xr:uid="{00000000-0005-0000-0000-00005D230000}"/>
    <cellStyle name="40% - Accent3 2 3 8 2" xfId="9058" xr:uid="{00000000-0005-0000-0000-00005E230000}"/>
    <cellStyle name="40% - Accent3 2 3 9" xfId="9059" xr:uid="{00000000-0005-0000-0000-00005F230000}"/>
    <cellStyle name="40% - Accent3 2 4" xfId="9060" xr:uid="{00000000-0005-0000-0000-000060230000}"/>
    <cellStyle name="40% - Accent3 2 4 2" xfId="9061" xr:uid="{00000000-0005-0000-0000-000061230000}"/>
    <cellStyle name="40% - Accent3 2 4 2 2" xfId="9062" xr:uid="{00000000-0005-0000-0000-000062230000}"/>
    <cellStyle name="40% - Accent3 2 4 2 2 2" xfId="9063" xr:uid="{00000000-0005-0000-0000-000063230000}"/>
    <cellStyle name="40% - Accent3 2 4 2 2 2 2" xfId="9064" xr:uid="{00000000-0005-0000-0000-000064230000}"/>
    <cellStyle name="40% - Accent3 2 4 2 2 2 2 2" xfId="9065" xr:uid="{00000000-0005-0000-0000-000065230000}"/>
    <cellStyle name="40% - Accent3 2 4 2 2 2 2 2 2" xfId="9066" xr:uid="{00000000-0005-0000-0000-000066230000}"/>
    <cellStyle name="40% - Accent3 2 4 2 2 2 2 2 2 2" xfId="9067" xr:uid="{00000000-0005-0000-0000-000067230000}"/>
    <cellStyle name="40% - Accent3 2 4 2 2 2 2 2 3" xfId="9068" xr:uid="{00000000-0005-0000-0000-000068230000}"/>
    <cellStyle name="40% - Accent3 2 4 2 2 2 2 3" xfId="9069" xr:uid="{00000000-0005-0000-0000-000069230000}"/>
    <cellStyle name="40% - Accent3 2 4 2 2 2 2 3 2" xfId="9070" xr:uid="{00000000-0005-0000-0000-00006A230000}"/>
    <cellStyle name="40% - Accent3 2 4 2 2 2 2 4" xfId="9071" xr:uid="{00000000-0005-0000-0000-00006B230000}"/>
    <cellStyle name="40% - Accent3 2 4 2 2 2 3" xfId="9072" xr:uid="{00000000-0005-0000-0000-00006C230000}"/>
    <cellStyle name="40% - Accent3 2 4 2 2 2 3 2" xfId="9073" xr:uid="{00000000-0005-0000-0000-00006D230000}"/>
    <cellStyle name="40% - Accent3 2 4 2 2 2 3 2 2" xfId="9074" xr:uid="{00000000-0005-0000-0000-00006E230000}"/>
    <cellStyle name="40% - Accent3 2 4 2 2 2 3 3" xfId="9075" xr:uid="{00000000-0005-0000-0000-00006F230000}"/>
    <cellStyle name="40% - Accent3 2 4 2 2 2 4" xfId="9076" xr:uid="{00000000-0005-0000-0000-000070230000}"/>
    <cellStyle name="40% - Accent3 2 4 2 2 2 4 2" xfId="9077" xr:uid="{00000000-0005-0000-0000-000071230000}"/>
    <cellStyle name="40% - Accent3 2 4 2 2 2 5" xfId="9078" xr:uid="{00000000-0005-0000-0000-000072230000}"/>
    <cellStyle name="40% - Accent3 2 4 2 2 3" xfId="9079" xr:uid="{00000000-0005-0000-0000-000073230000}"/>
    <cellStyle name="40% - Accent3 2 4 2 2 3 2" xfId="9080" xr:uid="{00000000-0005-0000-0000-000074230000}"/>
    <cellStyle name="40% - Accent3 2 4 2 2 3 2 2" xfId="9081" xr:uid="{00000000-0005-0000-0000-000075230000}"/>
    <cellStyle name="40% - Accent3 2 4 2 2 3 2 2 2" xfId="9082" xr:uid="{00000000-0005-0000-0000-000076230000}"/>
    <cellStyle name="40% - Accent3 2 4 2 2 3 2 3" xfId="9083" xr:uid="{00000000-0005-0000-0000-000077230000}"/>
    <cellStyle name="40% - Accent3 2 4 2 2 3 3" xfId="9084" xr:uid="{00000000-0005-0000-0000-000078230000}"/>
    <cellStyle name="40% - Accent3 2 4 2 2 3 3 2" xfId="9085" xr:uid="{00000000-0005-0000-0000-000079230000}"/>
    <cellStyle name="40% - Accent3 2 4 2 2 3 4" xfId="9086" xr:uid="{00000000-0005-0000-0000-00007A230000}"/>
    <cellStyle name="40% - Accent3 2 4 2 2 4" xfId="9087" xr:uid="{00000000-0005-0000-0000-00007B230000}"/>
    <cellStyle name="40% - Accent3 2 4 2 2 4 2" xfId="9088" xr:uid="{00000000-0005-0000-0000-00007C230000}"/>
    <cellStyle name="40% - Accent3 2 4 2 2 4 2 2" xfId="9089" xr:uid="{00000000-0005-0000-0000-00007D230000}"/>
    <cellStyle name="40% - Accent3 2 4 2 2 4 3" xfId="9090" xr:uid="{00000000-0005-0000-0000-00007E230000}"/>
    <cellStyle name="40% - Accent3 2 4 2 2 5" xfId="9091" xr:uid="{00000000-0005-0000-0000-00007F230000}"/>
    <cellStyle name="40% - Accent3 2 4 2 2 5 2" xfId="9092" xr:uid="{00000000-0005-0000-0000-000080230000}"/>
    <cellStyle name="40% - Accent3 2 4 2 2 6" xfId="9093" xr:uid="{00000000-0005-0000-0000-000081230000}"/>
    <cellStyle name="40% - Accent3 2 4 2 3" xfId="9094" xr:uid="{00000000-0005-0000-0000-000082230000}"/>
    <cellStyle name="40% - Accent3 2 4 2 3 2" xfId="9095" xr:uid="{00000000-0005-0000-0000-000083230000}"/>
    <cellStyle name="40% - Accent3 2 4 2 3 2 2" xfId="9096" xr:uid="{00000000-0005-0000-0000-000084230000}"/>
    <cellStyle name="40% - Accent3 2 4 2 3 2 2 2" xfId="9097" xr:uid="{00000000-0005-0000-0000-000085230000}"/>
    <cellStyle name="40% - Accent3 2 4 2 3 2 2 2 2" xfId="9098" xr:uid="{00000000-0005-0000-0000-000086230000}"/>
    <cellStyle name="40% - Accent3 2 4 2 3 2 2 3" xfId="9099" xr:uid="{00000000-0005-0000-0000-000087230000}"/>
    <cellStyle name="40% - Accent3 2 4 2 3 2 3" xfId="9100" xr:uid="{00000000-0005-0000-0000-000088230000}"/>
    <cellStyle name="40% - Accent3 2 4 2 3 2 3 2" xfId="9101" xr:uid="{00000000-0005-0000-0000-000089230000}"/>
    <cellStyle name="40% - Accent3 2 4 2 3 2 4" xfId="9102" xr:uid="{00000000-0005-0000-0000-00008A230000}"/>
    <cellStyle name="40% - Accent3 2 4 2 3 3" xfId="9103" xr:uid="{00000000-0005-0000-0000-00008B230000}"/>
    <cellStyle name="40% - Accent3 2 4 2 3 3 2" xfId="9104" xr:uid="{00000000-0005-0000-0000-00008C230000}"/>
    <cellStyle name="40% - Accent3 2 4 2 3 3 2 2" xfId="9105" xr:uid="{00000000-0005-0000-0000-00008D230000}"/>
    <cellStyle name="40% - Accent3 2 4 2 3 3 3" xfId="9106" xr:uid="{00000000-0005-0000-0000-00008E230000}"/>
    <cellStyle name="40% - Accent3 2 4 2 3 4" xfId="9107" xr:uid="{00000000-0005-0000-0000-00008F230000}"/>
    <cellStyle name="40% - Accent3 2 4 2 3 4 2" xfId="9108" xr:uid="{00000000-0005-0000-0000-000090230000}"/>
    <cellStyle name="40% - Accent3 2 4 2 3 5" xfId="9109" xr:uid="{00000000-0005-0000-0000-000091230000}"/>
    <cellStyle name="40% - Accent3 2 4 2 4" xfId="9110" xr:uid="{00000000-0005-0000-0000-000092230000}"/>
    <cellStyle name="40% - Accent3 2 4 2 4 2" xfId="9111" xr:uid="{00000000-0005-0000-0000-000093230000}"/>
    <cellStyle name="40% - Accent3 2 4 2 4 2 2" xfId="9112" xr:uid="{00000000-0005-0000-0000-000094230000}"/>
    <cellStyle name="40% - Accent3 2 4 2 4 2 2 2" xfId="9113" xr:uid="{00000000-0005-0000-0000-000095230000}"/>
    <cellStyle name="40% - Accent3 2 4 2 4 2 3" xfId="9114" xr:uid="{00000000-0005-0000-0000-000096230000}"/>
    <cellStyle name="40% - Accent3 2 4 2 4 3" xfId="9115" xr:uid="{00000000-0005-0000-0000-000097230000}"/>
    <cellStyle name="40% - Accent3 2 4 2 4 3 2" xfId="9116" xr:uid="{00000000-0005-0000-0000-000098230000}"/>
    <cellStyle name="40% - Accent3 2 4 2 4 4" xfId="9117" xr:uid="{00000000-0005-0000-0000-000099230000}"/>
    <cellStyle name="40% - Accent3 2 4 2 5" xfId="9118" xr:uid="{00000000-0005-0000-0000-00009A230000}"/>
    <cellStyle name="40% - Accent3 2 4 2 5 2" xfId="9119" xr:uid="{00000000-0005-0000-0000-00009B230000}"/>
    <cellStyle name="40% - Accent3 2 4 2 5 2 2" xfId="9120" xr:uid="{00000000-0005-0000-0000-00009C230000}"/>
    <cellStyle name="40% - Accent3 2 4 2 5 3" xfId="9121" xr:uid="{00000000-0005-0000-0000-00009D230000}"/>
    <cellStyle name="40% - Accent3 2 4 2 6" xfId="9122" xr:uid="{00000000-0005-0000-0000-00009E230000}"/>
    <cellStyle name="40% - Accent3 2 4 2 6 2" xfId="9123" xr:uid="{00000000-0005-0000-0000-00009F230000}"/>
    <cellStyle name="40% - Accent3 2 4 2 7" xfId="9124" xr:uid="{00000000-0005-0000-0000-0000A0230000}"/>
    <cellStyle name="40% - Accent3 2 4 3" xfId="9125" xr:uid="{00000000-0005-0000-0000-0000A1230000}"/>
    <cellStyle name="40% - Accent3 2 4 3 2" xfId="9126" xr:uid="{00000000-0005-0000-0000-0000A2230000}"/>
    <cellStyle name="40% - Accent3 2 4 3 2 2" xfId="9127" xr:uid="{00000000-0005-0000-0000-0000A3230000}"/>
    <cellStyle name="40% - Accent3 2 4 3 2 2 2" xfId="9128" xr:uid="{00000000-0005-0000-0000-0000A4230000}"/>
    <cellStyle name="40% - Accent3 2 4 3 2 2 2 2" xfId="9129" xr:uid="{00000000-0005-0000-0000-0000A5230000}"/>
    <cellStyle name="40% - Accent3 2 4 3 2 2 2 2 2" xfId="9130" xr:uid="{00000000-0005-0000-0000-0000A6230000}"/>
    <cellStyle name="40% - Accent3 2 4 3 2 2 2 3" xfId="9131" xr:uid="{00000000-0005-0000-0000-0000A7230000}"/>
    <cellStyle name="40% - Accent3 2 4 3 2 2 3" xfId="9132" xr:uid="{00000000-0005-0000-0000-0000A8230000}"/>
    <cellStyle name="40% - Accent3 2 4 3 2 2 3 2" xfId="9133" xr:uid="{00000000-0005-0000-0000-0000A9230000}"/>
    <cellStyle name="40% - Accent3 2 4 3 2 2 4" xfId="9134" xr:uid="{00000000-0005-0000-0000-0000AA230000}"/>
    <cellStyle name="40% - Accent3 2 4 3 2 3" xfId="9135" xr:uid="{00000000-0005-0000-0000-0000AB230000}"/>
    <cellStyle name="40% - Accent3 2 4 3 2 3 2" xfId="9136" xr:uid="{00000000-0005-0000-0000-0000AC230000}"/>
    <cellStyle name="40% - Accent3 2 4 3 2 3 2 2" xfId="9137" xr:uid="{00000000-0005-0000-0000-0000AD230000}"/>
    <cellStyle name="40% - Accent3 2 4 3 2 3 3" xfId="9138" xr:uid="{00000000-0005-0000-0000-0000AE230000}"/>
    <cellStyle name="40% - Accent3 2 4 3 2 4" xfId="9139" xr:uid="{00000000-0005-0000-0000-0000AF230000}"/>
    <cellStyle name="40% - Accent3 2 4 3 2 4 2" xfId="9140" xr:uid="{00000000-0005-0000-0000-0000B0230000}"/>
    <cellStyle name="40% - Accent3 2 4 3 2 5" xfId="9141" xr:uid="{00000000-0005-0000-0000-0000B1230000}"/>
    <cellStyle name="40% - Accent3 2 4 3 3" xfId="9142" xr:uid="{00000000-0005-0000-0000-0000B2230000}"/>
    <cellStyle name="40% - Accent3 2 4 3 3 2" xfId="9143" xr:uid="{00000000-0005-0000-0000-0000B3230000}"/>
    <cellStyle name="40% - Accent3 2 4 3 3 2 2" xfId="9144" xr:uid="{00000000-0005-0000-0000-0000B4230000}"/>
    <cellStyle name="40% - Accent3 2 4 3 3 2 2 2" xfId="9145" xr:uid="{00000000-0005-0000-0000-0000B5230000}"/>
    <cellStyle name="40% - Accent3 2 4 3 3 2 3" xfId="9146" xr:uid="{00000000-0005-0000-0000-0000B6230000}"/>
    <cellStyle name="40% - Accent3 2 4 3 3 3" xfId="9147" xr:uid="{00000000-0005-0000-0000-0000B7230000}"/>
    <cellStyle name="40% - Accent3 2 4 3 3 3 2" xfId="9148" xr:uid="{00000000-0005-0000-0000-0000B8230000}"/>
    <cellStyle name="40% - Accent3 2 4 3 3 4" xfId="9149" xr:uid="{00000000-0005-0000-0000-0000B9230000}"/>
    <cellStyle name="40% - Accent3 2 4 3 4" xfId="9150" xr:uid="{00000000-0005-0000-0000-0000BA230000}"/>
    <cellStyle name="40% - Accent3 2 4 3 4 2" xfId="9151" xr:uid="{00000000-0005-0000-0000-0000BB230000}"/>
    <cellStyle name="40% - Accent3 2 4 3 4 2 2" xfId="9152" xr:uid="{00000000-0005-0000-0000-0000BC230000}"/>
    <cellStyle name="40% - Accent3 2 4 3 4 3" xfId="9153" xr:uid="{00000000-0005-0000-0000-0000BD230000}"/>
    <cellStyle name="40% - Accent3 2 4 3 5" xfId="9154" xr:uid="{00000000-0005-0000-0000-0000BE230000}"/>
    <cellStyle name="40% - Accent3 2 4 3 5 2" xfId="9155" xr:uid="{00000000-0005-0000-0000-0000BF230000}"/>
    <cellStyle name="40% - Accent3 2 4 3 6" xfId="9156" xr:uid="{00000000-0005-0000-0000-0000C0230000}"/>
    <cellStyle name="40% - Accent3 2 4 4" xfId="9157" xr:uid="{00000000-0005-0000-0000-0000C1230000}"/>
    <cellStyle name="40% - Accent3 2 4 4 2" xfId="9158" xr:uid="{00000000-0005-0000-0000-0000C2230000}"/>
    <cellStyle name="40% - Accent3 2 4 4 2 2" xfId="9159" xr:uid="{00000000-0005-0000-0000-0000C3230000}"/>
    <cellStyle name="40% - Accent3 2 4 4 2 2 2" xfId="9160" xr:uid="{00000000-0005-0000-0000-0000C4230000}"/>
    <cellStyle name="40% - Accent3 2 4 4 2 2 2 2" xfId="9161" xr:uid="{00000000-0005-0000-0000-0000C5230000}"/>
    <cellStyle name="40% - Accent3 2 4 4 2 2 3" xfId="9162" xr:uid="{00000000-0005-0000-0000-0000C6230000}"/>
    <cellStyle name="40% - Accent3 2 4 4 2 3" xfId="9163" xr:uid="{00000000-0005-0000-0000-0000C7230000}"/>
    <cellStyle name="40% - Accent3 2 4 4 2 3 2" xfId="9164" xr:uid="{00000000-0005-0000-0000-0000C8230000}"/>
    <cellStyle name="40% - Accent3 2 4 4 2 4" xfId="9165" xr:uid="{00000000-0005-0000-0000-0000C9230000}"/>
    <cellStyle name="40% - Accent3 2 4 4 3" xfId="9166" xr:uid="{00000000-0005-0000-0000-0000CA230000}"/>
    <cellStyle name="40% - Accent3 2 4 4 3 2" xfId="9167" xr:uid="{00000000-0005-0000-0000-0000CB230000}"/>
    <cellStyle name="40% - Accent3 2 4 4 3 2 2" xfId="9168" xr:uid="{00000000-0005-0000-0000-0000CC230000}"/>
    <cellStyle name="40% - Accent3 2 4 4 3 3" xfId="9169" xr:uid="{00000000-0005-0000-0000-0000CD230000}"/>
    <cellStyle name="40% - Accent3 2 4 4 4" xfId="9170" xr:uid="{00000000-0005-0000-0000-0000CE230000}"/>
    <cellStyle name="40% - Accent3 2 4 4 4 2" xfId="9171" xr:uid="{00000000-0005-0000-0000-0000CF230000}"/>
    <cellStyle name="40% - Accent3 2 4 4 5" xfId="9172" xr:uid="{00000000-0005-0000-0000-0000D0230000}"/>
    <cellStyle name="40% - Accent3 2 4 5" xfId="9173" xr:uid="{00000000-0005-0000-0000-0000D1230000}"/>
    <cellStyle name="40% - Accent3 2 4 5 2" xfId="9174" xr:uid="{00000000-0005-0000-0000-0000D2230000}"/>
    <cellStyle name="40% - Accent3 2 4 5 2 2" xfId="9175" xr:uid="{00000000-0005-0000-0000-0000D3230000}"/>
    <cellStyle name="40% - Accent3 2 4 5 2 2 2" xfId="9176" xr:uid="{00000000-0005-0000-0000-0000D4230000}"/>
    <cellStyle name="40% - Accent3 2 4 5 2 3" xfId="9177" xr:uid="{00000000-0005-0000-0000-0000D5230000}"/>
    <cellStyle name="40% - Accent3 2 4 5 3" xfId="9178" xr:uid="{00000000-0005-0000-0000-0000D6230000}"/>
    <cellStyle name="40% - Accent3 2 4 5 3 2" xfId="9179" xr:uid="{00000000-0005-0000-0000-0000D7230000}"/>
    <cellStyle name="40% - Accent3 2 4 5 4" xfId="9180" xr:uid="{00000000-0005-0000-0000-0000D8230000}"/>
    <cellStyle name="40% - Accent3 2 4 6" xfId="9181" xr:uid="{00000000-0005-0000-0000-0000D9230000}"/>
    <cellStyle name="40% - Accent3 2 4 6 2" xfId="9182" xr:uid="{00000000-0005-0000-0000-0000DA230000}"/>
    <cellStyle name="40% - Accent3 2 4 6 2 2" xfId="9183" xr:uid="{00000000-0005-0000-0000-0000DB230000}"/>
    <cellStyle name="40% - Accent3 2 4 6 3" xfId="9184" xr:uid="{00000000-0005-0000-0000-0000DC230000}"/>
    <cellStyle name="40% - Accent3 2 4 7" xfId="9185" xr:uid="{00000000-0005-0000-0000-0000DD230000}"/>
    <cellStyle name="40% - Accent3 2 4 7 2" xfId="9186" xr:uid="{00000000-0005-0000-0000-0000DE230000}"/>
    <cellStyle name="40% - Accent3 2 4 8" xfId="9187" xr:uid="{00000000-0005-0000-0000-0000DF230000}"/>
    <cellStyle name="40% - Accent3 2 5" xfId="9188" xr:uid="{00000000-0005-0000-0000-0000E0230000}"/>
    <cellStyle name="40% - Accent3 2 5 2" xfId="9189" xr:uid="{00000000-0005-0000-0000-0000E1230000}"/>
    <cellStyle name="40% - Accent3 2 5 2 2" xfId="9190" xr:uid="{00000000-0005-0000-0000-0000E2230000}"/>
    <cellStyle name="40% - Accent3 2 5 2 2 2" xfId="9191" xr:uid="{00000000-0005-0000-0000-0000E3230000}"/>
    <cellStyle name="40% - Accent3 2 5 2 2 2 2" xfId="9192" xr:uid="{00000000-0005-0000-0000-0000E4230000}"/>
    <cellStyle name="40% - Accent3 2 5 2 2 2 2 2" xfId="9193" xr:uid="{00000000-0005-0000-0000-0000E5230000}"/>
    <cellStyle name="40% - Accent3 2 5 2 2 2 2 2 2" xfId="9194" xr:uid="{00000000-0005-0000-0000-0000E6230000}"/>
    <cellStyle name="40% - Accent3 2 5 2 2 2 2 3" xfId="9195" xr:uid="{00000000-0005-0000-0000-0000E7230000}"/>
    <cellStyle name="40% - Accent3 2 5 2 2 2 3" xfId="9196" xr:uid="{00000000-0005-0000-0000-0000E8230000}"/>
    <cellStyle name="40% - Accent3 2 5 2 2 2 3 2" xfId="9197" xr:uid="{00000000-0005-0000-0000-0000E9230000}"/>
    <cellStyle name="40% - Accent3 2 5 2 2 2 4" xfId="9198" xr:uid="{00000000-0005-0000-0000-0000EA230000}"/>
    <cellStyle name="40% - Accent3 2 5 2 2 3" xfId="9199" xr:uid="{00000000-0005-0000-0000-0000EB230000}"/>
    <cellStyle name="40% - Accent3 2 5 2 2 3 2" xfId="9200" xr:uid="{00000000-0005-0000-0000-0000EC230000}"/>
    <cellStyle name="40% - Accent3 2 5 2 2 3 2 2" xfId="9201" xr:uid="{00000000-0005-0000-0000-0000ED230000}"/>
    <cellStyle name="40% - Accent3 2 5 2 2 3 3" xfId="9202" xr:uid="{00000000-0005-0000-0000-0000EE230000}"/>
    <cellStyle name="40% - Accent3 2 5 2 2 4" xfId="9203" xr:uid="{00000000-0005-0000-0000-0000EF230000}"/>
    <cellStyle name="40% - Accent3 2 5 2 2 4 2" xfId="9204" xr:uid="{00000000-0005-0000-0000-0000F0230000}"/>
    <cellStyle name="40% - Accent3 2 5 2 2 5" xfId="9205" xr:uid="{00000000-0005-0000-0000-0000F1230000}"/>
    <cellStyle name="40% - Accent3 2 5 2 3" xfId="9206" xr:uid="{00000000-0005-0000-0000-0000F2230000}"/>
    <cellStyle name="40% - Accent3 2 5 2 3 2" xfId="9207" xr:uid="{00000000-0005-0000-0000-0000F3230000}"/>
    <cellStyle name="40% - Accent3 2 5 2 3 2 2" xfId="9208" xr:uid="{00000000-0005-0000-0000-0000F4230000}"/>
    <cellStyle name="40% - Accent3 2 5 2 3 2 2 2" xfId="9209" xr:uid="{00000000-0005-0000-0000-0000F5230000}"/>
    <cellStyle name="40% - Accent3 2 5 2 3 2 3" xfId="9210" xr:uid="{00000000-0005-0000-0000-0000F6230000}"/>
    <cellStyle name="40% - Accent3 2 5 2 3 3" xfId="9211" xr:uid="{00000000-0005-0000-0000-0000F7230000}"/>
    <cellStyle name="40% - Accent3 2 5 2 3 3 2" xfId="9212" xr:uid="{00000000-0005-0000-0000-0000F8230000}"/>
    <cellStyle name="40% - Accent3 2 5 2 3 4" xfId="9213" xr:uid="{00000000-0005-0000-0000-0000F9230000}"/>
    <cellStyle name="40% - Accent3 2 5 2 4" xfId="9214" xr:uid="{00000000-0005-0000-0000-0000FA230000}"/>
    <cellStyle name="40% - Accent3 2 5 2 4 2" xfId="9215" xr:uid="{00000000-0005-0000-0000-0000FB230000}"/>
    <cellStyle name="40% - Accent3 2 5 2 4 2 2" xfId="9216" xr:uid="{00000000-0005-0000-0000-0000FC230000}"/>
    <cellStyle name="40% - Accent3 2 5 2 4 3" xfId="9217" xr:uid="{00000000-0005-0000-0000-0000FD230000}"/>
    <cellStyle name="40% - Accent3 2 5 2 5" xfId="9218" xr:uid="{00000000-0005-0000-0000-0000FE230000}"/>
    <cellStyle name="40% - Accent3 2 5 2 5 2" xfId="9219" xr:uid="{00000000-0005-0000-0000-0000FF230000}"/>
    <cellStyle name="40% - Accent3 2 5 2 6" xfId="9220" xr:uid="{00000000-0005-0000-0000-000000240000}"/>
    <cellStyle name="40% - Accent3 2 5 3" xfId="9221" xr:uid="{00000000-0005-0000-0000-000001240000}"/>
    <cellStyle name="40% - Accent3 2 5 3 2" xfId="9222" xr:uid="{00000000-0005-0000-0000-000002240000}"/>
    <cellStyle name="40% - Accent3 2 5 3 2 2" xfId="9223" xr:uid="{00000000-0005-0000-0000-000003240000}"/>
    <cellStyle name="40% - Accent3 2 5 3 2 2 2" xfId="9224" xr:uid="{00000000-0005-0000-0000-000004240000}"/>
    <cellStyle name="40% - Accent3 2 5 3 2 2 2 2" xfId="9225" xr:uid="{00000000-0005-0000-0000-000005240000}"/>
    <cellStyle name="40% - Accent3 2 5 3 2 2 3" xfId="9226" xr:uid="{00000000-0005-0000-0000-000006240000}"/>
    <cellStyle name="40% - Accent3 2 5 3 2 3" xfId="9227" xr:uid="{00000000-0005-0000-0000-000007240000}"/>
    <cellStyle name="40% - Accent3 2 5 3 2 3 2" xfId="9228" xr:uid="{00000000-0005-0000-0000-000008240000}"/>
    <cellStyle name="40% - Accent3 2 5 3 2 4" xfId="9229" xr:uid="{00000000-0005-0000-0000-000009240000}"/>
    <cellStyle name="40% - Accent3 2 5 3 3" xfId="9230" xr:uid="{00000000-0005-0000-0000-00000A240000}"/>
    <cellStyle name="40% - Accent3 2 5 3 3 2" xfId="9231" xr:uid="{00000000-0005-0000-0000-00000B240000}"/>
    <cellStyle name="40% - Accent3 2 5 3 3 2 2" xfId="9232" xr:uid="{00000000-0005-0000-0000-00000C240000}"/>
    <cellStyle name="40% - Accent3 2 5 3 3 3" xfId="9233" xr:uid="{00000000-0005-0000-0000-00000D240000}"/>
    <cellStyle name="40% - Accent3 2 5 3 4" xfId="9234" xr:uid="{00000000-0005-0000-0000-00000E240000}"/>
    <cellStyle name="40% - Accent3 2 5 3 4 2" xfId="9235" xr:uid="{00000000-0005-0000-0000-00000F240000}"/>
    <cellStyle name="40% - Accent3 2 5 3 5" xfId="9236" xr:uid="{00000000-0005-0000-0000-000010240000}"/>
    <cellStyle name="40% - Accent3 2 5 4" xfId="9237" xr:uid="{00000000-0005-0000-0000-000011240000}"/>
    <cellStyle name="40% - Accent3 2 5 4 2" xfId="9238" xr:uid="{00000000-0005-0000-0000-000012240000}"/>
    <cellStyle name="40% - Accent3 2 5 4 2 2" xfId="9239" xr:uid="{00000000-0005-0000-0000-000013240000}"/>
    <cellStyle name="40% - Accent3 2 5 4 2 2 2" xfId="9240" xr:uid="{00000000-0005-0000-0000-000014240000}"/>
    <cellStyle name="40% - Accent3 2 5 4 2 3" xfId="9241" xr:uid="{00000000-0005-0000-0000-000015240000}"/>
    <cellStyle name="40% - Accent3 2 5 4 3" xfId="9242" xr:uid="{00000000-0005-0000-0000-000016240000}"/>
    <cellStyle name="40% - Accent3 2 5 4 3 2" xfId="9243" xr:uid="{00000000-0005-0000-0000-000017240000}"/>
    <cellStyle name="40% - Accent3 2 5 4 4" xfId="9244" xr:uid="{00000000-0005-0000-0000-000018240000}"/>
    <cellStyle name="40% - Accent3 2 5 5" xfId="9245" xr:uid="{00000000-0005-0000-0000-000019240000}"/>
    <cellStyle name="40% - Accent3 2 5 5 2" xfId="9246" xr:uid="{00000000-0005-0000-0000-00001A240000}"/>
    <cellStyle name="40% - Accent3 2 5 5 2 2" xfId="9247" xr:uid="{00000000-0005-0000-0000-00001B240000}"/>
    <cellStyle name="40% - Accent3 2 5 5 3" xfId="9248" xr:uid="{00000000-0005-0000-0000-00001C240000}"/>
    <cellStyle name="40% - Accent3 2 5 6" xfId="9249" xr:uid="{00000000-0005-0000-0000-00001D240000}"/>
    <cellStyle name="40% - Accent3 2 5 6 2" xfId="9250" xr:uid="{00000000-0005-0000-0000-00001E240000}"/>
    <cellStyle name="40% - Accent3 2 5 7" xfId="9251" xr:uid="{00000000-0005-0000-0000-00001F240000}"/>
    <cellStyle name="40% - Accent3 2 6" xfId="9252" xr:uid="{00000000-0005-0000-0000-000020240000}"/>
    <cellStyle name="40% - Accent3 2 6 2" xfId="9253" xr:uid="{00000000-0005-0000-0000-000021240000}"/>
    <cellStyle name="40% - Accent3 2 6 2 2" xfId="9254" xr:uid="{00000000-0005-0000-0000-000022240000}"/>
    <cellStyle name="40% - Accent3 2 6 2 2 2" xfId="9255" xr:uid="{00000000-0005-0000-0000-000023240000}"/>
    <cellStyle name="40% - Accent3 2 6 2 2 2 2" xfId="9256" xr:uid="{00000000-0005-0000-0000-000024240000}"/>
    <cellStyle name="40% - Accent3 2 6 2 2 2 2 2" xfId="9257" xr:uid="{00000000-0005-0000-0000-000025240000}"/>
    <cellStyle name="40% - Accent3 2 6 2 2 2 3" xfId="9258" xr:uid="{00000000-0005-0000-0000-000026240000}"/>
    <cellStyle name="40% - Accent3 2 6 2 2 3" xfId="9259" xr:uid="{00000000-0005-0000-0000-000027240000}"/>
    <cellStyle name="40% - Accent3 2 6 2 2 3 2" xfId="9260" xr:uid="{00000000-0005-0000-0000-000028240000}"/>
    <cellStyle name="40% - Accent3 2 6 2 2 4" xfId="9261" xr:uid="{00000000-0005-0000-0000-000029240000}"/>
    <cellStyle name="40% - Accent3 2 6 2 3" xfId="9262" xr:uid="{00000000-0005-0000-0000-00002A240000}"/>
    <cellStyle name="40% - Accent3 2 6 2 3 2" xfId="9263" xr:uid="{00000000-0005-0000-0000-00002B240000}"/>
    <cellStyle name="40% - Accent3 2 6 2 3 2 2" xfId="9264" xr:uid="{00000000-0005-0000-0000-00002C240000}"/>
    <cellStyle name="40% - Accent3 2 6 2 3 3" xfId="9265" xr:uid="{00000000-0005-0000-0000-00002D240000}"/>
    <cellStyle name="40% - Accent3 2 6 2 4" xfId="9266" xr:uid="{00000000-0005-0000-0000-00002E240000}"/>
    <cellStyle name="40% - Accent3 2 6 2 4 2" xfId="9267" xr:uid="{00000000-0005-0000-0000-00002F240000}"/>
    <cellStyle name="40% - Accent3 2 6 2 5" xfId="9268" xr:uid="{00000000-0005-0000-0000-000030240000}"/>
    <cellStyle name="40% - Accent3 2 6 3" xfId="9269" xr:uid="{00000000-0005-0000-0000-000031240000}"/>
    <cellStyle name="40% - Accent3 2 6 3 2" xfId="9270" xr:uid="{00000000-0005-0000-0000-000032240000}"/>
    <cellStyle name="40% - Accent3 2 6 3 2 2" xfId="9271" xr:uid="{00000000-0005-0000-0000-000033240000}"/>
    <cellStyle name="40% - Accent3 2 6 3 2 2 2" xfId="9272" xr:uid="{00000000-0005-0000-0000-000034240000}"/>
    <cellStyle name="40% - Accent3 2 6 3 2 3" xfId="9273" xr:uid="{00000000-0005-0000-0000-000035240000}"/>
    <cellStyle name="40% - Accent3 2 6 3 3" xfId="9274" xr:uid="{00000000-0005-0000-0000-000036240000}"/>
    <cellStyle name="40% - Accent3 2 6 3 3 2" xfId="9275" xr:uid="{00000000-0005-0000-0000-000037240000}"/>
    <cellStyle name="40% - Accent3 2 6 3 4" xfId="9276" xr:uid="{00000000-0005-0000-0000-000038240000}"/>
    <cellStyle name="40% - Accent3 2 6 4" xfId="9277" xr:uid="{00000000-0005-0000-0000-000039240000}"/>
    <cellStyle name="40% - Accent3 2 6 4 2" xfId="9278" xr:uid="{00000000-0005-0000-0000-00003A240000}"/>
    <cellStyle name="40% - Accent3 2 6 4 2 2" xfId="9279" xr:uid="{00000000-0005-0000-0000-00003B240000}"/>
    <cellStyle name="40% - Accent3 2 6 4 3" xfId="9280" xr:uid="{00000000-0005-0000-0000-00003C240000}"/>
    <cellStyle name="40% - Accent3 2 6 5" xfId="9281" xr:uid="{00000000-0005-0000-0000-00003D240000}"/>
    <cellStyle name="40% - Accent3 2 6 5 2" xfId="9282" xr:uid="{00000000-0005-0000-0000-00003E240000}"/>
    <cellStyle name="40% - Accent3 2 6 6" xfId="9283" xr:uid="{00000000-0005-0000-0000-00003F240000}"/>
    <cellStyle name="40% - Accent3 2 7" xfId="9284" xr:uid="{00000000-0005-0000-0000-000040240000}"/>
    <cellStyle name="40% - Accent3 2 7 2" xfId="9285" xr:uid="{00000000-0005-0000-0000-000041240000}"/>
    <cellStyle name="40% - Accent3 2 7 2 2" xfId="9286" xr:uid="{00000000-0005-0000-0000-000042240000}"/>
    <cellStyle name="40% - Accent3 2 7 2 2 2" xfId="9287" xr:uid="{00000000-0005-0000-0000-000043240000}"/>
    <cellStyle name="40% - Accent3 2 7 2 2 2 2" xfId="9288" xr:uid="{00000000-0005-0000-0000-000044240000}"/>
    <cellStyle name="40% - Accent3 2 7 2 2 3" xfId="9289" xr:uid="{00000000-0005-0000-0000-000045240000}"/>
    <cellStyle name="40% - Accent3 2 7 2 3" xfId="9290" xr:uid="{00000000-0005-0000-0000-000046240000}"/>
    <cellStyle name="40% - Accent3 2 7 2 3 2" xfId="9291" xr:uid="{00000000-0005-0000-0000-000047240000}"/>
    <cellStyle name="40% - Accent3 2 7 2 4" xfId="9292" xr:uid="{00000000-0005-0000-0000-000048240000}"/>
    <cellStyle name="40% - Accent3 2 7 3" xfId="9293" xr:uid="{00000000-0005-0000-0000-000049240000}"/>
    <cellStyle name="40% - Accent3 2 7 3 2" xfId="9294" xr:uid="{00000000-0005-0000-0000-00004A240000}"/>
    <cellStyle name="40% - Accent3 2 7 3 2 2" xfId="9295" xr:uid="{00000000-0005-0000-0000-00004B240000}"/>
    <cellStyle name="40% - Accent3 2 7 3 3" xfId="9296" xr:uid="{00000000-0005-0000-0000-00004C240000}"/>
    <cellStyle name="40% - Accent3 2 7 4" xfId="9297" xr:uid="{00000000-0005-0000-0000-00004D240000}"/>
    <cellStyle name="40% - Accent3 2 7 4 2" xfId="9298" xr:uid="{00000000-0005-0000-0000-00004E240000}"/>
    <cellStyle name="40% - Accent3 2 7 5" xfId="9299" xr:uid="{00000000-0005-0000-0000-00004F240000}"/>
    <cellStyle name="40% - Accent3 2 8" xfId="9300" xr:uid="{00000000-0005-0000-0000-000050240000}"/>
    <cellStyle name="40% - Accent3 2 8 2" xfId="9301" xr:uid="{00000000-0005-0000-0000-000051240000}"/>
    <cellStyle name="40% - Accent3 2 8 2 2" xfId="9302" xr:uid="{00000000-0005-0000-0000-000052240000}"/>
    <cellStyle name="40% - Accent3 2 8 2 2 2" xfId="9303" xr:uid="{00000000-0005-0000-0000-000053240000}"/>
    <cellStyle name="40% - Accent3 2 8 2 3" xfId="9304" xr:uid="{00000000-0005-0000-0000-000054240000}"/>
    <cellStyle name="40% - Accent3 2 8 3" xfId="9305" xr:uid="{00000000-0005-0000-0000-000055240000}"/>
    <cellStyle name="40% - Accent3 2 8 3 2" xfId="9306" xr:uid="{00000000-0005-0000-0000-000056240000}"/>
    <cellStyle name="40% - Accent3 2 8 4" xfId="9307" xr:uid="{00000000-0005-0000-0000-000057240000}"/>
    <cellStyle name="40% - Accent3 2 9" xfId="9308" xr:uid="{00000000-0005-0000-0000-000058240000}"/>
    <cellStyle name="40% - Accent3 2 9 2" xfId="9309" xr:uid="{00000000-0005-0000-0000-000059240000}"/>
    <cellStyle name="40% - Accent3 2 9 2 2" xfId="9310" xr:uid="{00000000-0005-0000-0000-00005A240000}"/>
    <cellStyle name="40% - Accent3 2 9 3" xfId="9311" xr:uid="{00000000-0005-0000-0000-00005B240000}"/>
    <cellStyle name="40% - Accent3 3" xfId="9312" xr:uid="{00000000-0005-0000-0000-00005C240000}"/>
    <cellStyle name="40% - Accent3 4" xfId="9313" xr:uid="{00000000-0005-0000-0000-00005D240000}"/>
    <cellStyle name="40% - Accent3 5" xfId="9314" xr:uid="{00000000-0005-0000-0000-00005E240000}"/>
    <cellStyle name="40% - Accent3 6" xfId="9315" xr:uid="{00000000-0005-0000-0000-00005F240000}"/>
    <cellStyle name="40% - Accent3 7" xfId="9316" xr:uid="{00000000-0005-0000-0000-000060240000}"/>
    <cellStyle name="40% - Accent3 8" xfId="9317" xr:uid="{00000000-0005-0000-0000-000061240000}"/>
    <cellStyle name="40% - Accent3 9" xfId="9318" xr:uid="{00000000-0005-0000-0000-000062240000}"/>
    <cellStyle name="40% - Accent4 10" xfId="9319" xr:uid="{00000000-0005-0000-0000-000063240000}"/>
    <cellStyle name="40% - Accent4 11" xfId="9320" xr:uid="{00000000-0005-0000-0000-000064240000}"/>
    <cellStyle name="40% - Accent4 12" xfId="9321" xr:uid="{00000000-0005-0000-0000-000065240000}"/>
    <cellStyle name="40% - Accent4 13" xfId="9322" xr:uid="{00000000-0005-0000-0000-000066240000}"/>
    <cellStyle name="40% - Accent4 2" xfId="9323" xr:uid="{00000000-0005-0000-0000-000067240000}"/>
    <cellStyle name="40% - Accent4 2 10" xfId="9324" xr:uid="{00000000-0005-0000-0000-000068240000}"/>
    <cellStyle name="40% - Accent4 2 10 2" xfId="9325" xr:uid="{00000000-0005-0000-0000-000069240000}"/>
    <cellStyle name="40% - Accent4 2 11" xfId="9326" xr:uid="{00000000-0005-0000-0000-00006A240000}"/>
    <cellStyle name="40% - Accent4 2 2" xfId="9327" xr:uid="{00000000-0005-0000-0000-00006B240000}"/>
    <cellStyle name="40% - Accent4 2 2 10" xfId="9328" xr:uid="{00000000-0005-0000-0000-00006C240000}"/>
    <cellStyle name="40% - Accent4 2 2 2" xfId="9329" xr:uid="{00000000-0005-0000-0000-00006D240000}"/>
    <cellStyle name="40% - Accent4 2 2 2 2" xfId="9330" xr:uid="{00000000-0005-0000-0000-00006E240000}"/>
    <cellStyle name="40% - Accent4 2 2 2 2 2" xfId="9331" xr:uid="{00000000-0005-0000-0000-00006F240000}"/>
    <cellStyle name="40% - Accent4 2 2 2 2 2 2" xfId="9332" xr:uid="{00000000-0005-0000-0000-000070240000}"/>
    <cellStyle name="40% - Accent4 2 2 2 2 2 2 2" xfId="9333" xr:uid="{00000000-0005-0000-0000-000071240000}"/>
    <cellStyle name="40% - Accent4 2 2 2 2 2 2 2 2" xfId="9334" xr:uid="{00000000-0005-0000-0000-000072240000}"/>
    <cellStyle name="40% - Accent4 2 2 2 2 2 2 2 2 2" xfId="9335" xr:uid="{00000000-0005-0000-0000-000073240000}"/>
    <cellStyle name="40% - Accent4 2 2 2 2 2 2 2 2 2 2" xfId="9336" xr:uid="{00000000-0005-0000-0000-000074240000}"/>
    <cellStyle name="40% - Accent4 2 2 2 2 2 2 2 2 2 2 2" xfId="9337" xr:uid="{00000000-0005-0000-0000-000075240000}"/>
    <cellStyle name="40% - Accent4 2 2 2 2 2 2 2 2 2 3" xfId="9338" xr:uid="{00000000-0005-0000-0000-000076240000}"/>
    <cellStyle name="40% - Accent4 2 2 2 2 2 2 2 2 3" xfId="9339" xr:uid="{00000000-0005-0000-0000-000077240000}"/>
    <cellStyle name="40% - Accent4 2 2 2 2 2 2 2 2 3 2" xfId="9340" xr:uid="{00000000-0005-0000-0000-000078240000}"/>
    <cellStyle name="40% - Accent4 2 2 2 2 2 2 2 2 4" xfId="9341" xr:uid="{00000000-0005-0000-0000-000079240000}"/>
    <cellStyle name="40% - Accent4 2 2 2 2 2 2 2 3" xfId="9342" xr:uid="{00000000-0005-0000-0000-00007A240000}"/>
    <cellStyle name="40% - Accent4 2 2 2 2 2 2 2 3 2" xfId="9343" xr:uid="{00000000-0005-0000-0000-00007B240000}"/>
    <cellStyle name="40% - Accent4 2 2 2 2 2 2 2 3 2 2" xfId="9344" xr:uid="{00000000-0005-0000-0000-00007C240000}"/>
    <cellStyle name="40% - Accent4 2 2 2 2 2 2 2 3 3" xfId="9345" xr:uid="{00000000-0005-0000-0000-00007D240000}"/>
    <cellStyle name="40% - Accent4 2 2 2 2 2 2 2 4" xfId="9346" xr:uid="{00000000-0005-0000-0000-00007E240000}"/>
    <cellStyle name="40% - Accent4 2 2 2 2 2 2 2 4 2" xfId="9347" xr:uid="{00000000-0005-0000-0000-00007F240000}"/>
    <cellStyle name="40% - Accent4 2 2 2 2 2 2 2 5" xfId="9348" xr:uid="{00000000-0005-0000-0000-000080240000}"/>
    <cellStyle name="40% - Accent4 2 2 2 2 2 2 3" xfId="9349" xr:uid="{00000000-0005-0000-0000-000081240000}"/>
    <cellStyle name="40% - Accent4 2 2 2 2 2 2 3 2" xfId="9350" xr:uid="{00000000-0005-0000-0000-000082240000}"/>
    <cellStyle name="40% - Accent4 2 2 2 2 2 2 3 2 2" xfId="9351" xr:uid="{00000000-0005-0000-0000-000083240000}"/>
    <cellStyle name="40% - Accent4 2 2 2 2 2 2 3 2 2 2" xfId="9352" xr:uid="{00000000-0005-0000-0000-000084240000}"/>
    <cellStyle name="40% - Accent4 2 2 2 2 2 2 3 2 3" xfId="9353" xr:uid="{00000000-0005-0000-0000-000085240000}"/>
    <cellStyle name="40% - Accent4 2 2 2 2 2 2 3 3" xfId="9354" xr:uid="{00000000-0005-0000-0000-000086240000}"/>
    <cellStyle name="40% - Accent4 2 2 2 2 2 2 3 3 2" xfId="9355" xr:uid="{00000000-0005-0000-0000-000087240000}"/>
    <cellStyle name="40% - Accent4 2 2 2 2 2 2 3 4" xfId="9356" xr:uid="{00000000-0005-0000-0000-000088240000}"/>
    <cellStyle name="40% - Accent4 2 2 2 2 2 2 4" xfId="9357" xr:uid="{00000000-0005-0000-0000-000089240000}"/>
    <cellStyle name="40% - Accent4 2 2 2 2 2 2 4 2" xfId="9358" xr:uid="{00000000-0005-0000-0000-00008A240000}"/>
    <cellStyle name="40% - Accent4 2 2 2 2 2 2 4 2 2" xfId="9359" xr:uid="{00000000-0005-0000-0000-00008B240000}"/>
    <cellStyle name="40% - Accent4 2 2 2 2 2 2 4 3" xfId="9360" xr:uid="{00000000-0005-0000-0000-00008C240000}"/>
    <cellStyle name="40% - Accent4 2 2 2 2 2 2 5" xfId="9361" xr:uid="{00000000-0005-0000-0000-00008D240000}"/>
    <cellStyle name="40% - Accent4 2 2 2 2 2 2 5 2" xfId="9362" xr:uid="{00000000-0005-0000-0000-00008E240000}"/>
    <cellStyle name="40% - Accent4 2 2 2 2 2 2 6" xfId="9363" xr:uid="{00000000-0005-0000-0000-00008F240000}"/>
    <cellStyle name="40% - Accent4 2 2 2 2 2 3" xfId="9364" xr:uid="{00000000-0005-0000-0000-000090240000}"/>
    <cellStyle name="40% - Accent4 2 2 2 2 2 3 2" xfId="9365" xr:uid="{00000000-0005-0000-0000-000091240000}"/>
    <cellStyle name="40% - Accent4 2 2 2 2 2 3 2 2" xfId="9366" xr:uid="{00000000-0005-0000-0000-000092240000}"/>
    <cellStyle name="40% - Accent4 2 2 2 2 2 3 2 2 2" xfId="9367" xr:uid="{00000000-0005-0000-0000-000093240000}"/>
    <cellStyle name="40% - Accent4 2 2 2 2 2 3 2 2 2 2" xfId="9368" xr:uid="{00000000-0005-0000-0000-000094240000}"/>
    <cellStyle name="40% - Accent4 2 2 2 2 2 3 2 2 3" xfId="9369" xr:uid="{00000000-0005-0000-0000-000095240000}"/>
    <cellStyle name="40% - Accent4 2 2 2 2 2 3 2 3" xfId="9370" xr:uid="{00000000-0005-0000-0000-000096240000}"/>
    <cellStyle name="40% - Accent4 2 2 2 2 2 3 2 3 2" xfId="9371" xr:uid="{00000000-0005-0000-0000-000097240000}"/>
    <cellStyle name="40% - Accent4 2 2 2 2 2 3 2 4" xfId="9372" xr:uid="{00000000-0005-0000-0000-000098240000}"/>
    <cellStyle name="40% - Accent4 2 2 2 2 2 3 3" xfId="9373" xr:uid="{00000000-0005-0000-0000-000099240000}"/>
    <cellStyle name="40% - Accent4 2 2 2 2 2 3 3 2" xfId="9374" xr:uid="{00000000-0005-0000-0000-00009A240000}"/>
    <cellStyle name="40% - Accent4 2 2 2 2 2 3 3 2 2" xfId="9375" xr:uid="{00000000-0005-0000-0000-00009B240000}"/>
    <cellStyle name="40% - Accent4 2 2 2 2 2 3 3 3" xfId="9376" xr:uid="{00000000-0005-0000-0000-00009C240000}"/>
    <cellStyle name="40% - Accent4 2 2 2 2 2 3 4" xfId="9377" xr:uid="{00000000-0005-0000-0000-00009D240000}"/>
    <cellStyle name="40% - Accent4 2 2 2 2 2 3 4 2" xfId="9378" xr:uid="{00000000-0005-0000-0000-00009E240000}"/>
    <cellStyle name="40% - Accent4 2 2 2 2 2 3 5" xfId="9379" xr:uid="{00000000-0005-0000-0000-00009F240000}"/>
    <cellStyle name="40% - Accent4 2 2 2 2 2 4" xfId="9380" xr:uid="{00000000-0005-0000-0000-0000A0240000}"/>
    <cellStyle name="40% - Accent4 2 2 2 2 2 4 2" xfId="9381" xr:uid="{00000000-0005-0000-0000-0000A1240000}"/>
    <cellStyle name="40% - Accent4 2 2 2 2 2 4 2 2" xfId="9382" xr:uid="{00000000-0005-0000-0000-0000A2240000}"/>
    <cellStyle name="40% - Accent4 2 2 2 2 2 4 2 2 2" xfId="9383" xr:uid="{00000000-0005-0000-0000-0000A3240000}"/>
    <cellStyle name="40% - Accent4 2 2 2 2 2 4 2 3" xfId="9384" xr:uid="{00000000-0005-0000-0000-0000A4240000}"/>
    <cellStyle name="40% - Accent4 2 2 2 2 2 4 3" xfId="9385" xr:uid="{00000000-0005-0000-0000-0000A5240000}"/>
    <cellStyle name="40% - Accent4 2 2 2 2 2 4 3 2" xfId="9386" xr:uid="{00000000-0005-0000-0000-0000A6240000}"/>
    <cellStyle name="40% - Accent4 2 2 2 2 2 4 4" xfId="9387" xr:uid="{00000000-0005-0000-0000-0000A7240000}"/>
    <cellStyle name="40% - Accent4 2 2 2 2 2 5" xfId="9388" xr:uid="{00000000-0005-0000-0000-0000A8240000}"/>
    <cellStyle name="40% - Accent4 2 2 2 2 2 5 2" xfId="9389" xr:uid="{00000000-0005-0000-0000-0000A9240000}"/>
    <cellStyle name="40% - Accent4 2 2 2 2 2 5 2 2" xfId="9390" xr:uid="{00000000-0005-0000-0000-0000AA240000}"/>
    <cellStyle name="40% - Accent4 2 2 2 2 2 5 3" xfId="9391" xr:uid="{00000000-0005-0000-0000-0000AB240000}"/>
    <cellStyle name="40% - Accent4 2 2 2 2 2 6" xfId="9392" xr:uid="{00000000-0005-0000-0000-0000AC240000}"/>
    <cellStyle name="40% - Accent4 2 2 2 2 2 6 2" xfId="9393" xr:uid="{00000000-0005-0000-0000-0000AD240000}"/>
    <cellStyle name="40% - Accent4 2 2 2 2 2 7" xfId="9394" xr:uid="{00000000-0005-0000-0000-0000AE240000}"/>
    <cellStyle name="40% - Accent4 2 2 2 2 3" xfId="9395" xr:uid="{00000000-0005-0000-0000-0000AF240000}"/>
    <cellStyle name="40% - Accent4 2 2 2 2 3 2" xfId="9396" xr:uid="{00000000-0005-0000-0000-0000B0240000}"/>
    <cellStyle name="40% - Accent4 2 2 2 2 3 2 2" xfId="9397" xr:uid="{00000000-0005-0000-0000-0000B1240000}"/>
    <cellStyle name="40% - Accent4 2 2 2 2 3 2 2 2" xfId="9398" xr:uid="{00000000-0005-0000-0000-0000B2240000}"/>
    <cellStyle name="40% - Accent4 2 2 2 2 3 2 2 2 2" xfId="9399" xr:uid="{00000000-0005-0000-0000-0000B3240000}"/>
    <cellStyle name="40% - Accent4 2 2 2 2 3 2 2 2 2 2" xfId="9400" xr:uid="{00000000-0005-0000-0000-0000B4240000}"/>
    <cellStyle name="40% - Accent4 2 2 2 2 3 2 2 2 3" xfId="9401" xr:uid="{00000000-0005-0000-0000-0000B5240000}"/>
    <cellStyle name="40% - Accent4 2 2 2 2 3 2 2 3" xfId="9402" xr:uid="{00000000-0005-0000-0000-0000B6240000}"/>
    <cellStyle name="40% - Accent4 2 2 2 2 3 2 2 3 2" xfId="9403" xr:uid="{00000000-0005-0000-0000-0000B7240000}"/>
    <cellStyle name="40% - Accent4 2 2 2 2 3 2 2 4" xfId="9404" xr:uid="{00000000-0005-0000-0000-0000B8240000}"/>
    <cellStyle name="40% - Accent4 2 2 2 2 3 2 3" xfId="9405" xr:uid="{00000000-0005-0000-0000-0000B9240000}"/>
    <cellStyle name="40% - Accent4 2 2 2 2 3 2 3 2" xfId="9406" xr:uid="{00000000-0005-0000-0000-0000BA240000}"/>
    <cellStyle name="40% - Accent4 2 2 2 2 3 2 3 2 2" xfId="9407" xr:uid="{00000000-0005-0000-0000-0000BB240000}"/>
    <cellStyle name="40% - Accent4 2 2 2 2 3 2 3 3" xfId="9408" xr:uid="{00000000-0005-0000-0000-0000BC240000}"/>
    <cellStyle name="40% - Accent4 2 2 2 2 3 2 4" xfId="9409" xr:uid="{00000000-0005-0000-0000-0000BD240000}"/>
    <cellStyle name="40% - Accent4 2 2 2 2 3 2 4 2" xfId="9410" xr:uid="{00000000-0005-0000-0000-0000BE240000}"/>
    <cellStyle name="40% - Accent4 2 2 2 2 3 2 5" xfId="9411" xr:uid="{00000000-0005-0000-0000-0000BF240000}"/>
    <cellStyle name="40% - Accent4 2 2 2 2 3 3" xfId="9412" xr:uid="{00000000-0005-0000-0000-0000C0240000}"/>
    <cellStyle name="40% - Accent4 2 2 2 2 3 3 2" xfId="9413" xr:uid="{00000000-0005-0000-0000-0000C1240000}"/>
    <cellStyle name="40% - Accent4 2 2 2 2 3 3 2 2" xfId="9414" xr:uid="{00000000-0005-0000-0000-0000C2240000}"/>
    <cellStyle name="40% - Accent4 2 2 2 2 3 3 2 2 2" xfId="9415" xr:uid="{00000000-0005-0000-0000-0000C3240000}"/>
    <cellStyle name="40% - Accent4 2 2 2 2 3 3 2 3" xfId="9416" xr:uid="{00000000-0005-0000-0000-0000C4240000}"/>
    <cellStyle name="40% - Accent4 2 2 2 2 3 3 3" xfId="9417" xr:uid="{00000000-0005-0000-0000-0000C5240000}"/>
    <cellStyle name="40% - Accent4 2 2 2 2 3 3 3 2" xfId="9418" xr:uid="{00000000-0005-0000-0000-0000C6240000}"/>
    <cellStyle name="40% - Accent4 2 2 2 2 3 3 4" xfId="9419" xr:uid="{00000000-0005-0000-0000-0000C7240000}"/>
    <cellStyle name="40% - Accent4 2 2 2 2 3 4" xfId="9420" xr:uid="{00000000-0005-0000-0000-0000C8240000}"/>
    <cellStyle name="40% - Accent4 2 2 2 2 3 4 2" xfId="9421" xr:uid="{00000000-0005-0000-0000-0000C9240000}"/>
    <cellStyle name="40% - Accent4 2 2 2 2 3 4 2 2" xfId="9422" xr:uid="{00000000-0005-0000-0000-0000CA240000}"/>
    <cellStyle name="40% - Accent4 2 2 2 2 3 4 3" xfId="9423" xr:uid="{00000000-0005-0000-0000-0000CB240000}"/>
    <cellStyle name="40% - Accent4 2 2 2 2 3 5" xfId="9424" xr:uid="{00000000-0005-0000-0000-0000CC240000}"/>
    <cellStyle name="40% - Accent4 2 2 2 2 3 5 2" xfId="9425" xr:uid="{00000000-0005-0000-0000-0000CD240000}"/>
    <cellStyle name="40% - Accent4 2 2 2 2 3 6" xfId="9426" xr:uid="{00000000-0005-0000-0000-0000CE240000}"/>
    <cellStyle name="40% - Accent4 2 2 2 2 4" xfId="9427" xr:uid="{00000000-0005-0000-0000-0000CF240000}"/>
    <cellStyle name="40% - Accent4 2 2 2 2 4 2" xfId="9428" xr:uid="{00000000-0005-0000-0000-0000D0240000}"/>
    <cellStyle name="40% - Accent4 2 2 2 2 4 2 2" xfId="9429" xr:uid="{00000000-0005-0000-0000-0000D1240000}"/>
    <cellStyle name="40% - Accent4 2 2 2 2 4 2 2 2" xfId="9430" xr:uid="{00000000-0005-0000-0000-0000D2240000}"/>
    <cellStyle name="40% - Accent4 2 2 2 2 4 2 2 2 2" xfId="9431" xr:uid="{00000000-0005-0000-0000-0000D3240000}"/>
    <cellStyle name="40% - Accent4 2 2 2 2 4 2 2 3" xfId="9432" xr:uid="{00000000-0005-0000-0000-0000D4240000}"/>
    <cellStyle name="40% - Accent4 2 2 2 2 4 2 3" xfId="9433" xr:uid="{00000000-0005-0000-0000-0000D5240000}"/>
    <cellStyle name="40% - Accent4 2 2 2 2 4 2 3 2" xfId="9434" xr:uid="{00000000-0005-0000-0000-0000D6240000}"/>
    <cellStyle name="40% - Accent4 2 2 2 2 4 2 4" xfId="9435" xr:uid="{00000000-0005-0000-0000-0000D7240000}"/>
    <cellStyle name="40% - Accent4 2 2 2 2 4 3" xfId="9436" xr:uid="{00000000-0005-0000-0000-0000D8240000}"/>
    <cellStyle name="40% - Accent4 2 2 2 2 4 3 2" xfId="9437" xr:uid="{00000000-0005-0000-0000-0000D9240000}"/>
    <cellStyle name="40% - Accent4 2 2 2 2 4 3 2 2" xfId="9438" xr:uid="{00000000-0005-0000-0000-0000DA240000}"/>
    <cellStyle name="40% - Accent4 2 2 2 2 4 3 3" xfId="9439" xr:uid="{00000000-0005-0000-0000-0000DB240000}"/>
    <cellStyle name="40% - Accent4 2 2 2 2 4 4" xfId="9440" xr:uid="{00000000-0005-0000-0000-0000DC240000}"/>
    <cellStyle name="40% - Accent4 2 2 2 2 4 4 2" xfId="9441" xr:uid="{00000000-0005-0000-0000-0000DD240000}"/>
    <cellStyle name="40% - Accent4 2 2 2 2 4 5" xfId="9442" xr:uid="{00000000-0005-0000-0000-0000DE240000}"/>
    <cellStyle name="40% - Accent4 2 2 2 2 5" xfId="9443" xr:uid="{00000000-0005-0000-0000-0000DF240000}"/>
    <cellStyle name="40% - Accent4 2 2 2 2 5 2" xfId="9444" xr:uid="{00000000-0005-0000-0000-0000E0240000}"/>
    <cellStyle name="40% - Accent4 2 2 2 2 5 2 2" xfId="9445" xr:uid="{00000000-0005-0000-0000-0000E1240000}"/>
    <cellStyle name="40% - Accent4 2 2 2 2 5 2 2 2" xfId="9446" xr:uid="{00000000-0005-0000-0000-0000E2240000}"/>
    <cellStyle name="40% - Accent4 2 2 2 2 5 2 3" xfId="9447" xr:uid="{00000000-0005-0000-0000-0000E3240000}"/>
    <cellStyle name="40% - Accent4 2 2 2 2 5 3" xfId="9448" xr:uid="{00000000-0005-0000-0000-0000E4240000}"/>
    <cellStyle name="40% - Accent4 2 2 2 2 5 3 2" xfId="9449" xr:uid="{00000000-0005-0000-0000-0000E5240000}"/>
    <cellStyle name="40% - Accent4 2 2 2 2 5 4" xfId="9450" xr:uid="{00000000-0005-0000-0000-0000E6240000}"/>
    <cellStyle name="40% - Accent4 2 2 2 2 6" xfId="9451" xr:uid="{00000000-0005-0000-0000-0000E7240000}"/>
    <cellStyle name="40% - Accent4 2 2 2 2 6 2" xfId="9452" xr:uid="{00000000-0005-0000-0000-0000E8240000}"/>
    <cellStyle name="40% - Accent4 2 2 2 2 6 2 2" xfId="9453" xr:uid="{00000000-0005-0000-0000-0000E9240000}"/>
    <cellStyle name="40% - Accent4 2 2 2 2 6 3" xfId="9454" xr:uid="{00000000-0005-0000-0000-0000EA240000}"/>
    <cellStyle name="40% - Accent4 2 2 2 2 7" xfId="9455" xr:uid="{00000000-0005-0000-0000-0000EB240000}"/>
    <cellStyle name="40% - Accent4 2 2 2 2 7 2" xfId="9456" xr:uid="{00000000-0005-0000-0000-0000EC240000}"/>
    <cellStyle name="40% - Accent4 2 2 2 2 8" xfId="9457" xr:uid="{00000000-0005-0000-0000-0000ED240000}"/>
    <cellStyle name="40% - Accent4 2 2 2 3" xfId="9458" xr:uid="{00000000-0005-0000-0000-0000EE240000}"/>
    <cellStyle name="40% - Accent4 2 2 2 3 2" xfId="9459" xr:uid="{00000000-0005-0000-0000-0000EF240000}"/>
    <cellStyle name="40% - Accent4 2 2 2 3 2 2" xfId="9460" xr:uid="{00000000-0005-0000-0000-0000F0240000}"/>
    <cellStyle name="40% - Accent4 2 2 2 3 2 2 2" xfId="9461" xr:uid="{00000000-0005-0000-0000-0000F1240000}"/>
    <cellStyle name="40% - Accent4 2 2 2 3 2 2 2 2" xfId="9462" xr:uid="{00000000-0005-0000-0000-0000F2240000}"/>
    <cellStyle name="40% - Accent4 2 2 2 3 2 2 2 2 2" xfId="9463" xr:uid="{00000000-0005-0000-0000-0000F3240000}"/>
    <cellStyle name="40% - Accent4 2 2 2 3 2 2 2 2 2 2" xfId="9464" xr:uid="{00000000-0005-0000-0000-0000F4240000}"/>
    <cellStyle name="40% - Accent4 2 2 2 3 2 2 2 2 3" xfId="9465" xr:uid="{00000000-0005-0000-0000-0000F5240000}"/>
    <cellStyle name="40% - Accent4 2 2 2 3 2 2 2 3" xfId="9466" xr:uid="{00000000-0005-0000-0000-0000F6240000}"/>
    <cellStyle name="40% - Accent4 2 2 2 3 2 2 2 3 2" xfId="9467" xr:uid="{00000000-0005-0000-0000-0000F7240000}"/>
    <cellStyle name="40% - Accent4 2 2 2 3 2 2 2 4" xfId="9468" xr:uid="{00000000-0005-0000-0000-0000F8240000}"/>
    <cellStyle name="40% - Accent4 2 2 2 3 2 2 3" xfId="9469" xr:uid="{00000000-0005-0000-0000-0000F9240000}"/>
    <cellStyle name="40% - Accent4 2 2 2 3 2 2 3 2" xfId="9470" xr:uid="{00000000-0005-0000-0000-0000FA240000}"/>
    <cellStyle name="40% - Accent4 2 2 2 3 2 2 3 2 2" xfId="9471" xr:uid="{00000000-0005-0000-0000-0000FB240000}"/>
    <cellStyle name="40% - Accent4 2 2 2 3 2 2 3 3" xfId="9472" xr:uid="{00000000-0005-0000-0000-0000FC240000}"/>
    <cellStyle name="40% - Accent4 2 2 2 3 2 2 4" xfId="9473" xr:uid="{00000000-0005-0000-0000-0000FD240000}"/>
    <cellStyle name="40% - Accent4 2 2 2 3 2 2 4 2" xfId="9474" xr:uid="{00000000-0005-0000-0000-0000FE240000}"/>
    <cellStyle name="40% - Accent4 2 2 2 3 2 2 5" xfId="9475" xr:uid="{00000000-0005-0000-0000-0000FF240000}"/>
    <cellStyle name="40% - Accent4 2 2 2 3 2 3" xfId="9476" xr:uid="{00000000-0005-0000-0000-000000250000}"/>
    <cellStyle name="40% - Accent4 2 2 2 3 2 3 2" xfId="9477" xr:uid="{00000000-0005-0000-0000-000001250000}"/>
    <cellStyle name="40% - Accent4 2 2 2 3 2 3 2 2" xfId="9478" xr:uid="{00000000-0005-0000-0000-000002250000}"/>
    <cellStyle name="40% - Accent4 2 2 2 3 2 3 2 2 2" xfId="9479" xr:uid="{00000000-0005-0000-0000-000003250000}"/>
    <cellStyle name="40% - Accent4 2 2 2 3 2 3 2 3" xfId="9480" xr:uid="{00000000-0005-0000-0000-000004250000}"/>
    <cellStyle name="40% - Accent4 2 2 2 3 2 3 3" xfId="9481" xr:uid="{00000000-0005-0000-0000-000005250000}"/>
    <cellStyle name="40% - Accent4 2 2 2 3 2 3 3 2" xfId="9482" xr:uid="{00000000-0005-0000-0000-000006250000}"/>
    <cellStyle name="40% - Accent4 2 2 2 3 2 3 4" xfId="9483" xr:uid="{00000000-0005-0000-0000-000007250000}"/>
    <cellStyle name="40% - Accent4 2 2 2 3 2 4" xfId="9484" xr:uid="{00000000-0005-0000-0000-000008250000}"/>
    <cellStyle name="40% - Accent4 2 2 2 3 2 4 2" xfId="9485" xr:uid="{00000000-0005-0000-0000-000009250000}"/>
    <cellStyle name="40% - Accent4 2 2 2 3 2 4 2 2" xfId="9486" xr:uid="{00000000-0005-0000-0000-00000A250000}"/>
    <cellStyle name="40% - Accent4 2 2 2 3 2 4 3" xfId="9487" xr:uid="{00000000-0005-0000-0000-00000B250000}"/>
    <cellStyle name="40% - Accent4 2 2 2 3 2 5" xfId="9488" xr:uid="{00000000-0005-0000-0000-00000C250000}"/>
    <cellStyle name="40% - Accent4 2 2 2 3 2 5 2" xfId="9489" xr:uid="{00000000-0005-0000-0000-00000D250000}"/>
    <cellStyle name="40% - Accent4 2 2 2 3 2 6" xfId="9490" xr:uid="{00000000-0005-0000-0000-00000E250000}"/>
    <cellStyle name="40% - Accent4 2 2 2 3 3" xfId="9491" xr:uid="{00000000-0005-0000-0000-00000F250000}"/>
    <cellStyle name="40% - Accent4 2 2 2 3 3 2" xfId="9492" xr:uid="{00000000-0005-0000-0000-000010250000}"/>
    <cellStyle name="40% - Accent4 2 2 2 3 3 2 2" xfId="9493" xr:uid="{00000000-0005-0000-0000-000011250000}"/>
    <cellStyle name="40% - Accent4 2 2 2 3 3 2 2 2" xfId="9494" xr:uid="{00000000-0005-0000-0000-000012250000}"/>
    <cellStyle name="40% - Accent4 2 2 2 3 3 2 2 2 2" xfId="9495" xr:uid="{00000000-0005-0000-0000-000013250000}"/>
    <cellStyle name="40% - Accent4 2 2 2 3 3 2 2 3" xfId="9496" xr:uid="{00000000-0005-0000-0000-000014250000}"/>
    <cellStyle name="40% - Accent4 2 2 2 3 3 2 3" xfId="9497" xr:uid="{00000000-0005-0000-0000-000015250000}"/>
    <cellStyle name="40% - Accent4 2 2 2 3 3 2 3 2" xfId="9498" xr:uid="{00000000-0005-0000-0000-000016250000}"/>
    <cellStyle name="40% - Accent4 2 2 2 3 3 2 4" xfId="9499" xr:uid="{00000000-0005-0000-0000-000017250000}"/>
    <cellStyle name="40% - Accent4 2 2 2 3 3 3" xfId="9500" xr:uid="{00000000-0005-0000-0000-000018250000}"/>
    <cellStyle name="40% - Accent4 2 2 2 3 3 3 2" xfId="9501" xr:uid="{00000000-0005-0000-0000-000019250000}"/>
    <cellStyle name="40% - Accent4 2 2 2 3 3 3 2 2" xfId="9502" xr:uid="{00000000-0005-0000-0000-00001A250000}"/>
    <cellStyle name="40% - Accent4 2 2 2 3 3 3 3" xfId="9503" xr:uid="{00000000-0005-0000-0000-00001B250000}"/>
    <cellStyle name="40% - Accent4 2 2 2 3 3 4" xfId="9504" xr:uid="{00000000-0005-0000-0000-00001C250000}"/>
    <cellStyle name="40% - Accent4 2 2 2 3 3 4 2" xfId="9505" xr:uid="{00000000-0005-0000-0000-00001D250000}"/>
    <cellStyle name="40% - Accent4 2 2 2 3 3 5" xfId="9506" xr:uid="{00000000-0005-0000-0000-00001E250000}"/>
    <cellStyle name="40% - Accent4 2 2 2 3 4" xfId="9507" xr:uid="{00000000-0005-0000-0000-00001F250000}"/>
    <cellStyle name="40% - Accent4 2 2 2 3 4 2" xfId="9508" xr:uid="{00000000-0005-0000-0000-000020250000}"/>
    <cellStyle name="40% - Accent4 2 2 2 3 4 2 2" xfId="9509" xr:uid="{00000000-0005-0000-0000-000021250000}"/>
    <cellStyle name="40% - Accent4 2 2 2 3 4 2 2 2" xfId="9510" xr:uid="{00000000-0005-0000-0000-000022250000}"/>
    <cellStyle name="40% - Accent4 2 2 2 3 4 2 3" xfId="9511" xr:uid="{00000000-0005-0000-0000-000023250000}"/>
    <cellStyle name="40% - Accent4 2 2 2 3 4 3" xfId="9512" xr:uid="{00000000-0005-0000-0000-000024250000}"/>
    <cellStyle name="40% - Accent4 2 2 2 3 4 3 2" xfId="9513" xr:uid="{00000000-0005-0000-0000-000025250000}"/>
    <cellStyle name="40% - Accent4 2 2 2 3 4 4" xfId="9514" xr:uid="{00000000-0005-0000-0000-000026250000}"/>
    <cellStyle name="40% - Accent4 2 2 2 3 5" xfId="9515" xr:uid="{00000000-0005-0000-0000-000027250000}"/>
    <cellStyle name="40% - Accent4 2 2 2 3 5 2" xfId="9516" xr:uid="{00000000-0005-0000-0000-000028250000}"/>
    <cellStyle name="40% - Accent4 2 2 2 3 5 2 2" xfId="9517" xr:uid="{00000000-0005-0000-0000-000029250000}"/>
    <cellStyle name="40% - Accent4 2 2 2 3 5 3" xfId="9518" xr:uid="{00000000-0005-0000-0000-00002A250000}"/>
    <cellStyle name="40% - Accent4 2 2 2 3 6" xfId="9519" xr:uid="{00000000-0005-0000-0000-00002B250000}"/>
    <cellStyle name="40% - Accent4 2 2 2 3 6 2" xfId="9520" xr:uid="{00000000-0005-0000-0000-00002C250000}"/>
    <cellStyle name="40% - Accent4 2 2 2 3 7" xfId="9521" xr:uid="{00000000-0005-0000-0000-00002D250000}"/>
    <cellStyle name="40% - Accent4 2 2 2 4" xfId="9522" xr:uid="{00000000-0005-0000-0000-00002E250000}"/>
    <cellStyle name="40% - Accent4 2 2 2 4 2" xfId="9523" xr:uid="{00000000-0005-0000-0000-00002F250000}"/>
    <cellStyle name="40% - Accent4 2 2 2 4 2 2" xfId="9524" xr:uid="{00000000-0005-0000-0000-000030250000}"/>
    <cellStyle name="40% - Accent4 2 2 2 4 2 2 2" xfId="9525" xr:uid="{00000000-0005-0000-0000-000031250000}"/>
    <cellStyle name="40% - Accent4 2 2 2 4 2 2 2 2" xfId="9526" xr:uid="{00000000-0005-0000-0000-000032250000}"/>
    <cellStyle name="40% - Accent4 2 2 2 4 2 2 2 2 2" xfId="9527" xr:uid="{00000000-0005-0000-0000-000033250000}"/>
    <cellStyle name="40% - Accent4 2 2 2 4 2 2 2 3" xfId="9528" xr:uid="{00000000-0005-0000-0000-000034250000}"/>
    <cellStyle name="40% - Accent4 2 2 2 4 2 2 3" xfId="9529" xr:uid="{00000000-0005-0000-0000-000035250000}"/>
    <cellStyle name="40% - Accent4 2 2 2 4 2 2 3 2" xfId="9530" xr:uid="{00000000-0005-0000-0000-000036250000}"/>
    <cellStyle name="40% - Accent4 2 2 2 4 2 2 4" xfId="9531" xr:uid="{00000000-0005-0000-0000-000037250000}"/>
    <cellStyle name="40% - Accent4 2 2 2 4 2 3" xfId="9532" xr:uid="{00000000-0005-0000-0000-000038250000}"/>
    <cellStyle name="40% - Accent4 2 2 2 4 2 3 2" xfId="9533" xr:uid="{00000000-0005-0000-0000-000039250000}"/>
    <cellStyle name="40% - Accent4 2 2 2 4 2 3 2 2" xfId="9534" xr:uid="{00000000-0005-0000-0000-00003A250000}"/>
    <cellStyle name="40% - Accent4 2 2 2 4 2 3 3" xfId="9535" xr:uid="{00000000-0005-0000-0000-00003B250000}"/>
    <cellStyle name="40% - Accent4 2 2 2 4 2 4" xfId="9536" xr:uid="{00000000-0005-0000-0000-00003C250000}"/>
    <cellStyle name="40% - Accent4 2 2 2 4 2 4 2" xfId="9537" xr:uid="{00000000-0005-0000-0000-00003D250000}"/>
    <cellStyle name="40% - Accent4 2 2 2 4 2 5" xfId="9538" xr:uid="{00000000-0005-0000-0000-00003E250000}"/>
    <cellStyle name="40% - Accent4 2 2 2 4 3" xfId="9539" xr:uid="{00000000-0005-0000-0000-00003F250000}"/>
    <cellStyle name="40% - Accent4 2 2 2 4 3 2" xfId="9540" xr:uid="{00000000-0005-0000-0000-000040250000}"/>
    <cellStyle name="40% - Accent4 2 2 2 4 3 2 2" xfId="9541" xr:uid="{00000000-0005-0000-0000-000041250000}"/>
    <cellStyle name="40% - Accent4 2 2 2 4 3 2 2 2" xfId="9542" xr:uid="{00000000-0005-0000-0000-000042250000}"/>
    <cellStyle name="40% - Accent4 2 2 2 4 3 2 3" xfId="9543" xr:uid="{00000000-0005-0000-0000-000043250000}"/>
    <cellStyle name="40% - Accent4 2 2 2 4 3 3" xfId="9544" xr:uid="{00000000-0005-0000-0000-000044250000}"/>
    <cellStyle name="40% - Accent4 2 2 2 4 3 3 2" xfId="9545" xr:uid="{00000000-0005-0000-0000-000045250000}"/>
    <cellStyle name="40% - Accent4 2 2 2 4 3 4" xfId="9546" xr:uid="{00000000-0005-0000-0000-000046250000}"/>
    <cellStyle name="40% - Accent4 2 2 2 4 4" xfId="9547" xr:uid="{00000000-0005-0000-0000-000047250000}"/>
    <cellStyle name="40% - Accent4 2 2 2 4 4 2" xfId="9548" xr:uid="{00000000-0005-0000-0000-000048250000}"/>
    <cellStyle name="40% - Accent4 2 2 2 4 4 2 2" xfId="9549" xr:uid="{00000000-0005-0000-0000-000049250000}"/>
    <cellStyle name="40% - Accent4 2 2 2 4 4 3" xfId="9550" xr:uid="{00000000-0005-0000-0000-00004A250000}"/>
    <cellStyle name="40% - Accent4 2 2 2 4 5" xfId="9551" xr:uid="{00000000-0005-0000-0000-00004B250000}"/>
    <cellStyle name="40% - Accent4 2 2 2 4 5 2" xfId="9552" xr:uid="{00000000-0005-0000-0000-00004C250000}"/>
    <cellStyle name="40% - Accent4 2 2 2 4 6" xfId="9553" xr:uid="{00000000-0005-0000-0000-00004D250000}"/>
    <cellStyle name="40% - Accent4 2 2 2 5" xfId="9554" xr:uid="{00000000-0005-0000-0000-00004E250000}"/>
    <cellStyle name="40% - Accent4 2 2 2 5 2" xfId="9555" xr:uid="{00000000-0005-0000-0000-00004F250000}"/>
    <cellStyle name="40% - Accent4 2 2 2 5 2 2" xfId="9556" xr:uid="{00000000-0005-0000-0000-000050250000}"/>
    <cellStyle name="40% - Accent4 2 2 2 5 2 2 2" xfId="9557" xr:uid="{00000000-0005-0000-0000-000051250000}"/>
    <cellStyle name="40% - Accent4 2 2 2 5 2 2 2 2" xfId="9558" xr:uid="{00000000-0005-0000-0000-000052250000}"/>
    <cellStyle name="40% - Accent4 2 2 2 5 2 2 3" xfId="9559" xr:uid="{00000000-0005-0000-0000-000053250000}"/>
    <cellStyle name="40% - Accent4 2 2 2 5 2 3" xfId="9560" xr:uid="{00000000-0005-0000-0000-000054250000}"/>
    <cellStyle name="40% - Accent4 2 2 2 5 2 3 2" xfId="9561" xr:uid="{00000000-0005-0000-0000-000055250000}"/>
    <cellStyle name="40% - Accent4 2 2 2 5 2 4" xfId="9562" xr:uid="{00000000-0005-0000-0000-000056250000}"/>
    <cellStyle name="40% - Accent4 2 2 2 5 3" xfId="9563" xr:uid="{00000000-0005-0000-0000-000057250000}"/>
    <cellStyle name="40% - Accent4 2 2 2 5 3 2" xfId="9564" xr:uid="{00000000-0005-0000-0000-000058250000}"/>
    <cellStyle name="40% - Accent4 2 2 2 5 3 2 2" xfId="9565" xr:uid="{00000000-0005-0000-0000-000059250000}"/>
    <cellStyle name="40% - Accent4 2 2 2 5 3 3" xfId="9566" xr:uid="{00000000-0005-0000-0000-00005A250000}"/>
    <cellStyle name="40% - Accent4 2 2 2 5 4" xfId="9567" xr:uid="{00000000-0005-0000-0000-00005B250000}"/>
    <cellStyle name="40% - Accent4 2 2 2 5 4 2" xfId="9568" xr:uid="{00000000-0005-0000-0000-00005C250000}"/>
    <cellStyle name="40% - Accent4 2 2 2 5 5" xfId="9569" xr:uid="{00000000-0005-0000-0000-00005D250000}"/>
    <cellStyle name="40% - Accent4 2 2 2 6" xfId="9570" xr:uid="{00000000-0005-0000-0000-00005E250000}"/>
    <cellStyle name="40% - Accent4 2 2 2 6 2" xfId="9571" xr:uid="{00000000-0005-0000-0000-00005F250000}"/>
    <cellStyle name="40% - Accent4 2 2 2 6 2 2" xfId="9572" xr:uid="{00000000-0005-0000-0000-000060250000}"/>
    <cellStyle name="40% - Accent4 2 2 2 6 2 2 2" xfId="9573" xr:uid="{00000000-0005-0000-0000-000061250000}"/>
    <cellStyle name="40% - Accent4 2 2 2 6 2 3" xfId="9574" xr:uid="{00000000-0005-0000-0000-000062250000}"/>
    <cellStyle name="40% - Accent4 2 2 2 6 3" xfId="9575" xr:uid="{00000000-0005-0000-0000-000063250000}"/>
    <cellStyle name="40% - Accent4 2 2 2 6 3 2" xfId="9576" xr:uid="{00000000-0005-0000-0000-000064250000}"/>
    <cellStyle name="40% - Accent4 2 2 2 6 4" xfId="9577" xr:uid="{00000000-0005-0000-0000-000065250000}"/>
    <cellStyle name="40% - Accent4 2 2 2 7" xfId="9578" xr:uid="{00000000-0005-0000-0000-000066250000}"/>
    <cellStyle name="40% - Accent4 2 2 2 7 2" xfId="9579" xr:uid="{00000000-0005-0000-0000-000067250000}"/>
    <cellStyle name="40% - Accent4 2 2 2 7 2 2" xfId="9580" xr:uid="{00000000-0005-0000-0000-000068250000}"/>
    <cellStyle name="40% - Accent4 2 2 2 7 3" xfId="9581" xr:uid="{00000000-0005-0000-0000-000069250000}"/>
    <cellStyle name="40% - Accent4 2 2 2 8" xfId="9582" xr:uid="{00000000-0005-0000-0000-00006A250000}"/>
    <cellStyle name="40% - Accent4 2 2 2 8 2" xfId="9583" xr:uid="{00000000-0005-0000-0000-00006B250000}"/>
    <cellStyle name="40% - Accent4 2 2 2 9" xfId="9584" xr:uid="{00000000-0005-0000-0000-00006C250000}"/>
    <cellStyle name="40% - Accent4 2 2 3" xfId="9585" xr:uid="{00000000-0005-0000-0000-00006D250000}"/>
    <cellStyle name="40% - Accent4 2 2 3 2" xfId="9586" xr:uid="{00000000-0005-0000-0000-00006E250000}"/>
    <cellStyle name="40% - Accent4 2 2 3 2 2" xfId="9587" xr:uid="{00000000-0005-0000-0000-00006F250000}"/>
    <cellStyle name="40% - Accent4 2 2 3 2 2 2" xfId="9588" xr:uid="{00000000-0005-0000-0000-000070250000}"/>
    <cellStyle name="40% - Accent4 2 2 3 2 2 2 2" xfId="9589" xr:uid="{00000000-0005-0000-0000-000071250000}"/>
    <cellStyle name="40% - Accent4 2 2 3 2 2 2 2 2" xfId="9590" xr:uid="{00000000-0005-0000-0000-000072250000}"/>
    <cellStyle name="40% - Accent4 2 2 3 2 2 2 2 2 2" xfId="9591" xr:uid="{00000000-0005-0000-0000-000073250000}"/>
    <cellStyle name="40% - Accent4 2 2 3 2 2 2 2 2 2 2" xfId="9592" xr:uid="{00000000-0005-0000-0000-000074250000}"/>
    <cellStyle name="40% - Accent4 2 2 3 2 2 2 2 2 3" xfId="9593" xr:uid="{00000000-0005-0000-0000-000075250000}"/>
    <cellStyle name="40% - Accent4 2 2 3 2 2 2 2 3" xfId="9594" xr:uid="{00000000-0005-0000-0000-000076250000}"/>
    <cellStyle name="40% - Accent4 2 2 3 2 2 2 2 3 2" xfId="9595" xr:uid="{00000000-0005-0000-0000-000077250000}"/>
    <cellStyle name="40% - Accent4 2 2 3 2 2 2 2 4" xfId="9596" xr:uid="{00000000-0005-0000-0000-000078250000}"/>
    <cellStyle name="40% - Accent4 2 2 3 2 2 2 3" xfId="9597" xr:uid="{00000000-0005-0000-0000-000079250000}"/>
    <cellStyle name="40% - Accent4 2 2 3 2 2 2 3 2" xfId="9598" xr:uid="{00000000-0005-0000-0000-00007A250000}"/>
    <cellStyle name="40% - Accent4 2 2 3 2 2 2 3 2 2" xfId="9599" xr:uid="{00000000-0005-0000-0000-00007B250000}"/>
    <cellStyle name="40% - Accent4 2 2 3 2 2 2 3 3" xfId="9600" xr:uid="{00000000-0005-0000-0000-00007C250000}"/>
    <cellStyle name="40% - Accent4 2 2 3 2 2 2 4" xfId="9601" xr:uid="{00000000-0005-0000-0000-00007D250000}"/>
    <cellStyle name="40% - Accent4 2 2 3 2 2 2 4 2" xfId="9602" xr:uid="{00000000-0005-0000-0000-00007E250000}"/>
    <cellStyle name="40% - Accent4 2 2 3 2 2 2 5" xfId="9603" xr:uid="{00000000-0005-0000-0000-00007F250000}"/>
    <cellStyle name="40% - Accent4 2 2 3 2 2 3" xfId="9604" xr:uid="{00000000-0005-0000-0000-000080250000}"/>
    <cellStyle name="40% - Accent4 2 2 3 2 2 3 2" xfId="9605" xr:uid="{00000000-0005-0000-0000-000081250000}"/>
    <cellStyle name="40% - Accent4 2 2 3 2 2 3 2 2" xfId="9606" xr:uid="{00000000-0005-0000-0000-000082250000}"/>
    <cellStyle name="40% - Accent4 2 2 3 2 2 3 2 2 2" xfId="9607" xr:uid="{00000000-0005-0000-0000-000083250000}"/>
    <cellStyle name="40% - Accent4 2 2 3 2 2 3 2 3" xfId="9608" xr:uid="{00000000-0005-0000-0000-000084250000}"/>
    <cellStyle name="40% - Accent4 2 2 3 2 2 3 3" xfId="9609" xr:uid="{00000000-0005-0000-0000-000085250000}"/>
    <cellStyle name="40% - Accent4 2 2 3 2 2 3 3 2" xfId="9610" xr:uid="{00000000-0005-0000-0000-000086250000}"/>
    <cellStyle name="40% - Accent4 2 2 3 2 2 3 4" xfId="9611" xr:uid="{00000000-0005-0000-0000-000087250000}"/>
    <cellStyle name="40% - Accent4 2 2 3 2 2 4" xfId="9612" xr:uid="{00000000-0005-0000-0000-000088250000}"/>
    <cellStyle name="40% - Accent4 2 2 3 2 2 4 2" xfId="9613" xr:uid="{00000000-0005-0000-0000-000089250000}"/>
    <cellStyle name="40% - Accent4 2 2 3 2 2 4 2 2" xfId="9614" xr:uid="{00000000-0005-0000-0000-00008A250000}"/>
    <cellStyle name="40% - Accent4 2 2 3 2 2 4 3" xfId="9615" xr:uid="{00000000-0005-0000-0000-00008B250000}"/>
    <cellStyle name="40% - Accent4 2 2 3 2 2 5" xfId="9616" xr:uid="{00000000-0005-0000-0000-00008C250000}"/>
    <cellStyle name="40% - Accent4 2 2 3 2 2 5 2" xfId="9617" xr:uid="{00000000-0005-0000-0000-00008D250000}"/>
    <cellStyle name="40% - Accent4 2 2 3 2 2 6" xfId="9618" xr:uid="{00000000-0005-0000-0000-00008E250000}"/>
    <cellStyle name="40% - Accent4 2 2 3 2 3" xfId="9619" xr:uid="{00000000-0005-0000-0000-00008F250000}"/>
    <cellStyle name="40% - Accent4 2 2 3 2 3 2" xfId="9620" xr:uid="{00000000-0005-0000-0000-000090250000}"/>
    <cellStyle name="40% - Accent4 2 2 3 2 3 2 2" xfId="9621" xr:uid="{00000000-0005-0000-0000-000091250000}"/>
    <cellStyle name="40% - Accent4 2 2 3 2 3 2 2 2" xfId="9622" xr:uid="{00000000-0005-0000-0000-000092250000}"/>
    <cellStyle name="40% - Accent4 2 2 3 2 3 2 2 2 2" xfId="9623" xr:uid="{00000000-0005-0000-0000-000093250000}"/>
    <cellStyle name="40% - Accent4 2 2 3 2 3 2 2 3" xfId="9624" xr:uid="{00000000-0005-0000-0000-000094250000}"/>
    <cellStyle name="40% - Accent4 2 2 3 2 3 2 3" xfId="9625" xr:uid="{00000000-0005-0000-0000-000095250000}"/>
    <cellStyle name="40% - Accent4 2 2 3 2 3 2 3 2" xfId="9626" xr:uid="{00000000-0005-0000-0000-000096250000}"/>
    <cellStyle name="40% - Accent4 2 2 3 2 3 2 4" xfId="9627" xr:uid="{00000000-0005-0000-0000-000097250000}"/>
    <cellStyle name="40% - Accent4 2 2 3 2 3 3" xfId="9628" xr:uid="{00000000-0005-0000-0000-000098250000}"/>
    <cellStyle name="40% - Accent4 2 2 3 2 3 3 2" xfId="9629" xr:uid="{00000000-0005-0000-0000-000099250000}"/>
    <cellStyle name="40% - Accent4 2 2 3 2 3 3 2 2" xfId="9630" xr:uid="{00000000-0005-0000-0000-00009A250000}"/>
    <cellStyle name="40% - Accent4 2 2 3 2 3 3 3" xfId="9631" xr:uid="{00000000-0005-0000-0000-00009B250000}"/>
    <cellStyle name="40% - Accent4 2 2 3 2 3 4" xfId="9632" xr:uid="{00000000-0005-0000-0000-00009C250000}"/>
    <cellStyle name="40% - Accent4 2 2 3 2 3 4 2" xfId="9633" xr:uid="{00000000-0005-0000-0000-00009D250000}"/>
    <cellStyle name="40% - Accent4 2 2 3 2 3 5" xfId="9634" xr:uid="{00000000-0005-0000-0000-00009E250000}"/>
    <cellStyle name="40% - Accent4 2 2 3 2 4" xfId="9635" xr:uid="{00000000-0005-0000-0000-00009F250000}"/>
    <cellStyle name="40% - Accent4 2 2 3 2 4 2" xfId="9636" xr:uid="{00000000-0005-0000-0000-0000A0250000}"/>
    <cellStyle name="40% - Accent4 2 2 3 2 4 2 2" xfId="9637" xr:uid="{00000000-0005-0000-0000-0000A1250000}"/>
    <cellStyle name="40% - Accent4 2 2 3 2 4 2 2 2" xfId="9638" xr:uid="{00000000-0005-0000-0000-0000A2250000}"/>
    <cellStyle name="40% - Accent4 2 2 3 2 4 2 3" xfId="9639" xr:uid="{00000000-0005-0000-0000-0000A3250000}"/>
    <cellStyle name="40% - Accent4 2 2 3 2 4 3" xfId="9640" xr:uid="{00000000-0005-0000-0000-0000A4250000}"/>
    <cellStyle name="40% - Accent4 2 2 3 2 4 3 2" xfId="9641" xr:uid="{00000000-0005-0000-0000-0000A5250000}"/>
    <cellStyle name="40% - Accent4 2 2 3 2 4 4" xfId="9642" xr:uid="{00000000-0005-0000-0000-0000A6250000}"/>
    <cellStyle name="40% - Accent4 2 2 3 2 5" xfId="9643" xr:uid="{00000000-0005-0000-0000-0000A7250000}"/>
    <cellStyle name="40% - Accent4 2 2 3 2 5 2" xfId="9644" xr:uid="{00000000-0005-0000-0000-0000A8250000}"/>
    <cellStyle name="40% - Accent4 2 2 3 2 5 2 2" xfId="9645" xr:uid="{00000000-0005-0000-0000-0000A9250000}"/>
    <cellStyle name="40% - Accent4 2 2 3 2 5 3" xfId="9646" xr:uid="{00000000-0005-0000-0000-0000AA250000}"/>
    <cellStyle name="40% - Accent4 2 2 3 2 6" xfId="9647" xr:uid="{00000000-0005-0000-0000-0000AB250000}"/>
    <cellStyle name="40% - Accent4 2 2 3 2 6 2" xfId="9648" xr:uid="{00000000-0005-0000-0000-0000AC250000}"/>
    <cellStyle name="40% - Accent4 2 2 3 2 7" xfId="9649" xr:uid="{00000000-0005-0000-0000-0000AD250000}"/>
    <cellStyle name="40% - Accent4 2 2 3 3" xfId="9650" xr:uid="{00000000-0005-0000-0000-0000AE250000}"/>
    <cellStyle name="40% - Accent4 2 2 3 3 2" xfId="9651" xr:uid="{00000000-0005-0000-0000-0000AF250000}"/>
    <cellStyle name="40% - Accent4 2 2 3 3 2 2" xfId="9652" xr:uid="{00000000-0005-0000-0000-0000B0250000}"/>
    <cellStyle name="40% - Accent4 2 2 3 3 2 2 2" xfId="9653" xr:uid="{00000000-0005-0000-0000-0000B1250000}"/>
    <cellStyle name="40% - Accent4 2 2 3 3 2 2 2 2" xfId="9654" xr:uid="{00000000-0005-0000-0000-0000B2250000}"/>
    <cellStyle name="40% - Accent4 2 2 3 3 2 2 2 2 2" xfId="9655" xr:uid="{00000000-0005-0000-0000-0000B3250000}"/>
    <cellStyle name="40% - Accent4 2 2 3 3 2 2 2 3" xfId="9656" xr:uid="{00000000-0005-0000-0000-0000B4250000}"/>
    <cellStyle name="40% - Accent4 2 2 3 3 2 2 3" xfId="9657" xr:uid="{00000000-0005-0000-0000-0000B5250000}"/>
    <cellStyle name="40% - Accent4 2 2 3 3 2 2 3 2" xfId="9658" xr:uid="{00000000-0005-0000-0000-0000B6250000}"/>
    <cellStyle name="40% - Accent4 2 2 3 3 2 2 4" xfId="9659" xr:uid="{00000000-0005-0000-0000-0000B7250000}"/>
    <cellStyle name="40% - Accent4 2 2 3 3 2 3" xfId="9660" xr:uid="{00000000-0005-0000-0000-0000B8250000}"/>
    <cellStyle name="40% - Accent4 2 2 3 3 2 3 2" xfId="9661" xr:uid="{00000000-0005-0000-0000-0000B9250000}"/>
    <cellStyle name="40% - Accent4 2 2 3 3 2 3 2 2" xfId="9662" xr:uid="{00000000-0005-0000-0000-0000BA250000}"/>
    <cellStyle name="40% - Accent4 2 2 3 3 2 3 3" xfId="9663" xr:uid="{00000000-0005-0000-0000-0000BB250000}"/>
    <cellStyle name="40% - Accent4 2 2 3 3 2 4" xfId="9664" xr:uid="{00000000-0005-0000-0000-0000BC250000}"/>
    <cellStyle name="40% - Accent4 2 2 3 3 2 4 2" xfId="9665" xr:uid="{00000000-0005-0000-0000-0000BD250000}"/>
    <cellStyle name="40% - Accent4 2 2 3 3 2 5" xfId="9666" xr:uid="{00000000-0005-0000-0000-0000BE250000}"/>
    <cellStyle name="40% - Accent4 2 2 3 3 3" xfId="9667" xr:uid="{00000000-0005-0000-0000-0000BF250000}"/>
    <cellStyle name="40% - Accent4 2 2 3 3 3 2" xfId="9668" xr:uid="{00000000-0005-0000-0000-0000C0250000}"/>
    <cellStyle name="40% - Accent4 2 2 3 3 3 2 2" xfId="9669" xr:uid="{00000000-0005-0000-0000-0000C1250000}"/>
    <cellStyle name="40% - Accent4 2 2 3 3 3 2 2 2" xfId="9670" xr:uid="{00000000-0005-0000-0000-0000C2250000}"/>
    <cellStyle name="40% - Accent4 2 2 3 3 3 2 3" xfId="9671" xr:uid="{00000000-0005-0000-0000-0000C3250000}"/>
    <cellStyle name="40% - Accent4 2 2 3 3 3 3" xfId="9672" xr:uid="{00000000-0005-0000-0000-0000C4250000}"/>
    <cellStyle name="40% - Accent4 2 2 3 3 3 3 2" xfId="9673" xr:uid="{00000000-0005-0000-0000-0000C5250000}"/>
    <cellStyle name="40% - Accent4 2 2 3 3 3 4" xfId="9674" xr:uid="{00000000-0005-0000-0000-0000C6250000}"/>
    <cellStyle name="40% - Accent4 2 2 3 3 4" xfId="9675" xr:uid="{00000000-0005-0000-0000-0000C7250000}"/>
    <cellStyle name="40% - Accent4 2 2 3 3 4 2" xfId="9676" xr:uid="{00000000-0005-0000-0000-0000C8250000}"/>
    <cellStyle name="40% - Accent4 2 2 3 3 4 2 2" xfId="9677" xr:uid="{00000000-0005-0000-0000-0000C9250000}"/>
    <cellStyle name="40% - Accent4 2 2 3 3 4 3" xfId="9678" xr:uid="{00000000-0005-0000-0000-0000CA250000}"/>
    <cellStyle name="40% - Accent4 2 2 3 3 5" xfId="9679" xr:uid="{00000000-0005-0000-0000-0000CB250000}"/>
    <cellStyle name="40% - Accent4 2 2 3 3 5 2" xfId="9680" xr:uid="{00000000-0005-0000-0000-0000CC250000}"/>
    <cellStyle name="40% - Accent4 2 2 3 3 6" xfId="9681" xr:uid="{00000000-0005-0000-0000-0000CD250000}"/>
    <cellStyle name="40% - Accent4 2 2 3 4" xfId="9682" xr:uid="{00000000-0005-0000-0000-0000CE250000}"/>
    <cellStyle name="40% - Accent4 2 2 3 4 2" xfId="9683" xr:uid="{00000000-0005-0000-0000-0000CF250000}"/>
    <cellStyle name="40% - Accent4 2 2 3 4 2 2" xfId="9684" xr:uid="{00000000-0005-0000-0000-0000D0250000}"/>
    <cellStyle name="40% - Accent4 2 2 3 4 2 2 2" xfId="9685" xr:uid="{00000000-0005-0000-0000-0000D1250000}"/>
    <cellStyle name="40% - Accent4 2 2 3 4 2 2 2 2" xfId="9686" xr:uid="{00000000-0005-0000-0000-0000D2250000}"/>
    <cellStyle name="40% - Accent4 2 2 3 4 2 2 3" xfId="9687" xr:uid="{00000000-0005-0000-0000-0000D3250000}"/>
    <cellStyle name="40% - Accent4 2 2 3 4 2 3" xfId="9688" xr:uid="{00000000-0005-0000-0000-0000D4250000}"/>
    <cellStyle name="40% - Accent4 2 2 3 4 2 3 2" xfId="9689" xr:uid="{00000000-0005-0000-0000-0000D5250000}"/>
    <cellStyle name="40% - Accent4 2 2 3 4 2 4" xfId="9690" xr:uid="{00000000-0005-0000-0000-0000D6250000}"/>
    <cellStyle name="40% - Accent4 2 2 3 4 3" xfId="9691" xr:uid="{00000000-0005-0000-0000-0000D7250000}"/>
    <cellStyle name="40% - Accent4 2 2 3 4 3 2" xfId="9692" xr:uid="{00000000-0005-0000-0000-0000D8250000}"/>
    <cellStyle name="40% - Accent4 2 2 3 4 3 2 2" xfId="9693" xr:uid="{00000000-0005-0000-0000-0000D9250000}"/>
    <cellStyle name="40% - Accent4 2 2 3 4 3 3" xfId="9694" xr:uid="{00000000-0005-0000-0000-0000DA250000}"/>
    <cellStyle name="40% - Accent4 2 2 3 4 4" xfId="9695" xr:uid="{00000000-0005-0000-0000-0000DB250000}"/>
    <cellStyle name="40% - Accent4 2 2 3 4 4 2" xfId="9696" xr:uid="{00000000-0005-0000-0000-0000DC250000}"/>
    <cellStyle name="40% - Accent4 2 2 3 4 5" xfId="9697" xr:uid="{00000000-0005-0000-0000-0000DD250000}"/>
    <cellStyle name="40% - Accent4 2 2 3 5" xfId="9698" xr:uid="{00000000-0005-0000-0000-0000DE250000}"/>
    <cellStyle name="40% - Accent4 2 2 3 5 2" xfId="9699" xr:uid="{00000000-0005-0000-0000-0000DF250000}"/>
    <cellStyle name="40% - Accent4 2 2 3 5 2 2" xfId="9700" xr:uid="{00000000-0005-0000-0000-0000E0250000}"/>
    <cellStyle name="40% - Accent4 2 2 3 5 2 2 2" xfId="9701" xr:uid="{00000000-0005-0000-0000-0000E1250000}"/>
    <cellStyle name="40% - Accent4 2 2 3 5 2 3" xfId="9702" xr:uid="{00000000-0005-0000-0000-0000E2250000}"/>
    <cellStyle name="40% - Accent4 2 2 3 5 3" xfId="9703" xr:uid="{00000000-0005-0000-0000-0000E3250000}"/>
    <cellStyle name="40% - Accent4 2 2 3 5 3 2" xfId="9704" xr:uid="{00000000-0005-0000-0000-0000E4250000}"/>
    <cellStyle name="40% - Accent4 2 2 3 5 4" xfId="9705" xr:uid="{00000000-0005-0000-0000-0000E5250000}"/>
    <cellStyle name="40% - Accent4 2 2 3 6" xfId="9706" xr:uid="{00000000-0005-0000-0000-0000E6250000}"/>
    <cellStyle name="40% - Accent4 2 2 3 6 2" xfId="9707" xr:uid="{00000000-0005-0000-0000-0000E7250000}"/>
    <cellStyle name="40% - Accent4 2 2 3 6 2 2" xfId="9708" xr:uid="{00000000-0005-0000-0000-0000E8250000}"/>
    <cellStyle name="40% - Accent4 2 2 3 6 3" xfId="9709" xr:uid="{00000000-0005-0000-0000-0000E9250000}"/>
    <cellStyle name="40% - Accent4 2 2 3 7" xfId="9710" xr:uid="{00000000-0005-0000-0000-0000EA250000}"/>
    <cellStyle name="40% - Accent4 2 2 3 7 2" xfId="9711" xr:uid="{00000000-0005-0000-0000-0000EB250000}"/>
    <cellStyle name="40% - Accent4 2 2 3 8" xfId="9712" xr:uid="{00000000-0005-0000-0000-0000EC250000}"/>
    <cellStyle name="40% - Accent4 2 2 4" xfId="9713" xr:uid="{00000000-0005-0000-0000-0000ED250000}"/>
    <cellStyle name="40% - Accent4 2 2 4 2" xfId="9714" xr:uid="{00000000-0005-0000-0000-0000EE250000}"/>
    <cellStyle name="40% - Accent4 2 2 4 2 2" xfId="9715" xr:uid="{00000000-0005-0000-0000-0000EF250000}"/>
    <cellStyle name="40% - Accent4 2 2 4 2 2 2" xfId="9716" xr:uid="{00000000-0005-0000-0000-0000F0250000}"/>
    <cellStyle name="40% - Accent4 2 2 4 2 2 2 2" xfId="9717" xr:uid="{00000000-0005-0000-0000-0000F1250000}"/>
    <cellStyle name="40% - Accent4 2 2 4 2 2 2 2 2" xfId="9718" xr:uid="{00000000-0005-0000-0000-0000F2250000}"/>
    <cellStyle name="40% - Accent4 2 2 4 2 2 2 2 2 2" xfId="9719" xr:uid="{00000000-0005-0000-0000-0000F3250000}"/>
    <cellStyle name="40% - Accent4 2 2 4 2 2 2 2 3" xfId="9720" xr:uid="{00000000-0005-0000-0000-0000F4250000}"/>
    <cellStyle name="40% - Accent4 2 2 4 2 2 2 3" xfId="9721" xr:uid="{00000000-0005-0000-0000-0000F5250000}"/>
    <cellStyle name="40% - Accent4 2 2 4 2 2 2 3 2" xfId="9722" xr:uid="{00000000-0005-0000-0000-0000F6250000}"/>
    <cellStyle name="40% - Accent4 2 2 4 2 2 2 4" xfId="9723" xr:uid="{00000000-0005-0000-0000-0000F7250000}"/>
    <cellStyle name="40% - Accent4 2 2 4 2 2 3" xfId="9724" xr:uid="{00000000-0005-0000-0000-0000F8250000}"/>
    <cellStyle name="40% - Accent4 2 2 4 2 2 3 2" xfId="9725" xr:uid="{00000000-0005-0000-0000-0000F9250000}"/>
    <cellStyle name="40% - Accent4 2 2 4 2 2 3 2 2" xfId="9726" xr:uid="{00000000-0005-0000-0000-0000FA250000}"/>
    <cellStyle name="40% - Accent4 2 2 4 2 2 3 3" xfId="9727" xr:uid="{00000000-0005-0000-0000-0000FB250000}"/>
    <cellStyle name="40% - Accent4 2 2 4 2 2 4" xfId="9728" xr:uid="{00000000-0005-0000-0000-0000FC250000}"/>
    <cellStyle name="40% - Accent4 2 2 4 2 2 4 2" xfId="9729" xr:uid="{00000000-0005-0000-0000-0000FD250000}"/>
    <cellStyle name="40% - Accent4 2 2 4 2 2 5" xfId="9730" xr:uid="{00000000-0005-0000-0000-0000FE250000}"/>
    <cellStyle name="40% - Accent4 2 2 4 2 3" xfId="9731" xr:uid="{00000000-0005-0000-0000-0000FF250000}"/>
    <cellStyle name="40% - Accent4 2 2 4 2 3 2" xfId="9732" xr:uid="{00000000-0005-0000-0000-000000260000}"/>
    <cellStyle name="40% - Accent4 2 2 4 2 3 2 2" xfId="9733" xr:uid="{00000000-0005-0000-0000-000001260000}"/>
    <cellStyle name="40% - Accent4 2 2 4 2 3 2 2 2" xfId="9734" xr:uid="{00000000-0005-0000-0000-000002260000}"/>
    <cellStyle name="40% - Accent4 2 2 4 2 3 2 3" xfId="9735" xr:uid="{00000000-0005-0000-0000-000003260000}"/>
    <cellStyle name="40% - Accent4 2 2 4 2 3 3" xfId="9736" xr:uid="{00000000-0005-0000-0000-000004260000}"/>
    <cellStyle name="40% - Accent4 2 2 4 2 3 3 2" xfId="9737" xr:uid="{00000000-0005-0000-0000-000005260000}"/>
    <cellStyle name="40% - Accent4 2 2 4 2 3 4" xfId="9738" xr:uid="{00000000-0005-0000-0000-000006260000}"/>
    <cellStyle name="40% - Accent4 2 2 4 2 4" xfId="9739" xr:uid="{00000000-0005-0000-0000-000007260000}"/>
    <cellStyle name="40% - Accent4 2 2 4 2 4 2" xfId="9740" xr:uid="{00000000-0005-0000-0000-000008260000}"/>
    <cellStyle name="40% - Accent4 2 2 4 2 4 2 2" xfId="9741" xr:uid="{00000000-0005-0000-0000-000009260000}"/>
    <cellStyle name="40% - Accent4 2 2 4 2 4 3" xfId="9742" xr:uid="{00000000-0005-0000-0000-00000A260000}"/>
    <cellStyle name="40% - Accent4 2 2 4 2 5" xfId="9743" xr:uid="{00000000-0005-0000-0000-00000B260000}"/>
    <cellStyle name="40% - Accent4 2 2 4 2 5 2" xfId="9744" xr:uid="{00000000-0005-0000-0000-00000C260000}"/>
    <cellStyle name="40% - Accent4 2 2 4 2 6" xfId="9745" xr:uid="{00000000-0005-0000-0000-00000D260000}"/>
    <cellStyle name="40% - Accent4 2 2 4 3" xfId="9746" xr:uid="{00000000-0005-0000-0000-00000E260000}"/>
    <cellStyle name="40% - Accent4 2 2 4 3 2" xfId="9747" xr:uid="{00000000-0005-0000-0000-00000F260000}"/>
    <cellStyle name="40% - Accent4 2 2 4 3 2 2" xfId="9748" xr:uid="{00000000-0005-0000-0000-000010260000}"/>
    <cellStyle name="40% - Accent4 2 2 4 3 2 2 2" xfId="9749" xr:uid="{00000000-0005-0000-0000-000011260000}"/>
    <cellStyle name="40% - Accent4 2 2 4 3 2 2 2 2" xfId="9750" xr:uid="{00000000-0005-0000-0000-000012260000}"/>
    <cellStyle name="40% - Accent4 2 2 4 3 2 2 3" xfId="9751" xr:uid="{00000000-0005-0000-0000-000013260000}"/>
    <cellStyle name="40% - Accent4 2 2 4 3 2 3" xfId="9752" xr:uid="{00000000-0005-0000-0000-000014260000}"/>
    <cellStyle name="40% - Accent4 2 2 4 3 2 3 2" xfId="9753" xr:uid="{00000000-0005-0000-0000-000015260000}"/>
    <cellStyle name="40% - Accent4 2 2 4 3 2 4" xfId="9754" xr:uid="{00000000-0005-0000-0000-000016260000}"/>
    <cellStyle name="40% - Accent4 2 2 4 3 3" xfId="9755" xr:uid="{00000000-0005-0000-0000-000017260000}"/>
    <cellStyle name="40% - Accent4 2 2 4 3 3 2" xfId="9756" xr:uid="{00000000-0005-0000-0000-000018260000}"/>
    <cellStyle name="40% - Accent4 2 2 4 3 3 2 2" xfId="9757" xr:uid="{00000000-0005-0000-0000-000019260000}"/>
    <cellStyle name="40% - Accent4 2 2 4 3 3 3" xfId="9758" xr:uid="{00000000-0005-0000-0000-00001A260000}"/>
    <cellStyle name="40% - Accent4 2 2 4 3 4" xfId="9759" xr:uid="{00000000-0005-0000-0000-00001B260000}"/>
    <cellStyle name="40% - Accent4 2 2 4 3 4 2" xfId="9760" xr:uid="{00000000-0005-0000-0000-00001C260000}"/>
    <cellStyle name="40% - Accent4 2 2 4 3 5" xfId="9761" xr:uid="{00000000-0005-0000-0000-00001D260000}"/>
    <cellStyle name="40% - Accent4 2 2 4 4" xfId="9762" xr:uid="{00000000-0005-0000-0000-00001E260000}"/>
    <cellStyle name="40% - Accent4 2 2 4 4 2" xfId="9763" xr:uid="{00000000-0005-0000-0000-00001F260000}"/>
    <cellStyle name="40% - Accent4 2 2 4 4 2 2" xfId="9764" xr:uid="{00000000-0005-0000-0000-000020260000}"/>
    <cellStyle name="40% - Accent4 2 2 4 4 2 2 2" xfId="9765" xr:uid="{00000000-0005-0000-0000-000021260000}"/>
    <cellStyle name="40% - Accent4 2 2 4 4 2 3" xfId="9766" xr:uid="{00000000-0005-0000-0000-000022260000}"/>
    <cellStyle name="40% - Accent4 2 2 4 4 3" xfId="9767" xr:uid="{00000000-0005-0000-0000-000023260000}"/>
    <cellStyle name="40% - Accent4 2 2 4 4 3 2" xfId="9768" xr:uid="{00000000-0005-0000-0000-000024260000}"/>
    <cellStyle name="40% - Accent4 2 2 4 4 4" xfId="9769" xr:uid="{00000000-0005-0000-0000-000025260000}"/>
    <cellStyle name="40% - Accent4 2 2 4 5" xfId="9770" xr:uid="{00000000-0005-0000-0000-000026260000}"/>
    <cellStyle name="40% - Accent4 2 2 4 5 2" xfId="9771" xr:uid="{00000000-0005-0000-0000-000027260000}"/>
    <cellStyle name="40% - Accent4 2 2 4 5 2 2" xfId="9772" xr:uid="{00000000-0005-0000-0000-000028260000}"/>
    <cellStyle name="40% - Accent4 2 2 4 5 3" xfId="9773" xr:uid="{00000000-0005-0000-0000-000029260000}"/>
    <cellStyle name="40% - Accent4 2 2 4 6" xfId="9774" xr:uid="{00000000-0005-0000-0000-00002A260000}"/>
    <cellStyle name="40% - Accent4 2 2 4 6 2" xfId="9775" xr:uid="{00000000-0005-0000-0000-00002B260000}"/>
    <cellStyle name="40% - Accent4 2 2 4 7" xfId="9776" xr:uid="{00000000-0005-0000-0000-00002C260000}"/>
    <cellStyle name="40% - Accent4 2 2 5" xfId="9777" xr:uid="{00000000-0005-0000-0000-00002D260000}"/>
    <cellStyle name="40% - Accent4 2 2 5 2" xfId="9778" xr:uid="{00000000-0005-0000-0000-00002E260000}"/>
    <cellStyle name="40% - Accent4 2 2 5 2 2" xfId="9779" xr:uid="{00000000-0005-0000-0000-00002F260000}"/>
    <cellStyle name="40% - Accent4 2 2 5 2 2 2" xfId="9780" xr:uid="{00000000-0005-0000-0000-000030260000}"/>
    <cellStyle name="40% - Accent4 2 2 5 2 2 2 2" xfId="9781" xr:uid="{00000000-0005-0000-0000-000031260000}"/>
    <cellStyle name="40% - Accent4 2 2 5 2 2 2 2 2" xfId="9782" xr:uid="{00000000-0005-0000-0000-000032260000}"/>
    <cellStyle name="40% - Accent4 2 2 5 2 2 2 3" xfId="9783" xr:uid="{00000000-0005-0000-0000-000033260000}"/>
    <cellStyle name="40% - Accent4 2 2 5 2 2 3" xfId="9784" xr:uid="{00000000-0005-0000-0000-000034260000}"/>
    <cellStyle name="40% - Accent4 2 2 5 2 2 3 2" xfId="9785" xr:uid="{00000000-0005-0000-0000-000035260000}"/>
    <cellStyle name="40% - Accent4 2 2 5 2 2 4" xfId="9786" xr:uid="{00000000-0005-0000-0000-000036260000}"/>
    <cellStyle name="40% - Accent4 2 2 5 2 3" xfId="9787" xr:uid="{00000000-0005-0000-0000-000037260000}"/>
    <cellStyle name="40% - Accent4 2 2 5 2 3 2" xfId="9788" xr:uid="{00000000-0005-0000-0000-000038260000}"/>
    <cellStyle name="40% - Accent4 2 2 5 2 3 2 2" xfId="9789" xr:uid="{00000000-0005-0000-0000-000039260000}"/>
    <cellStyle name="40% - Accent4 2 2 5 2 3 3" xfId="9790" xr:uid="{00000000-0005-0000-0000-00003A260000}"/>
    <cellStyle name="40% - Accent4 2 2 5 2 4" xfId="9791" xr:uid="{00000000-0005-0000-0000-00003B260000}"/>
    <cellStyle name="40% - Accent4 2 2 5 2 4 2" xfId="9792" xr:uid="{00000000-0005-0000-0000-00003C260000}"/>
    <cellStyle name="40% - Accent4 2 2 5 2 5" xfId="9793" xr:uid="{00000000-0005-0000-0000-00003D260000}"/>
    <cellStyle name="40% - Accent4 2 2 5 3" xfId="9794" xr:uid="{00000000-0005-0000-0000-00003E260000}"/>
    <cellStyle name="40% - Accent4 2 2 5 3 2" xfId="9795" xr:uid="{00000000-0005-0000-0000-00003F260000}"/>
    <cellStyle name="40% - Accent4 2 2 5 3 2 2" xfId="9796" xr:uid="{00000000-0005-0000-0000-000040260000}"/>
    <cellStyle name="40% - Accent4 2 2 5 3 2 2 2" xfId="9797" xr:uid="{00000000-0005-0000-0000-000041260000}"/>
    <cellStyle name="40% - Accent4 2 2 5 3 2 3" xfId="9798" xr:uid="{00000000-0005-0000-0000-000042260000}"/>
    <cellStyle name="40% - Accent4 2 2 5 3 3" xfId="9799" xr:uid="{00000000-0005-0000-0000-000043260000}"/>
    <cellStyle name="40% - Accent4 2 2 5 3 3 2" xfId="9800" xr:uid="{00000000-0005-0000-0000-000044260000}"/>
    <cellStyle name="40% - Accent4 2 2 5 3 4" xfId="9801" xr:uid="{00000000-0005-0000-0000-000045260000}"/>
    <cellStyle name="40% - Accent4 2 2 5 4" xfId="9802" xr:uid="{00000000-0005-0000-0000-000046260000}"/>
    <cellStyle name="40% - Accent4 2 2 5 4 2" xfId="9803" xr:uid="{00000000-0005-0000-0000-000047260000}"/>
    <cellStyle name="40% - Accent4 2 2 5 4 2 2" xfId="9804" xr:uid="{00000000-0005-0000-0000-000048260000}"/>
    <cellStyle name="40% - Accent4 2 2 5 4 3" xfId="9805" xr:uid="{00000000-0005-0000-0000-000049260000}"/>
    <cellStyle name="40% - Accent4 2 2 5 5" xfId="9806" xr:uid="{00000000-0005-0000-0000-00004A260000}"/>
    <cellStyle name="40% - Accent4 2 2 5 5 2" xfId="9807" xr:uid="{00000000-0005-0000-0000-00004B260000}"/>
    <cellStyle name="40% - Accent4 2 2 5 6" xfId="9808" xr:uid="{00000000-0005-0000-0000-00004C260000}"/>
    <cellStyle name="40% - Accent4 2 2 6" xfId="9809" xr:uid="{00000000-0005-0000-0000-00004D260000}"/>
    <cellStyle name="40% - Accent4 2 2 6 2" xfId="9810" xr:uid="{00000000-0005-0000-0000-00004E260000}"/>
    <cellStyle name="40% - Accent4 2 2 6 2 2" xfId="9811" xr:uid="{00000000-0005-0000-0000-00004F260000}"/>
    <cellStyle name="40% - Accent4 2 2 6 2 2 2" xfId="9812" xr:uid="{00000000-0005-0000-0000-000050260000}"/>
    <cellStyle name="40% - Accent4 2 2 6 2 2 2 2" xfId="9813" xr:uid="{00000000-0005-0000-0000-000051260000}"/>
    <cellStyle name="40% - Accent4 2 2 6 2 2 3" xfId="9814" xr:uid="{00000000-0005-0000-0000-000052260000}"/>
    <cellStyle name="40% - Accent4 2 2 6 2 3" xfId="9815" xr:uid="{00000000-0005-0000-0000-000053260000}"/>
    <cellStyle name="40% - Accent4 2 2 6 2 3 2" xfId="9816" xr:uid="{00000000-0005-0000-0000-000054260000}"/>
    <cellStyle name="40% - Accent4 2 2 6 2 4" xfId="9817" xr:uid="{00000000-0005-0000-0000-000055260000}"/>
    <cellStyle name="40% - Accent4 2 2 6 3" xfId="9818" xr:uid="{00000000-0005-0000-0000-000056260000}"/>
    <cellStyle name="40% - Accent4 2 2 6 3 2" xfId="9819" xr:uid="{00000000-0005-0000-0000-000057260000}"/>
    <cellStyle name="40% - Accent4 2 2 6 3 2 2" xfId="9820" xr:uid="{00000000-0005-0000-0000-000058260000}"/>
    <cellStyle name="40% - Accent4 2 2 6 3 3" xfId="9821" xr:uid="{00000000-0005-0000-0000-000059260000}"/>
    <cellStyle name="40% - Accent4 2 2 6 4" xfId="9822" xr:uid="{00000000-0005-0000-0000-00005A260000}"/>
    <cellStyle name="40% - Accent4 2 2 6 4 2" xfId="9823" xr:uid="{00000000-0005-0000-0000-00005B260000}"/>
    <cellStyle name="40% - Accent4 2 2 6 5" xfId="9824" xr:uid="{00000000-0005-0000-0000-00005C260000}"/>
    <cellStyle name="40% - Accent4 2 2 7" xfId="9825" xr:uid="{00000000-0005-0000-0000-00005D260000}"/>
    <cellStyle name="40% - Accent4 2 2 7 2" xfId="9826" xr:uid="{00000000-0005-0000-0000-00005E260000}"/>
    <cellStyle name="40% - Accent4 2 2 7 2 2" xfId="9827" xr:uid="{00000000-0005-0000-0000-00005F260000}"/>
    <cellStyle name="40% - Accent4 2 2 7 2 2 2" xfId="9828" xr:uid="{00000000-0005-0000-0000-000060260000}"/>
    <cellStyle name="40% - Accent4 2 2 7 2 3" xfId="9829" xr:uid="{00000000-0005-0000-0000-000061260000}"/>
    <cellStyle name="40% - Accent4 2 2 7 3" xfId="9830" xr:uid="{00000000-0005-0000-0000-000062260000}"/>
    <cellStyle name="40% - Accent4 2 2 7 3 2" xfId="9831" xr:uid="{00000000-0005-0000-0000-000063260000}"/>
    <cellStyle name="40% - Accent4 2 2 7 4" xfId="9832" xr:uid="{00000000-0005-0000-0000-000064260000}"/>
    <cellStyle name="40% - Accent4 2 2 8" xfId="9833" xr:uid="{00000000-0005-0000-0000-000065260000}"/>
    <cellStyle name="40% - Accent4 2 2 8 2" xfId="9834" xr:uid="{00000000-0005-0000-0000-000066260000}"/>
    <cellStyle name="40% - Accent4 2 2 8 2 2" xfId="9835" xr:uid="{00000000-0005-0000-0000-000067260000}"/>
    <cellStyle name="40% - Accent4 2 2 8 3" xfId="9836" xr:uid="{00000000-0005-0000-0000-000068260000}"/>
    <cellStyle name="40% - Accent4 2 2 9" xfId="9837" xr:uid="{00000000-0005-0000-0000-000069260000}"/>
    <cellStyle name="40% - Accent4 2 2 9 2" xfId="9838" xr:uid="{00000000-0005-0000-0000-00006A260000}"/>
    <cellStyle name="40% - Accent4 2 3" xfId="9839" xr:uid="{00000000-0005-0000-0000-00006B260000}"/>
    <cellStyle name="40% - Accent4 2 3 2" xfId="9840" xr:uid="{00000000-0005-0000-0000-00006C260000}"/>
    <cellStyle name="40% - Accent4 2 3 2 2" xfId="9841" xr:uid="{00000000-0005-0000-0000-00006D260000}"/>
    <cellStyle name="40% - Accent4 2 3 2 2 2" xfId="9842" xr:uid="{00000000-0005-0000-0000-00006E260000}"/>
    <cellStyle name="40% - Accent4 2 3 2 2 2 2" xfId="9843" xr:uid="{00000000-0005-0000-0000-00006F260000}"/>
    <cellStyle name="40% - Accent4 2 3 2 2 2 2 2" xfId="9844" xr:uid="{00000000-0005-0000-0000-000070260000}"/>
    <cellStyle name="40% - Accent4 2 3 2 2 2 2 2 2" xfId="9845" xr:uid="{00000000-0005-0000-0000-000071260000}"/>
    <cellStyle name="40% - Accent4 2 3 2 2 2 2 2 2 2" xfId="9846" xr:uid="{00000000-0005-0000-0000-000072260000}"/>
    <cellStyle name="40% - Accent4 2 3 2 2 2 2 2 2 2 2" xfId="9847" xr:uid="{00000000-0005-0000-0000-000073260000}"/>
    <cellStyle name="40% - Accent4 2 3 2 2 2 2 2 2 3" xfId="9848" xr:uid="{00000000-0005-0000-0000-000074260000}"/>
    <cellStyle name="40% - Accent4 2 3 2 2 2 2 2 3" xfId="9849" xr:uid="{00000000-0005-0000-0000-000075260000}"/>
    <cellStyle name="40% - Accent4 2 3 2 2 2 2 2 3 2" xfId="9850" xr:uid="{00000000-0005-0000-0000-000076260000}"/>
    <cellStyle name="40% - Accent4 2 3 2 2 2 2 2 4" xfId="9851" xr:uid="{00000000-0005-0000-0000-000077260000}"/>
    <cellStyle name="40% - Accent4 2 3 2 2 2 2 3" xfId="9852" xr:uid="{00000000-0005-0000-0000-000078260000}"/>
    <cellStyle name="40% - Accent4 2 3 2 2 2 2 3 2" xfId="9853" xr:uid="{00000000-0005-0000-0000-000079260000}"/>
    <cellStyle name="40% - Accent4 2 3 2 2 2 2 3 2 2" xfId="9854" xr:uid="{00000000-0005-0000-0000-00007A260000}"/>
    <cellStyle name="40% - Accent4 2 3 2 2 2 2 3 3" xfId="9855" xr:uid="{00000000-0005-0000-0000-00007B260000}"/>
    <cellStyle name="40% - Accent4 2 3 2 2 2 2 4" xfId="9856" xr:uid="{00000000-0005-0000-0000-00007C260000}"/>
    <cellStyle name="40% - Accent4 2 3 2 2 2 2 4 2" xfId="9857" xr:uid="{00000000-0005-0000-0000-00007D260000}"/>
    <cellStyle name="40% - Accent4 2 3 2 2 2 2 5" xfId="9858" xr:uid="{00000000-0005-0000-0000-00007E260000}"/>
    <cellStyle name="40% - Accent4 2 3 2 2 2 3" xfId="9859" xr:uid="{00000000-0005-0000-0000-00007F260000}"/>
    <cellStyle name="40% - Accent4 2 3 2 2 2 3 2" xfId="9860" xr:uid="{00000000-0005-0000-0000-000080260000}"/>
    <cellStyle name="40% - Accent4 2 3 2 2 2 3 2 2" xfId="9861" xr:uid="{00000000-0005-0000-0000-000081260000}"/>
    <cellStyle name="40% - Accent4 2 3 2 2 2 3 2 2 2" xfId="9862" xr:uid="{00000000-0005-0000-0000-000082260000}"/>
    <cellStyle name="40% - Accent4 2 3 2 2 2 3 2 3" xfId="9863" xr:uid="{00000000-0005-0000-0000-000083260000}"/>
    <cellStyle name="40% - Accent4 2 3 2 2 2 3 3" xfId="9864" xr:uid="{00000000-0005-0000-0000-000084260000}"/>
    <cellStyle name="40% - Accent4 2 3 2 2 2 3 3 2" xfId="9865" xr:uid="{00000000-0005-0000-0000-000085260000}"/>
    <cellStyle name="40% - Accent4 2 3 2 2 2 3 4" xfId="9866" xr:uid="{00000000-0005-0000-0000-000086260000}"/>
    <cellStyle name="40% - Accent4 2 3 2 2 2 4" xfId="9867" xr:uid="{00000000-0005-0000-0000-000087260000}"/>
    <cellStyle name="40% - Accent4 2 3 2 2 2 4 2" xfId="9868" xr:uid="{00000000-0005-0000-0000-000088260000}"/>
    <cellStyle name="40% - Accent4 2 3 2 2 2 4 2 2" xfId="9869" xr:uid="{00000000-0005-0000-0000-000089260000}"/>
    <cellStyle name="40% - Accent4 2 3 2 2 2 4 3" xfId="9870" xr:uid="{00000000-0005-0000-0000-00008A260000}"/>
    <cellStyle name="40% - Accent4 2 3 2 2 2 5" xfId="9871" xr:uid="{00000000-0005-0000-0000-00008B260000}"/>
    <cellStyle name="40% - Accent4 2 3 2 2 2 5 2" xfId="9872" xr:uid="{00000000-0005-0000-0000-00008C260000}"/>
    <cellStyle name="40% - Accent4 2 3 2 2 2 6" xfId="9873" xr:uid="{00000000-0005-0000-0000-00008D260000}"/>
    <cellStyle name="40% - Accent4 2 3 2 2 3" xfId="9874" xr:uid="{00000000-0005-0000-0000-00008E260000}"/>
    <cellStyle name="40% - Accent4 2 3 2 2 3 2" xfId="9875" xr:uid="{00000000-0005-0000-0000-00008F260000}"/>
    <cellStyle name="40% - Accent4 2 3 2 2 3 2 2" xfId="9876" xr:uid="{00000000-0005-0000-0000-000090260000}"/>
    <cellStyle name="40% - Accent4 2 3 2 2 3 2 2 2" xfId="9877" xr:uid="{00000000-0005-0000-0000-000091260000}"/>
    <cellStyle name="40% - Accent4 2 3 2 2 3 2 2 2 2" xfId="9878" xr:uid="{00000000-0005-0000-0000-000092260000}"/>
    <cellStyle name="40% - Accent4 2 3 2 2 3 2 2 3" xfId="9879" xr:uid="{00000000-0005-0000-0000-000093260000}"/>
    <cellStyle name="40% - Accent4 2 3 2 2 3 2 3" xfId="9880" xr:uid="{00000000-0005-0000-0000-000094260000}"/>
    <cellStyle name="40% - Accent4 2 3 2 2 3 2 3 2" xfId="9881" xr:uid="{00000000-0005-0000-0000-000095260000}"/>
    <cellStyle name="40% - Accent4 2 3 2 2 3 2 4" xfId="9882" xr:uid="{00000000-0005-0000-0000-000096260000}"/>
    <cellStyle name="40% - Accent4 2 3 2 2 3 3" xfId="9883" xr:uid="{00000000-0005-0000-0000-000097260000}"/>
    <cellStyle name="40% - Accent4 2 3 2 2 3 3 2" xfId="9884" xr:uid="{00000000-0005-0000-0000-000098260000}"/>
    <cellStyle name="40% - Accent4 2 3 2 2 3 3 2 2" xfId="9885" xr:uid="{00000000-0005-0000-0000-000099260000}"/>
    <cellStyle name="40% - Accent4 2 3 2 2 3 3 3" xfId="9886" xr:uid="{00000000-0005-0000-0000-00009A260000}"/>
    <cellStyle name="40% - Accent4 2 3 2 2 3 4" xfId="9887" xr:uid="{00000000-0005-0000-0000-00009B260000}"/>
    <cellStyle name="40% - Accent4 2 3 2 2 3 4 2" xfId="9888" xr:uid="{00000000-0005-0000-0000-00009C260000}"/>
    <cellStyle name="40% - Accent4 2 3 2 2 3 5" xfId="9889" xr:uid="{00000000-0005-0000-0000-00009D260000}"/>
    <cellStyle name="40% - Accent4 2 3 2 2 4" xfId="9890" xr:uid="{00000000-0005-0000-0000-00009E260000}"/>
    <cellStyle name="40% - Accent4 2 3 2 2 4 2" xfId="9891" xr:uid="{00000000-0005-0000-0000-00009F260000}"/>
    <cellStyle name="40% - Accent4 2 3 2 2 4 2 2" xfId="9892" xr:uid="{00000000-0005-0000-0000-0000A0260000}"/>
    <cellStyle name="40% - Accent4 2 3 2 2 4 2 2 2" xfId="9893" xr:uid="{00000000-0005-0000-0000-0000A1260000}"/>
    <cellStyle name="40% - Accent4 2 3 2 2 4 2 3" xfId="9894" xr:uid="{00000000-0005-0000-0000-0000A2260000}"/>
    <cellStyle name="40% - Accent4 2 3 2 2 4 3" xfId="9895" xr:uid="{00000000-0005-0000-0000-0000A3260000}"/>
    <cellStyle name="40% - Accent4 2 3 2 2 4 3 2" xfId="9896" xr:uid="{00000000-0005-0000-0000-0000A4260000}"/>
    <cellStyle name="40% - Accent4 2 3 2 2 4 4" xfId="9897" xr:uid="{00000000-0005-0000-0000-0000A5260000}"/>
    <cellStyle name="40% - Accent4 2 3 2 2 5" xfId="9898" xr:uid="{00000000-0005-0000-0000-0000A6260000}"/>
    <cellStyle name="40% - Accent4 2 3 2 2 5 2" xfId="9899" xr:uid="{00000000-0005-0000-0000-0000A7260000}"/>
    <cellStyle name="40% - Accent4 2 3 2 2 5 2 2" xfId="9900" xr:uid="{00000000-0005-0000-0000-0000A8260000}"/>
    <cellStyle name="40% - Accent4 2 3 2 2 5 3" xfId="9901" xr:uid="{00000000-0005-0000-0000-0000A9260000}"/>
    <cellStyle name="40% - Accent4 2 3 2 2 6" xfId="9902" xr:uid="{00000000-0005-0000-0000-0000AA260000}"/>
    <cellStyle name="40% - Accent4 2 3 2 2 6 2" xfId="9903" xr:uid="{00000000-0005-0000-0000-0000AB260000}"/>
    <cellStyle name="40% - Accent4 2 3 2 2 7" xfId="9904" xr:uid="{00000000-0005-0000-0000-0000AC260000}"/>
    <cellStyle name="40% - Accent4 2 3 2 3" xfId="9905" xr:uid="{00000000-0005-0000-0000-0000AD260000}"/>
    <cellStyle name="40% - Accent4 2 3 2 3 2" xfId="9906" xr:uid="{00000000-0005-0000-0000-0000AE260000}"/>
    <cellStyle name="40% - Accent4 2 3 2 3 2 2" xfId="9907" xr:uid="{00000000-0005-0000-0000-0000AF260000}"/>
    <cellStyle name="40% - Accent4 2 3 2 3 2 2 2" xfId="9908" xr:uid="{00000000-0005-0000-0000-0000B0260000}"/>
    <cellStyle name="40% - Accent4 2 3 2 3 2 2 2 2" xfId="9909" xr:uid="{00000000-0005-0000-0000-0000B1260000}"/>
    <cellStyle name="40% - Accent4 2 3 2 3 2 2 2 2 2" xfId="9910" xr:uid="{00000000-0005-0000-0000-0000B2260000}"/>
    <cellStyle name="40% - Accent4 2 3 2 3 2 2 2 3" xfId="9911" xr:uid="{00000000-0005-0000-0000-0000B3260000}"/>
    <cellStyle name="40% - Accent4 2 3 2 3 2 2 3" xfId="9912" xr:uid="{00000000-0005-0000-0000-0000B4260000}"/>
    <cellStyle name="40% - Accent4 2 3 2 3 2 2 3 2" xfId="9913" xr:uid="{00000000-0005-0000-0000-0000B5260000}"/>
    <cellStyle name="40% - Accent4 2 3 2 3 2 2 4" xfId="9914" xr:uid="{00000000-0005-0000-0000-0000B6260000}"/>
    <cellStyle name="40% - Accent4 2 3 2 3 2 3" xfId="9915" xr:uid="{00000000-0005-0000-0000-0000B7260000}"/>
    <cellStyle name="40% - Accent4 2 3 2 3 2 3 2" xfId="9916" xr:uid="{00000000-0005-0000-0000-0000B8260000}"/>
    <cellStyle name="40% - Accent4 2 3 2 3 2 3 2 2" xfId="9917" xr:uid="{00000000-0005-0000-0000-0000B9260000}"/>
    <cellStyle name="40% - Accent4 2 3 2 3 2 3 3" xfId="9918" xr:uid="{00000000-0005-0000-0000-0000BA260000}"/>
    <cellStyle name="40% - Accent4 2 3 2 3 2 4" xfId="9919" xr:uid="{00000000-0005-0000-0000-0000BB260000}"/>
    <cellStyle name="40% - Accent4 2 3 2 3 2 4 2" xfId="9920" xr:uid="{00000000-0005-0000-0000-0000BC260000}"/>
    <cellStyle name="40% - Accent4 2 3 2 3 2 5" xfId="9921" xr:uid="{00000000-0005-0000-0000-0000BD260000}"/>
    <cellStyle name="40% - Accent4 2 3 2 3 3" xfId="9922" xr:uid="{00000000-0005-0000-0000-0000BE260000}"/>
    <cellStyle name="40% - Accent4 2 3 2 3 3 2" xfId="9923" xr:uid="{00000000-0005-0000-0000-0000BF260000}"/>
    <cellStyle name="40% - Accent4 2 3 2 3 3 2 2" xfId="9924" xr:uid="{00000000-0005-0000-0000-0000C0260000}"/>
    <cellStyle name="40% - Accent4 2 3 2 3 3 2 2 2" xfId="9925" xr:uid="{00000000-0005-0000-0000-0000C1260000}"/>
    <cellStyle name="40% - Accent4 2 3 2 3 3 2 3" xfId="9926" xr:uid="{00000000-0005-0000-0000-0000C2260000}"/>
    <cellStyle name="40% - Accent4 2 3 2 3 3 3" xfId="9927" xr:uid="{00000000-0005-0000-0000-0000C3260000}"/>
    <cellStyle name="40% - Accent4 2 3 2 3 3 3 2" xfId="9928" xr:uid="{00000000-0005-0000-0000-0000C4260000}"/>
    <cellStyle name="40% - Accent4 2 3 2 3 3 4" xfId="9929" xr:uid="{00000000-0005-0000-0000-0000C5260000}"/>
    <cellStyle name="40% - Accent4 2 3 2 3 4" xfId="9930" xr:uid="{00000000-0005-0000-0000-0000C6260000}"/>
    <cellStyle name="40% - Accent4 2 3 2 3 4 2" xfId="9931" xr:uid="{00000000-0005-0000-0000-0000C7260000}"/>
    <cellStyle name="40% - Accent4 2 3 2 3 4 2 2" xfId="9932" xr:uid="{00000000-0005-0000-0000-0000C8260000}"/>
    <cellStyle name="40% - Accent4 2 3 2 3 4 3" xfId="9933" xr:uid="{00000000-0005-0000-0000-0000C9260000}"/>
    <cellStyle name="40% - Accent4 2 3 2 3 5" xfId="9934" xr:uid="{00000000-0005-0000-0000-0000CA260000}"/>
    <cellStyle name="40% - Accent4 2 3 2 3 5 2" xfId="9935" xr:uid="{00000000-0005-0000-0000-0000CB260000}"/>
    <cellStyle name="40% - Accent4 2 3 2 3 6" xfId="9936" xr:uid="{00000000-0005-0000-0000-0000CC260000}"/>
    <cellStyle name="40% - Accent4 2 3 2 4" xfId="9937" xr:uid="{00000000-0005-0000-0000-0000CD260000}"/>
    <cellStyle name="40% - Accent4 2 3 2 4 2" xfId="9938" xr:uid="{00000000-0005-0000-0000-0000CE260000}"/>
    <cellStyle name="40% - Accent4 2 3 2 4 2 2" xfId="9939" xr:uid="{00000000-0005-0000-0000-0000CF260000}"/>
    <cellStyle name="40% - Accent4 2 3 2 4 2 2 2" xfId="9940" xr:uid="{00000000-0005-0000-0000-0000D0260000}"/>
    <cellStyle name="40% - Accent4 2 3 2 4 2 2 2 2" xfId="9941" xr:uid="{00000000-0005-0000-0000-0000D1260000}"/>
    <cellStyle name="40% - Accent4 2 3 2 4 2 2 3" xfId="9942" xr:uid="{00000000-0005-0000-0000-0000D2260000}"/>
    <cellStyle name="40% - Accent4 2 3 2 4 2 3" xfId="9943" xr:uid="{00000000-0005-0000-0000-0000D3260000}"/>
    <cellStyle name="40% - Accent4 2 3 2 4 2 3 2" xfId="9944" xr:uid="{00000000-0005-0000-0000-0000D4260000}"/>
    <cellStyle name="40% - Accent4 2 3 2 4 2 4" xfId="9945" xr:uid="{00000000-0005-0000-0000-0000D5260000}"/>
    <cellStyle name="40% - Accent4 2 3 2 4 3" xfId="9946" xr:uid="{00000000-0005-0000-0000-0000D6260000}"/>
    <cellStyle name="40% - Accent4 2 3 2 4 3 2" xfId="9947" xr:uid="{00000000-0005-0000-0000-0000D7260000}"/>
    <cellStyle name="40% - Accent4 2 3 2 4 3 2 2" xfId="9948" xr:uid="{00000000-0005-0000-0000-0000D8260000}"/>
    <cellStyle name="40% - Accent4 2 3 2 4 3 3" xfId="9949" xr:uid="{00000000-0005-0000-0000-0000D9260000}"/>
    <cellStyle name="40% - Accent4 2 3 2 4 4" xfId="9950" xr:uid="{00000000-0005-0000-0000-0000DA260000}"/>
    <cellStyle name="40% - Accent4 2 3 2 4 4 2" xfId="9951" xr:uid="{00000000-0005-0000-0000-0000DB260000}"/>
    <cellStyle name="40% - Accent4 2 3 2 4 5" xfId="9952" xr:uid="{00000000-0005-0000-0000-0000DC260000}"/>
    <cellStyle name="40% - Accent4 2 3 2 5" xfId="9953" xr:uid="{00000000-0005-0000-0000-0000DD260000}"/>
    <cellStyle name="40% - Accent4 2 3 2 5 2" xfId="9954" xr:uid="{00000000-0005-0000-0000-0000DE260000}"/>
    <cellStyle name="40% - Accent4 2 3 2 5 2 2" xfId="9955" xr:uid="{00000000-0005-0000-0000-0000DF260000}"/>
    <cellStyle name="40% - Accent4 2 3 2 5 2 2 2" xfId="9956" xr:uid="{00000000-0005-0000-0000-0000E0260000}"/>
    <cellStyle name="40% - Accent4 2 3 2 5 2 3" xfId="9957" xr:uid="{00000000-0005-0000-0000-0000E1260000}"/>
    <cellStyle name="40% - Accent4 2 3 2 5 3" xfId="9958" xr:uid="{00000000-0005-0000-0000-0000E2260000}"/>
    <cellStyle name="40% - Accent4 2 3 2 5 3 2" xfId="9959" xr:uid="{00000000-0005-0000-0000-0000E3260000}"/>
    <cellStyle name="40% - Accent4 2 3 2 5 4" xfId="9960" xr:uid="{00000000-0005-0000-0000-0000E4260000}"/>
    <cellStyle name="40% - Accent4 2 3 2 6" xfId="9961" xr:uid="{00000000-0005-0000-0000-0000E5260000}"/>
    <cellStyle name="40% - Accent4 2 3 2 6 2" xfId="9962" xr:uid="{00000000-0005-0000-0000-0000E6260000}"/>
    <cellStyle name="40% - Accent4 2 3 2 6 2 2" xfId="9963" xr:uid="{00000000-0005-0000-0000-0000E7260000}"/>
    <cellStyle name="40% - Accent4 2 3 2 6 3" xfId="9964" xr:uid="{00000000-0005-0000-0000-0000E8260000}"/>
    <cellStyle name="40% - Accent4 2 3 2 7" xfId="9965" xr:uid="{00000000-0005-0000-0000-0000E9260000}"/>
    <cellStyle name="40% - Accent4 2 3 2 7 2" xfId="9966" xr:uid="{00000000-0005-0000-0000-0000EA260000}"/>
    <cellStyle name="40% - Accent4 2 3 2 8" xfId="9967" xr:uid="{00000000-0005-0000-0000-0000EB260000}"/>
    <cellStyle name="40% - Accent4 2 3 3" xfId="9968" xr:uid="{00000000-0005-0000-0000-0000EC260000}"/>
    <cellStyle name="40% - Accent4 2 3 3 2" xfId="9969" xr:uid="{00000000-0005-0000-0000-0000ED260000}"/>
    <cellStyle name="40% - Accent4 2 3 3 2 2" xfId="9970" xr:uid="{00000000-0005-0000-0000-0000EE260000}"/>
    <cellStyle name="40% - Accent4 2 3 3 2 2 2" xfId="9971" xr:uid="{00000000-0005-0000-0000-0000EF260000}"/>
    <cellStyle name="40% - Accent4 2 3 3 2 2 2 2" xfId="9972" xr:uid="{00000000-0005-0000-0000-0000F0260000}"/>
    <cellStyle name="40% - Accent4 2 3 3 2 2 2 2 2" xfId="9973" xr:uid="{00000000-0005-0000-0000-0000F1260000}"/>
    <cellStyle name="40% - Accent4 2 3 3 2 2 2 2 2 2" xfId="9974" xr:uid="{00000000-0005-0000-0000-0000F2260000}"/>
    <cellStyle name="40% - Accent4 2 3 3 2 2 2 2 3" xfId="9975" xr:uid="{00000000-0005-0000-0000-0000F3260000}"/>
    <cellStyle name="40% - Accent4 2 3 3 2 2 2 3" xfId="9976" xr:uid="{00000000-0005-0000-0000-0000F4260000}"/>
    <cellStyle name="40% - Accent4 2 3 3 2 2 2 3 2" xfId="9977" xr:uid="{00000000-0005-0000-0000-0000F5260000}"/>
    <cellStyle name="40% - Accent4 2 3 3 2 2 2 4" xfId="9978" xr:uid="{00000000-0005-0000-0000-0000F6260000}"/>
    <cellStyle name="40% - Accent4 2 3 3 2 2 3" xfId="9979" xr:uid="{00000000-0005-0000-0000-0000F7260000}"/>
    <cellStyle name="40% - Accent4 2 3 3 2 2 3 2" xfId="9980" xr:uid="{00000000-0005-0000-0000-0000F8260000}"/>
    <cellStyle name="40% - Accent4 2 3 3 2 2 3 2 2" xfId="9981" xr:uid="{00000000-0005-0000-0000-0000F9260000}"/>
    <cellStyle name="40% - Accent4 2 3 3 2 2 3 3" xfId="9982" xr:uid="{00000000-0005-0000-0000-0000FA260000}"/>
    <cellStyle name="40% - Accent4 2 3 3 2 2 4" xfId="9983" xr:uid="{00000000-0005-0000-0000-0000FB260000}"/>
    <cellStyle name="40% - Accent4 2 3 3 2 2 4 2" xfId="9984" xr:uid="{00000000-0005-0000-0000-0000FC260000}"/>
    <cellStyle name="40% - Accent4 2 3 3 2 2 5" xfId="9985" xr:uid="{00000000-0005-0000-0000-0000FD260000}"/>
    <cellStyle name="40% - Accent4 2 3 3 2 3" xfId="9986" xr:uid="{00000000-0005-0000-0000-0000FE260000}"/>
    <cellStyle name="40% - Accent4 2 3 3 2 3 2" xfId="9987" xr:uid="{00000000-0005-0000-0000-0000FF260000}"/>
    <cellStyle name="40% - Accent4 2 3 3 2 3 2 2" xfId="9988" xr:uid="{00000000-0005-0000-0000-000000270000}"/>
    <cellStyle name="40% - Accent4 2 3 3 2 3 2 2 2" xfId="9989" xr:uid="{00000000-0005-0000-0000-000001270000}"/>
    <cellStyle name="40% - Accent4 2 3 3 2 3 2 3" xfId="9990" xr:uid="{00000000-0005-0000-0000-000002270000}"/>
    <cellStyle name="40% - Accent4 2 3 3 2 3 3" xfId="9991" xr:uid="{00000000-0005-0000-0000-000003270000}"/>
    <cellStyle name="40% - Accent4 2 3 3 2 3 3 2" xfId="9992" xr:uid="{00000000-0005-0000-0000-000004270000}"/>
    <cellStyle name="40% - Accent4 2 3 3 2 3 4" xfId="9993" xr:uid="{00000000-0005-0000-0000-000005270000}"/>
    <cellStyle name="40% - Accent4 2 3 3 2 4" xfId="9994" xr:uid="{00000000-0005-0000-0000-000006270000}"/>
    <cellStyle name="40% - Accent4 2 3 3 2 4 2" xfId="9995" xr:uid="{00000000-0005-0000-0000-000007270000}"/>
    <cellStyle name="40% - Accent4 2 3 3 2 4 2 2" xfId="9996" xr:uid="{00000000-0005-0000-0000-000008270000}"/>
    <cellStyle name="40% - Accent4 2 3 3 2 4 3" xfId="9997" xr:uid="{00000000-0005-0000-0000-000009270000}"/>
    <cellStyle name="40% - Accent4 2 3 3 2 5" xfId="9998" xr:uid="{00000000-0005-0000-0000-00000A270000}"/>
    <cellStyle name="40% - Accent4 2 3 3 2 5 2" xfId="9999" xr:uid="{00000000-0005-0000-0000-00000B270000}"/>
    <cellStyle name="40% - Accent4 2 3 3 2 6" xfId="10000" xr:uid="{00000000-0005-0000-0000-00000C270000}"/>
    <cellStyle name="40% - Accent4 2 3 3 3" xfId="10001" xr:uid="{00000000-0005-0000-0000-00000D270000}"/>
    <cellStyle name="40% - Accent4 2 3 3 3 2" xfId="10002" xr:uid="{00000000-0005-0000-0000-00000E270000}"/>
    <cellStyle name="40% - Accent4 2 3 3 3 2 2" xfId="10003" xr:uid="{00000000-0005-0000-0000-00000F270000}"/>
    <cellStyle name="40% - Accent4 2 3 3 3 2 2 2" xfId="10004" xr:uid="{00000000-0005-0000-0000-000010270000}"/>
    <cellStyle name="40% - Accent4 2 3 3 3 2 2 2 2" xfId="10005" xr:uid="{00000000-0005-0000-0000-000011270000}"/>
    <cellStyle name="40% - Accent4 2 3 3 3 2 2 3" xfId="10006" xr:uid="{00000000-0005-0000-0000-000012270000}"/>
    <cellStyle name="40% - Accent4 2 3 3 3 2 3" xfId="10007" xr:uid="{00000000-0005-0000-0000-000013270000}"/>
    <cellStyle name="40% - Accent4 2 3 3 3 2 3 2" xfId="10008" xr:uid="{00000000-0005-0000-0000-000014270000}"/>
    <cellStyle name="40% - Accent4 2 3 3 3 2 4" xfId="10009" xr:uid="{00000000-0005-0000-0000-000015270000}"/>
    <cellStyle name="40% - Accent4 2 3 3 3 3" xfId="10010" xr:uid="{00000000-0005-0000-0000-000016270000}"/>
    <cellStyle name="40% - Accent4 2 3 3 3 3 2" xfId="10011" xr:uid="{00000000-0005-0000-0000-000017270000}"/>
    <cellStyle name="40% - Accent4 2 3 3 3 3 2 2" xfId="10012" xr:uid="{00000000-0005-0000-0000-000018270000}"/>
    <cellStyle name="40% - Accent4 2 3 3 3 3 3" xfId="10013" xr:uid="{00000000-0005-0000-0000-000019270000}"/>
    <cellStyle name="40% - Accent4 2 3 3 3 4" xfId="10014" xr:uid="{00000000-0005-0000-0000-00001A270000}"/>
    <cellStyle name="40% - Accent4 2 3 3 3 4 2" xfId="10015" xr:uid="{00000000-0005-0000-0000-00001B270000}"/>
    <cellStyle name="40% - Accent4 2 3 3 3 5" xfId="10016" xr:uid="{00000000-0005-0000-0000-00001C270000}"/>
    <cellStyle name="40% - Accent4 2 3 3 4" xfId="10017" xr:uid="{00000000-0005-0000-0000-00001D270000}"/>
    <cellStyle name="40% - Accent4 2 3 3 4 2" xfId="10018" xr:uid="{00000000-0005-0000-0000-00001E270000}"/>
    <cellStyle name="40% - Accent4 2 3 3 4 2 2" xfId="10019" xr:uid="{00000000-0005-0000-0000-00001F270000}"/>
    <cellStyle name="40% - Accent4 2 3 3 4 2 2 2" xfId="10020" xr:uid="{00000000-0005-0000-0000-000020270000}"/>
    <cellStyle name="40% - Accent4 2 3 3 4 2 3" xfId="10021" xr:uid="{00000000-0005-0000-0000-000021270000}"/>
    <cellStyle name="40% - Accent4 2 3 3 4 3" xfId="10022" xr:uid="{00000000-0005-0000-0000-000022270000}"/>
    <cellStyle name="40% - Accent4 2 3 3 4 3 2" xfId="10023" xr:uid="{00000000-0005-0000-0000-000023270000}"/>
    <cellStyle name="40% - Accent4 2 3 3 4 4" xfId="10024" xr:uid="{00000000-0005-0000-0000-000024270000}"/>
    <cellStyle name="40% - Accent4 2 3 3 5" xfId="10025" xr:uid="{00000000-0005-0000-0000-000025270000}"/>
    <cellStyle name="40% - Accent4 2 3 3 5 2" xfId="10026" xr:uid="{00000000-0005-0000-0000-000026270000}"/>
    <cellStyle name="40% - Accent4 2 3 3 5 2 2" xfId="10027" xr:uid="{00000000-0005-0000-0000-000027270000}"/>
    <cellStyle name="40% - Accent4 2 3 3 5 3" xfId="10028" xr:uid="{00000000-0005-0000-0000-000028270000}"/>
    <cellStyle name="40% - Accent4 2 3 3 6" xfId="10029" xr:uid="{00000000-0005-0000-0000-000029270000}"/>
    <cellStyle name="40% - Accent4 2 3 3 6 2" xfId="10030" xr:uid="{00000000-0005-0000-0000-00002A270000}"/>
    <cellStyle name="40% - Accent4 2 3 3 7" xfId="10031" xr:uid="{00000000-0005-0000-0000-00002B270000}"/>
    <cellStyle name="40% - Accent4 2 3 4" xfId="10032" xr:uid="{00000000-0005-0000-0000-00002C270000}"/>
    <cellStyle name="40% - Accent4 2 3 4 2" xfId="10033" xr:uid="{00000000-0005-0000-0000-00002D270000}"/>
    <cellStyle name="40% - Accent4 2 3 4 2 2" xfId="10034" xr:uid="{00000000-0005-0000-0000-00002E270000}"/>
    <cellStyle name="40% - Accent4 2 3 4 2 2 2" xfId="10035" xr:uid="{00000000-0005-0000-0000-00002F270000}"/>
    <cellStyle name="40% - Accent4 2 3 4 2 2 2 2" xfId="10036" xr:uid="{00000000-0005-0000-0000-000030270000}"/>
    <cellStyle name="40% - Accent4 2 3 4 2 2 2 2 2" xfId="10037" xr:uid="{00000000-0005-0000-0000-000031270000}"/>
    <cellStyle name="40% - Accent4 2 3 4 2 2 2 3" xfId="10038" xr:uid="{00000000-0005-0000-0000-000032270000}"/>
    <cellStyle name="40% - Accent4 2 3 4 2 2 3" xfId="10039" xr:uid="{00000000-0005-0000-0000-000033270000}"/>
    <cellStyle name="40% - Accent4 2 3 4 2 2 3 2" xfId="10040" xr:uid="{00000000-0005-0000-0000-000034270000}"/>
    <cellStyle name="40% - Accent4 2 3 4 2 2 4" xfId="10041" xr:uid="{00000000-0005-0000-0000-000035270000}"/>
    <cellStyle name="40% - Accent4 2 3 4 2 3" xfId="10042" xr:uid="{00000000-0005-0000-0000-000036270000}"/>
    <cellStyle name="40% - Accent4 2 3 4 2 3 2" xfId="10043" xr:uid="{00000000-0005-0000-0000-000037270000}"/>
    <cellStyle name="40% - Accent4 2 3 4 2 3 2 2" xfId="10044" xr:uid="{00000000-0005-0000-0000-000038270000}"/>
    <cellStyle name="40% - Accent4 2 3 4 2 3 3" xfId="10045" xr:uid="{00000000-0005-0000-0000-000039270000}"/>
    <cellStyle name="40% - Accent4 2 3 4 2 4" xfId="10046" xr:uid="{00000000-0005-0000-0000-00003A270000}"/>
    <cellStyle name="40% - Accent4 2 3 4 2 4 2" xfId="10047" xr:uid="{00000000-0005-0000-0000-00003B270000}"/>
    <cellStyle name="40% - Accent4 2 3 4 2 5" xfId="10048" xr:uid="{00000000-0005-0000-0000-00003C270000}"/>
    <cellStyle name="40% - Accent4 2 3 4 3" xfId="10049" xr:uid="{00000000-0005-0000-0000-00003D270000}"/>
    <cellStyle name="40% - Accent4 2 3 4 3 2" xfId="10050" xr:uid="{00000000-0005-0000-0000-00003E270000}"/>
    <cellStyle name="40% - Accent4 2 3 4 3 2 2" xfId="10051" xr:uid="{00000000-0005-0000-0000-00003F270000}"/>
    <cellStyle name="40% - Accent4 2 3 4 3 2 2 2" xfId="10052" xr:uid="{00000000-0005-0000-0000-000040270000}"/>
    <cellStyle name="40% - Accent4 2 3 4 3 2 3" xfId="10053" xr:uid="{00000000-0005-0000-0000-000041270000}"/>
    <cellStyle name="40% - Accent4 2 3 4 3 3" xfId="10054" xr:uid="{00000000-0005-0000-0000-000042270000}"/>
    <cellStyle name="40% - Accent4 2 3 4 3 3 2" xfId="10055" xr:uid="{00000000-0005-0000-0000-000043270000}"/>
    <cellStyle name="40% - Accent4 2 3 4 3 4" xfId="10056" xr:uid="{00000000-0005-0000-0000-000044270000}"/>
    <cellStyle name="40% - Accent4 2 3 4 4" xfId="10057" xr:uid="{00000000-0005-0000-0000-000045270000}"/>
    <cellStyle name="40% - Accent4 2 3 4 4 2" xfId="10058" xr:uid="{00000000-0005-0000-0000-000046270000}"/>
    <cellStyle name="40% - Accent4 2 3 4 4 2 2" xfId="10059" xr:uid="{00000000-0005-0000-0000-000047270000}"/>
    <cellStyle name="40% - Accent4 2 3 4 4 3" xfId="10060" xr:uid="{00000000-0005-0000-0000-000048270000}"/>
    <cellStyle name="40% - Accent4 2 3 4 5" xfId="10061" xr:uid="{00000000-0005-0000-0000-000049270000}"/>
    <cellStyle name="40% - Accent4 2 3 4 5 2" xfId="10062" xr:uid="{00000000-0005-0000-0000-00004A270000}"/>
    <cellStyle name="40% - Accent4 2 3 4 6" xfId="10063" xr:uid="{00000000-0005-0000-0000-00004B270000}"/>
    <cellStyle name="40% - Accent4 2 3 5" xfId="10064" xr:uid="{00000000-0005-0000-0000-00004C270000}"/>
    <cellStyle name="40% - Accent4 2 3 5 2" xfId="10065" xr:uid="{00000000-0005-0000-0000-00004D270000}"/>
    <cellStyle name="40% - Accent4 2 3 5 2 2" xfId="10066" xr:uid="{00000000-0005-0000-0000-00004E270000}"/>
    <cellStyle name="40% - Accent4 2 3 5 2 2 2" xfId="10067" xr:uid="{00000000-0005-0000-0000-00004F270000}"/>
    <cellStyle name="40% - Accent4 2 3 5 2 2 2 2" xfId="10068" xr:uid="{00000000-0005-0000-0000-000050270000}"/>
    <cellStyle name="40% - Accent4 2 3 5 2 2 3" xfId="10069" xr:uid="{00000000-0005-0000-0000-000051270000}"/>
    <cellStyle name="40% - Accent4 2 3 5 2 3" xfId="10070" xr:uid="{00000000-0005-0000-0000-000052270000}"/>
    <cellStyle name="40% - Accent4 2 3 5 2 3 2" xfId="10071" xr:uid="{00000000-0005-0000-0000-000053270000}"/>
    <cellStyle name="40% - Accent4 2 3 5 2 4" xfId="10072" xr:uid="{00000000-0005-0000-0000-000054270000}"/>
    <cellStyle name="40% - Accent4 2 3 5 3" xfId="10073" xr:uid="{00000000-0005-0000-0000-000055270000}"/>
    <cellStyle name="40% - Accent4 2 3 5 3 2" xfId="10074" xr:uid="{00000000-0005-0000-0000-000056270000}"/>
    <cellStyle name="40% - Accent4 2 3 5 3 2 2" xfId="10075" xr:uid="{00000000-0005-0000-0000-000057270000}"/>
    <cellStyle name="40% - Accent4 2 3 5 3 3" xfId="10076" xr:uid="{00000000-0005-0000-0000-000058270000}"/>
    <cellStyle name="40% - Accent4 2 3 5 4" xfId="10077" xr:uid="{00000000-0005-0000-0000-000059270000}"/>
    <cellStyle name="40% - Accent4 2 3 5 4 2" xfId="10078" xr:uid="{00000000-0005-0000-0000-00005A270000}"/>
    <cellStyle name="40% - Accent4 2 3 5 5" xfId="10079" xr:uid="{00000000-0005-0000-0000-00005B270000}"/>
    <cellStyle name="40% - Accent4 2 3 6" xfId="10080" xr:uid="{00000000-0005-0000-0000-00005C270000}"/>
    <cellStyle name="40% - Accent4 2 3 6 2" xfId="10081" xr:uid="{00000000-0005-0000-0000-00005D270000}"/>
    <cellStyle name="40% - Accent4 2 3 6 2 2" xfId="10082" xr:uid="{00000000-0005-0000-0000-00005E270000}"/>
    <cellStyle name="40% - Accent4 2 3 6 2 2 2" xfId="10083" xr:uid="{00000000-0005-0000-0000-00005F270000}"/>
    <cellStyle name="40% - Accent4 2 3 6 2 3" xfId="10084" xr:uid="{00000000-0005-0000-0000-000060270000}"/>
    <cellStyle name="40% - Accent4 2 3 6 3" xfId="10085" xr:uid="{00000000-0005-0000-0000-000061270000}"/>
    <cellStyle name="40% - Accent4 2 3 6 3 2" xfId="10086" xr:uid="{00000000-0005-0000-0000-000062270000}"/>
    <cellStyle name="40% - Accent4 2 3 6 4" xfId="10087" xr:uid="{00000000-0005-0000-0000-000063270000}"/>
    <cellStyle name="40% - Accent4 2 3 7" xfId="10088" xr:uid="{00000000-0005-0000-0000-000064270000}"/>
    <cellStyle name="40% - Accent4 2 3 7 2" xfId="10089" xr:uid="{00000000-0005-0000-0000-000065270000}"/>
    <cellStyle name="40% - Accent4 2 3 7 2 2" xfId="10090" xr:uid="{00000000-0005-0000-0000-000066270000}"/>
    <cellStyle name="40% - Accent4 2 3 7 3" xfId="10091" xr:uid="{00000000-0005-0000-0000-000067270000}"/>
    <cellStyle name="40% - Accent4 2 3 8" xfId="10092" xr:uid="{00000000-0005-0000-0000-000068270000}"/>
    <cellStyle name="40% - Accent4 2 3 8 2" xfId="10093" xr:uid="{00000000-0005-0000-0000-000069270000}"/>
    <cellStyle name="40% - Accent4 2 3 9" xfId="10094" xr:uid="{00000000-0005-0000-0000-00006A270000}"/>
    <cellStyle name="40% - Accent4 2 4" xfId="10095" xr:uid="{00000000-0005-0000-0000-00006B270000}"/>
    <cellStyle name="40% - Accent4 2 4 2" xfId="10096" xr:uid="{00000000-0005-0000-0000-00006C270000}"/>
    <cellStyle name="40% - Accent4 2 4 2 2" xfId="10097" xr:uid="{00000000-0005-0000-0000-00006D270000}"/>
    <cellStyle name="40% - Accent4 2 4 2 2 2" xfId="10098" xr:uid="{00000000-0005-0000-0000-00006E270000}"/>
    <cellStyle name="40% - Accent4 2 4 2 2 2 2" xfId="10099" xr:uid="{00000000-0005-0000-0000-00006F270000}"/>
    <cellStyle name="40% - Accent4 2 4 2 2 2 2 2" xfId="10100" xr:uid="{00000000-0005-0000-0000-000070270000}"/>
    <cellStyle name="40% - Accent4 2 4 2 2 2 2 2 2" xfId="10101" xr:uid="{00000000-0005-0000-0000-000071270000}"/>
    <cellStyle name="40% - Accent4 2 4 2 2 2 2 2 2 2" xfId="10102" xr:uid="{00000000-0005-0000-0000-000072270000}"/>
    <cellStyle name="40% - Accent4 2 4 2 2 2 2 2 3" xfId="10103" xr:uid="{00000000-0005-0000-0000-000073270000}"/>
    <cellStyle name="40% - Accent4 2 4 2 2 2 2 3" xfId="10104" xr:uid="{00000000-0005-0000-0000-000074270000}"/>
    <cellStyle name="40% - Accent4 2 4 2 2 2 2 3 2" xfId="10105" xr:uid="{00000000-0005-0000-0000-000075270000}"/>
    <cellStyle name="40% - Accent4 2 4 2 2 2 2 4" xfId="10106" xr:uid="{00000000-0005-0000-0000-000076270000}"/>
    <cellStyle name="40% - Accent4 2 4 2 2 2 3" xfId="10107" xr:uid="{00000000-0005-0000-0000-000077270000}"/>
    <cellStyle name="40% - Accent4 2 4 2 2 2 3 2" xfId="10108" xr:uid="{00000000-0005-0000-0000-000078270000}"/>
    <cellStyle name="40% - Accent4 2 4 2 2 2 3 2 2" xfId="10109" xr:uid="{00000000-0005-0000-0000-000079270000}"/>
    <cellStyle name="40% - Accent4 2 4 2 2 2 3 3" xfId="10110" xr:uid="{00000000-0005-0000-0000-00007A270000}"/>
    <cellStyle name="40% - Accent4 2 4 2 2 2 4" xfId="10111" xr:uid="{00000000-0005-0000-0000-00007B270000}"/>
    <cellStyle name="40% - Accent4 2 4 2 2 2 4 2" xfId="10112" xr:uid="{00000000-0005-0000-0000-00007C270000}"/>
    <cellStyle name="40% - Accent4 2 4 2 2 2 5" xfId="10113" xr:uid="{00000000-0005-0000-0000-00007D270000}"/>
    <cellStyle name="40% - Accent4 2 4 2 2 3" xfId="10114" xr:uid="{00000000-0005-0000-0000-00007E270000}"/>
    <cellStyle name="40% - Accent4 2 4 2 2 3 2" xfId="10115" xr:uid="{00000000-0005-0000-0000-00007F270000}"/>
    <cellStyle name="40% - Accent4 2 4 2 2 3 2 2" xfId="10116" xr:uid="{00000000-0005-0000-0000-000080270000}"/>
    <cellStyle name="40% - Accent4 2 4 2 2 3 2 2 2" xfId="10117" xr:uid="{00000000-0005-0000-0000-000081270000}"/>
    <cellStyle name="40% - Accent4 2 4 2 2 3 2 3" xfId="10118" xr:uid="{00000000-0005-0000-0000-000082270000}"/>
    <cellStyle name="40% - Accent4 2 4 2 2 3 3" xfId="10119" xr:uid="{00000000-0005-0000-0000-000083270000}"/>
    <cellStyle name="40% - Accent4 2 4 2 2 3 3 2" xfId="10120" xr:uid="{00000000-0005-0000-0000-000084270000}"/>
    <cellStyle name="40% - Accent4 2 4 2 2 3 4" xfId="10121" xr:uid="{00000000-0005-0000-0000-000085270000}"/>
    <cellStyle name="40% - Accent4 2 4 2 2 4" xfId="10122" xr:uid="{00000000-0005-0000-0000-000086270000}"/>
    <cellStyle name="40% - Accent4 2 4 2 2 4 2" xfId="10123" xr:uid="{00000000-0005-0000-0000-000087270000}"/>
    <cellStyle name="40% - Accent4 2 4 2 2 4 2 2" xfId="10124" xr:uid="{00000000-0005-0000-0000-000088270000}"/>
    <cellStyle name="40% - Accent4 2 4 2 2 4 3" xfId="10125" xr:uid="{00000000-0005-0000-0000-000089270000}"/>
    <cellStyle name="40% - Accent4 2 4 2 2 5" xfId="10126" xr:uid="{00000000-0005-0000-0000-00008A270000}"/>
    <cellStyle name="40% - Accent4 2 4 2 2 5 2" xfId="10127" xr:uid="{00000000-0005-0000-0000-00008B270000}"/>
    <cellStyle name="40% - Accent4 2 4 2 2 6" xfId="10128" xr:uid="{00000000-0005-0000-0000-00008C270000}"/>
    <cellStyle name="40% - Accent4 2 4 2 3" xfId="10129" xr:uid="{00000000-0005-0000-0000-00008D270000}"/>
    <cellStyle name="40% - Accent4 2 4 2 3 2" xfId="10130" xr:uid="{00000000-0005-0000-0000-00008E270000}"/>
    <cellStyle name="40% - Accent4 2 4 2 3 2 2" xfId="10131" xr:uid="{00000000-0005-0000-0000-00008F270000}"/>
    <cellStyle name="40% - Accent4 2 4 2 3 2 2 2" xfId="10132" xr:uid="{00000000-0005-0000-0000-000090270000}"/>
    <cellStyle name="40% - Accent4 2 4 2 3 2 2 2 2" xfId="10133" xr:uid="{00000000-0005-0000-0000-000091270000}"/>
    <cellStyle name="40% - Accent4 2 4 2 3 2 2 3" xfId="10134" xr:uid="{00000000-0005-0000-0000-000092270000}"/>
    <cellStyle name="40% - Accent4 2 4 2 3 2 3" xfId="10135" xr:uid="{00000000-0005-0000-0000-000093270000}"/>
    <cellStyle name="40% - Accent4 2 4 2 3 2 3 2" xfId="10136" xr:uid="{00000000-0005-0000-0000-000094270000}"/>
    <cellStyle name="40% - Accent4 2 4 2 3 2 4" xfId="10137" xr:uid="{00000000-0005-0000-0000-000095270000}"/>
    <cellStyle name="40% - Accent4 2 4 2 3 3" xfId="10138" xr:uid="{00000000-0005-0000-0000-000096270000}"/>
    <cellStyle name="40% - Accent4 2 4 2 3 3 2" xfId="10139" xr:uid="{00000000-0005-0000-0000-000097270000}"/>
    <cellStyle name="40% - Accent4 2 4 2 3 3 2 2" xfId="10140" xr:uid="{00000000-0005-0000-0000-000098270000}"/>
    <cellStyle name="40% - Accent4 2 4 2 3 3 3" xfId="10141" xr:uid="{00000000-0005-0000-0000-000099270000}"/>
    <cellStyle name="40% - Accent4 2 4 2 3 4" xfId="10142" xr:uid="{00000000-0005-0000-0000-00009A270000}"/>
    <cellStyle name="40% - Accent4 2 4 2 3 4 2" xfId="10143" xr:uid="{00000000-0005-0000-0000-00009B270000}"/>
    <cellStyle name="40% - Accent4 2 4 2 3 5" xfId="10144" xr:uid="{00000000-0005-0000-0000-00009C270000}"/>
    <cellStyle name="40% - Accent4 2 4 2 4" xfId="10145" xr:uid="{00000000-0005-0000-0000-00009D270000}"/>
    <cellStyle name="40% - Accent4 2 4 2 4 2" xfId="10146" xr:uid="{00000000-0005-0000-0000-00009E270000}"/>
    <cellStyle name="40% - Accent4 2 4 2 4 2 2" xfId="10147" xr:uid="{00000000-0005-0000-0000-00009F270000}"/>
    <cellStyle name="40% - Accent4 2 4 2 4 2 2 2" xfId="10148" xr:uid="{00000000-0005-0000-0000-0000A0270000}"/>
    <cellStyle name="40% - Accent4 2 4 2 4 2 3" xfId="10149" xr:uid="{00000000-0005-0000-0000-0000A1270000}"/>
    <cellStyle name="40% - Accent4 2 4 2 4 3" xfId="10150" xr:uid="{00000000-0005-0000-0000-0000A2270000}"/>
    <cellStyle name="40% - Accent4 2 4 2 4 3 2" xfId="10151" xr:uid="{00000000-0005-0000-0000-0000A3270000}"/>
    <cellStyle name="40% - Accent4 2 4 2 4 4" xfId="10152" xr:uid="{00000000-0005-0000-0000-0000A4270000}"/>
    <cellStyle name="40% - Accent4 2 4 2 5" xfId="10153" xr:uid="{00000000-0005-0000-0000-0000A5270000}"/>
    <cellStyle name="40% - Accent4 2 4 2 5 2" xfId="10154" xr:uid="{00000000-0005-0000-0000-0000A6270000}"/>
    <cellStyle name="40% - Accent4 2 4 2 5 2 2" xfId="10155" xr:uid="{00000000-0005-0000-0000-0000A7270000}"/>
    <cellStyle name="40% - Accent4 2 4 2 5 3" xfId="10156" xr:uid="{00000000-0005-0000-0000-0000A8270000}"/>
    <cellStyle name="40% - Accent4 2 4 2 6" xfId="10157" xr:uid="{00000000-0005-0000-0000-0000A9270000}"/>
    <cellStyle name="40% - Accent4 2 4 2 6 2" xfId="10158" xr:uid="{00000000-0005-0000-0000-0000AA270000}"/>
    <cellStyle name="40% - Accent4 2 4 2 7" xfId="10159" xr:uid="{00000000-0005-0000-0000-0000AB270000}"/>
    <cellStyle name="40% - Accent4 2 4 3" xfId="10160" xr:uid="{00000000-0005-0000-0000-0000AC270000}"/>
    <cellStyle name="40% - Accent4 2 4 3 2" xfId="10161" xr:uid="{00000000-0005-0000-0000-0000AD270000}"/>
    <cellStyle name="40% - Accent4 2 4 3 2 2" xfId="10162" xr:uid="{00000000-0005-0000-0000-0000AE270000}"/>
    <cellStyle name="40% - Accent4 2 4 3 2 2 2" xfId="10163" xr:uid="{00000000-0005-0000-0000-0000AF270000}"/>
    <cellStyle name="40% - Accent4 2 4 3 2 2 2 2" xfId="10164" xr:uid="{00000000-0005-0000-0000-0000B0270000}"/>
    <cellStyle name="40% - Accent4 2 4 3 2 2 2 2 2" xfId="10165" xr:uid="{00000000-0005-0000-0000-0000B1270000}"/>
    <cellStyle name="40% - Accent4 2 4 3 2 2 2 3" xfId="10166" xr:uid="{00000000-0005-0000-0000-0000B2270000}"/>
    <cellStyle name="40% - Accent4 2 4 3 2 2 3" xfId="10167" xr:uid="{00000000-0005-0000-0000-0000B3270000}"/>
    <cellStyle name="40% - Accent4 2 4 3 2 2 3 2" xfId="10168" xr:uid="{00000000-0005-0000-0000-0000B4270000}"/>
    <cellStyle name="40% - Accent4 2 4 3 2 2 4" xfId="10169" xr:uid="{00000000-0005-0000-0000-0000B5270000}"/>
    <cellStyle name="40% - Accent4 2 4 3 2 3" xfId="10170" xr:uid="{00000000-0005-0000-0000-0000B6270000}"/>
    <cellStyle name="40% - Accent4 2 4 3 2 3 2" xfId="10171" xr:uid="{00000000-0005-0000-0000-0000B7270000}"/>
    <cellStyle name="40% - Accent4 2 4 3 2 3 2 2" xfId="10172" xr:uid="{00000000-0005-0000-0000-0000B8270000}"/>
    <cellStyle name="40% - Accent4 2 4 3 2 3 3" xfId="10173" xr:uid="{00000000-0005-0000-0000-0000B9270000}"/>
    <cellStyle name="40% - Accent4 2 4 3 2 4" xfId="10174" xr:uid="{00000000-0005-0000-0000-0000BA270000}"/>
    <cellStyle name="40% - Accent4 2 4 3 2 4 2" xfId="10175" xr:uid="{00000000-0005-0000-0000-0000BB270000}"/>
    <cellStyle name="40% - Accent4 2 4 3 2 5" xfId="10176" xr:uid="{00000000-0005-0000-0000-0000BC270000}"/>
    <cellStyle name="40% - Accent4 2 4 3 3" xfId="10177" xr:uid="{00000000-0005-0000-0000-0000BD270000}"/>
    <cellStyle name="40% - Accent4 2 4 3 3 2" xfId="10178" xr:uid="{00000000-0005-0000-0000-0000BE270000}"/>
    <cellStyle name="40% - Accent4 2 4 3 3 2 2" xfId="10179" xr:uid="{00000000-0005-0000-0000-0000BF270000}"/>
    <cellStyle name="40% - Accent4 2 4 3 3 2 2 2" xfId="10180" xr:uid="{00000000-0005-0000-0000-0000C0270000}"/>
    <cellStyle name="40% - Accent4 2 4 3 3 2 3" xfId="10181" xr:uid="{00000000-0005-0000-0000-0000C1270000}"/>
    <cellStyle name="40% - Accent4 2 4 3 3 3" xfId="10182" xr:uid="{00000000-0005-0000-0000-0000C2270000}"/>
    <cellStyle name="40% - Accent4 2 4 3 3 3 2" xfId="10183" xr:uid="{00000000-0005-0000-0000-0000C3270000}"/>
    <cellStyle name="40% - Accent4 2 4 3 3 4" xfId="10184" xr:uid="{00000000-0005-0000-0000-0000C4270000}"/>
    <cellStyle name="40% - Accent4 2 4 3 4" xfId="10185" xr:uid="{00000000-0005-0000-0000-0000C5270000}"/>
    <cellStyle name="40% - Accent4 2 4 3 4 2" xfId="10186" xr:uid="{00000000-0005-0000-0000-0000C6270000}"/>
    <cellStyle name="40% - Accent4 2 4 3 4 2 2" xfId="10187" xr:uid="{00000000-0005-0000-0000-0000C7270000}"/>
    <cellStyle name="40% - Accent4 2 4 3 4 3" xfId="10188" xr:uid="{00000000-0005-0000-0000-0000C8270000}"/>
    <cellStyle name="40% - Accent4 2 4 3 5" xfId="10189" xr:uid="{00000000-0005-0000-0000-0000C9270000}"/>
    <cellStyle name="40% - Accent4 2 4 3 5 2" xfId="10190" xr:uid="{00000000-0005-0000-0000-0000CA270000}"/>
    <cellStyle name="40% - Accent4 2 4 3 6" xfId="10191" xr:uid="{00000000-0005-0000-0000-0000CB270000}"/>
    <cellStyle name="40% - Accent4 2 4 4" xfId="10192" xr:uid="{00000000-0005-0000-0000-0000CC270000}"/>
    <cellStyle name="40% - Accent4 2 4 4 2" xfId="10193" xr:uid="{00000000-0005-0000-0000-0000CD270000}"/>
    <cellStyle name="40% - Accent4 2 4 4 2 2" xfId="10194" xr:uid="{00000000-0005-0000-0000-0000CE270000}"/>
    <cellStyle name="40% - Accent4 2 4 4 2 2 2" xfId="10195" xr:uid="{00000000-0005-0000-0000-0000CF270000}"/>
    <cellStyle name="40% - Accent4 2 4 4 2 2 2 2" xfId="10196" xr:uid="{00000000-0005-0000-0000-0000D0270000}"/>
    <cellStyle name="40% - Accent4 2 4 4 2 2 3" xfId="10197" xr:uid="{00000000-0005-0000-0000-0000D1270000}"/>
    <cellStyle name="40% - Accent4 2 4 4 2 3" xfId="10198" xr:uid="{00000000-0005-0000-0000-0000D2270000}"/>
    <cellStyle name="40% - Accent4 2 4 4 2 3 2" xfId="10199" xr:uid="{00000000-0005-0000-0000-0000D3270000}"/>
    <cellStyle name="40% - Accent4 2 4 4 2 4" xfId="10200" xr:uid="{00000000-0005-0000-0000-0000D4270000}"/>
    <cellStyle name="40% - Accent4 2 4 4 3" xfId="10201" xr:uid="{00000000-0005-0000-0000-0000D5270000}"/>
    <cellStyle name="40% - Accent4 2 4 4 3 2" xfId="10202" xr:uid="{00000000-0005-0000-0000-0000D6270000}"/>
    <cellStyle name="40% - Accent4 2 4 4 3 2 2" xfId="10203" xr:uid="{00000000-0005-0000-0000-0000D7270000}"/>
    <cellStyle name="40% - Accent4 2 4 4 3 3" xfId="10204" xr:uid="{00000000-0005-0000-0000-0000D8270000}"/>
    <cellStyle name="40% - Accent4 2 4 4 4" xfId="10205" xr:uid="{00000000-0005-0000-0000-0000D9270000}"/>
    <cellStyle name="40% - Accent4 2 4 4 4 2" xfId="10206" xr:uid="{00000000-0005-0000-0000-0000DA270000}"/>
    <cellStyle name="40% - Accent4 2 4 4 5" xfId="10207" xr:uid="{00000000-0005-0000-0000-0000DB270000}"/>
    <cellStyle name="40% - Accent4 2 4 5" xfId="10208" xr:uid="{00000000-0005-0000-0000-0000DC270000}"/>
    <cellStyle name="40% - Accent4 2 4 5 2" xfId="10209" xr:uid="{00000000-0005-0000-0000-0000DD270000}"/>
    <cellStyle name="40% - Accent4 2 4 5 2 2" xfId="10210" xr:uid="{00000000-0005-0000-0000-0000DE270000}"/>
    <cellStyle name="40% - Accent4 2 4 5 2 2 2" xfId="10211" xr:uid="{00000000-0005-0000-0000-0000DF270000}"/>
    <cellStyle name="40% - Accent4 2 4 5 2 3" xfId="10212" xr:uid="{00000000-0005-0000-0000-0000E0270000}"/>
    <cellStyle name="40% - Accent4 2 4 5 3" xfId="10213" xr:uid="{00000000-0005-0000-0000-0000E1270000}"/>
    <cellStyle name="40% - Accent4 2 4 5 3 2" xfId="10214" xr:uid="{00000000-0005-0000-0000-0000E2270000}"/>
    <cellStyle name="40% - Accent4 2 4 5 4" xfId="10215" xr:uid="{00000000-0005-0000-0000-0000E3270000}"/>
    <cellStyle name="40% - Accent4 2 4 6" xfId="10216" xr:uid="{00000000-0005-0000-0000-0000E4270000}"/>
    <cellStyle name="40% - Accent4 2 4 6 2" xfId="10217" xr:uid="{00000000-0005-0000-0000-0000E5270000}"/>
    <cellStyle name="40% - Accent4 2 4 6 2 2" xfId="10218" xr:uid="{00000000-0005-0000-0000-0000E6270000}"/>
    <cellStyle name="40% - Accent4 2 4 6 3" xfId="10219" xr:uid="{00000000-0005-0000-0000-0000E7270000}"/>
    <cellStyle name="40% - Accent4 2 4 7" xfId="10220" xr:uid="{00000000-0005-0000-0000-0000E8270000}"/>
    <cellStyle name="40% - Accent4 2 4 7 2" xfId="10221" xr:uid="{00000000-0005-0000-0000-0000E9270000}"/>
    <cellStyle name="40% - Accent4 2 4 8" xfId="10222" xr:uid="{00000000-0005-0000-0000-0000EA270000}"/>
    <cellStyle name="40% - Accent4 2 5" xfId="10223" xr:uid="{00000000-0005-0000-0000-0000EB270000}"/>
    <cellStyle name="40% - Accent4 2 5 2" xfId="10224" xr:uid="{00000000-0005-0000-0000-0000EC270000}"/>
    <cellStyle name="40% - Accent4 2 5 2 2" xfId="10225" xr:uid="{00000000-0005-0000-0000-0000ED270000}"/>
    <cellStyle name="40% - Accent4 2 5 2 2 2" xfId="10226" xr:uid="{00000000-0005-0000-0000-0000EE270000}"/>
    <cellStyle name="40% - Accent4 2 5 2 2 2 2" xfId="10227" xr:uid="{00000000-0005-0000-0000-0000EF270000}"/>
    <cellStyle name="40% - Accent4 2 5 2 2 2 2 2" xfId="10228" xr:uid="{00000000-0005-0000-0000-0000F0270000}"/>
    <cellStyle name="40% - Accent4 2 5 2 2 2 2 2 2" xfId="10229" xr:uid="{00000000-0005-0000-0000-0000F1270000}"/>
    <cellStyle name="40% - Accent4 2 5 2 2 2 2 3" xfId="10230" xr:uid="{00000000-0005-0000-0000-0000F2270000}"/>
    <cellStyle name="40% - Accent4 2 5 2 2 2 3" xfId="10231" xr:uid="{00000000-0005-0000-0000-0000F3270000}"/>
    <cellStyle name="40% - Accent4 2 5 2 2 2 3 2" xfId="10232" xr:uid="{00000000-0005-0000-0000-0000F4270000}"/>
    <cellStyle name="40% - Accent4 2 5 2 2 2 4" xfId="10233" xr:uid="{00000000-0005-0000-0000-0000F5270000}"/>
    <cellStyle name="40% - Accent4 2 5 2 2 3" xfId="10234" xr:uid="{00000000-0005-0000-0000-0000F6270000}"/>
    <cellStyle name="40% - Accent4 2 5 2 2 3 2" xfId="10235" xr:uid="{00000000-0005-0000-0000-0000F7270000}"/>
    <cellStyle name="40% - Accent4 2 5 2 2 3 2 2" xfId="10236" xr:uid="{00000000-0005-0000-0000-0000F8270000}"/>
    <cellStyle name="40% - Accent4 2 5 2 2 3 3" xfId="10237" xr:uid="{00000000-0005-0000-0000-0000F9270000}"/>
    <cellStyle name="40% - Accent4 2 5 2 2 4" xfId="10238" xr:uid="{00000000-0005-0000-0000-0000FA270000}"/>
    <cellStyle name="40% - Accent4 2 5 2 2 4 2" xfId="10239" xr:uid="{00000000-0005-0000-0000-0000FB270000}"/>
    <cellStyle name="40% - Accent4 2 5 2 2 5" xfId="10240" xr:uid="{00000000-0005-0000-0000-0000FC270000}"/>
    <cellStyle name="40% - Accent4 2 5 2 3" xfId="10241" xr:uid="{00000000-0005-0000-0000-0000FD270000}"/>
    <cellStyle name="40% - Accent4 2 5 2 3 2" xfId="10242" xr:uid="{00000000-0005-0000-0000-0000FE270000}"/>
    <cellStyle name="40% - Accent4 2 5 2 3 2 2" xfId="10243" xr:uid="{00000000-0005-0000-0000-0000FF270000}"/>
    <cellStyle name="40% - Accent4 2 5 2 3 2 2 2" xfId="10244" xr:uid="{00000000-0005-0000-0000-000000280000}"/>
    <cellStyle name="40% - Accent4 2 5 2 3 2 3" xfId="10245" xr:uid="{00000000-0005-0000-0000-000001280000}"/>
    <cellStyle name="40% - Accent4 2 5 2 3 3" xfId="10246" xr:uid="{00000000-0005-0000-0000-000002280000}"/>
    <cellStyle name="40% - Accent4 2 5 2 3 3 2" xfId="10247" xr:uid="{00000000-0005-0000-0000-000003280000}"/>
    <cellStyle name="40% - Accent4 2 5 2 3 4" xfId="10248" xr:uid="{00000000-0005-0000-0000-000004280000}"/>
    <cellStyle name="40% - Accent4 2 5 2 4" xfId="10249" xr:uid="{00000000-0005-0000-0000-000005280000}"/>
    <cellStyle name="40% - Accent4 2 5 2 4 2" xfId="10250" xr:uid="{00000000-0005-0000-0000-000006280000}"/>
    <cellStyle name="40% - Accent4 2 5 2 4 2 2" xfId="10251" xr:uid="{00000000-0005-0000-0000-000007280000}"/>
    <cellStyle name="40% - Accent4 2 5 2 4 3" xfId="10252" xr:uid="{00000000-0005-0000-0000-000008280000}"/>
    <cellStyle name="40% - Accent4 2 5 2 5" xfId="10253" xr:uid="{00000000-0005-0000-0000-000009280000}"/>
    <cellStyle name="40% - Accent4 2 5 2 5 2" xfId="10254" xr:uid="{00000000-0005-0000-0000-00000A280000}"/>
    <cellStyle name="40% - Accent4 2 5 2 6" xfId="10255" xr:uid="{00000000-0005-0000-0000-00000B280000}"/>
    <cellStyle name="40% - Accent4 2 5 3" xfId="10256" xr:uid="{00000000-0005-0000-0000-00000C280000}"/>
    <cellStyle name="40% - Accent4 2 5 3 2" xfId="10257" xr:uid="{00000000-0005-0000-0000-00000D280000}"/>
    <cellStyle name="40% - Accent4 2 5 3 2 2" xfId="10258" xr:uid="{00000000-0005-0000-0000-00000E280000}"/>
    <cellStyle name="40% - Accent4 2 5 3 2 2 2" xfId="10259" xr:uid="{00000000-0005-0000-0000-00000F280000}"/>
    <cellStyle name="40% - Accent4 2 5 3 2 2 2 2" xfId="10260" xr:uid="{00000000-0005-0000-0000-000010280000}"/>
    <cellStyle name="40% - Accent4 2 5 3 2 2 3" xfId="10261" xr:uid="{00000000-0005-0000-0000-000011280000}"/>
    <cellStyle name="40% - Accent4 2 5 3 2 3" xfId="10262" xr:uid="{00000000-0005-0000-0000-000012280000}"/>
    <cellStyle name="40% - Accent4 2 5 3 2 3 2" xfId="10263" xr:uid="{00000000-0005-0000-0000-000013280000}"/>
    <cellStyle name="40% - Accent4 2 5 3 2 4" xfId="10264" xr:uid="{00000000-0005-0000-0000-000014280000}"/>
    <cellStyle name="40% - Accent4 2 5 3 3" xfId="10265" xr:uid="{00000000-0005-0000-0000-000015280000}"/>
    <cellStyle name="40% - Accent4 2 5 3 3 2" xfId="10266" xr:uid="{00000000-0005-0000-0000-000016280000}"/>
    <cellStyle name="40% - Accent4 2 5 3 3 2 2" xfId="10267" xr:uid="{00000000-0005-0000-0000-000017280000}"/>
    <cellStyle name="40% - Accent4 2 5 3 3 3" xfId="10268" xr:uid="{00000000-0005-0000-0000-000018280000}"/>
    <cellStyle name="40% - Accent4 2 5 3 4" xfId="10269" xr:uid="{00000000-0005-0000-0000-000019280000}"/>
    <cellStyle name="40% - Accent4 2 5 3 4 2" xfId="10270" xr:uid="{00000000-0005-0000-0000-00001A280000}"/>
    <cellStyle name="40% - Accent4 2 5 3 5" xfId="10271" xr:uid="{00000000-0005-0000-0000-00001B280000}"/>
    <cellStyle name="40% - Accent4 2 5 4" xfId="10272" xr:uid="{00000000-0005-0000-0000-00001C280000}"/>
    <cellStyle name="40% - Accent4 2 5 4 2" xfId="10273" xr:uid="{00000000-0005-0000-0000-00001D280000}"/>
    <cellStyle name="40% - Accent4 2 5 4 2 2" xfId="10274" xr:uid="{00000000-0005-0000-0000-00001E280000}"/>
    <cellStyle name="40% - Accent4 2 5 4 2 2 2" xfId="10275" xr:uid="{00000000-0005-0000-0000-00001F280000}"/>
    <cellStyle name="40% - Accent4 2 5 4 2 3" xfId="10276" xr:uid="{00000000-0005-0000-0000-000020280000}"/>
    <cellStyle name="40% - Accent4 2 5 4 3" xfId="10277" xr:uid="{00000000-0005-0000-0000-000021280000}"/>
    <cellStyle name="40% - Accent4 2 5 4 3 2" xfId="10278" xr:uid="{00000000-0005-0000-0000-000022280000}"/>
    <cellStyle name="40% - Accent4 2 5 4 4" xfId="10279" xr:uid="{00000000-0005-0000-0000-000023280000}"/>
    <cellStyle name="40% - Accent4 2 5 5" xfId="10280" xr:uid="{00000000-0005-0000-0000-000024280000}"/>
    <cellStyle name="40% - Accent4 2 5 5 2" xfId="10281" xr:uid="{00000000-0005-0000-0000-000025280000}"/>
    <cellStyle name="40% - Accent4 2 5 5 2 2" xfId="10282" xr:uid="{00000000-0005-0000-0000-000026280000}"/>
    <cellStyle name="40% - Accent4 2 5 5 3" xfId="10283" xr:uid="{00000000-0005-0000-0000-000027280000}"/>
    <cellStyle name="40% - Accent4 2 5 6" xfId="10284" xr:uid="{00000000-0005-0000-0000-000028280000}"/>
    <cellStyle name="40% - Accent4 2 5 6 2" xfId="10285" xr:uid="{00000000-0005-0000-0000-000029280000}"/>
    <cellStyle name="40% - Accent4 2 5 7" xfId="10286" xr:uid="{00000000-0005-0000-0000-00002A280000}"/>
    <cellStyle name="40% - Accent4 2 6" xfId="10287" xr:uid="{00000000-0005-0000-0000-00002B280000}"/>
    <cellStyle name="40% - Accent4 2 6 2" xfId="10288" xr:uid="{00000000-0005-0000-0000-00002C280000}"/>
    <cellStyle name="40% - Accent4 2 6 2 2" xfId="10289" xr:uid="{00000000-0005-0000-0000-00002D280000}"/>
    <cellStyle name="40% - Accent4 2 6 2 2 2" xfId="10290" xr:uid="{00000000-0005-0000-0000-00002E280000}"/>
    <cellStyle name="40% - Accent4 2 6 2 2 2 2" xfId="10291" xr:uid="{00000000-0005-0000-0000-00002F280000}"/>
    <cellStyle name="40% - Accent4 2 6 2 2 2 2 2" xfId="10292" xr:uid="{00000000-0005-0000-0000-000030280000}"/>
    <cellStyle name="40% - Accent4 2 6 2 2 2 3" xfId="10293" xr:uid="{00000000-0005-0000-0000-000031280000}"/>
    <cellStyle name="40% - Accent4 2 6 2 2 3" xfId="10294" xr:uid="{00000000-0005-0000-0000-000032280000}"/>
    <cellStyle name="40% - Accent4 2 6 2 2 3 2" xfId="10295" xr:uid="{00000000-0005-0000-0000-000033280000}"/>
    <cellStyle name="40% - Accent4 2 6 2 2 4" xfId="10296" xr:uid="{00000000-0005-0000-0000-000034280000}"/>
    <cellStyle name="40% - Accent4 2 6 2 3" xfId="10297" xr:uid="{00000000-0005-0000-0000-000035280000}"/>
    <cellStyle name="40% - Accent4 2 6 2 3 2" xfId="10298" xr:uid="{00000000-0005-0000-0000-000036280000}"/>
    <cellStyle name="40% - Accent4 2 6 2 3 2 2" xfId="10299" xr:uid="{00000000-0005-0000-0000-000037280000}"/>
    <cellStyle name="40% - Accent4 2 6 2 3 3" xfId="10300" xr:uid="{00000000-0005-0000-0000-000038280000}"/>
    <cellStyle name="40% - Accent4 2 6 2 4" xfId="10301" xr:uid="{00000000-0005-0000-0000-000039280000}"/>
    <cellStyle name="40% - Accent4 2 6 2 4 2" xfId="10302" xr:uid="{00000000-0005-0000-0000-00003A280000}"/>
    <cellStyle name="40% - Accent4 2 6 2 5" xfId="10303" xr:uid="{00000000-0005-0000-0000-00003B280000}"/>
    <cellStyle name="40% - Accent4 2 6 3" xfId="10304" xr:uid="{00000000-0005-0000-0000-00003C280000}"/>
    <cellStyle name="40% - Accent4 2 6 3 2" xfId="10305" xr:uid="{00000000-0005-0000-0000-00003D280000}"/>
    <cellStyle name="40% - Accent4 2 6 3 2 2" xfId="10306" xr:uid="{00000000-0005-0000-0000-00003E280000}"/>
    <cellStyle name="40% - Accent4 2 6 3 2 2 2" xfId="10307" xr:uid="{00000000-0005-0000-0000-00003F280000}"/>
    <cellStyle name="40% - Accent4 2 6 3 2 3" xfId="10308" xr:uid="{00000000-0005-0000-0000-000040280000}"/>
    <cellStyle name="40% - Accent4 2 6 3 3" xfId="10309" xr:uid="{00000000-0005-0000-0000-000041280000}"/>
    <cellStyle name="40% - Accent4 2 6 3 3 2" xfId="10310" xr:uid="{00000000-0005-0000-0000-000042280000}"/>
    <cellStyle name="40% - Accent4 2 6 3 4" xfId="10311" xr:uid="{00000000-0005-0000-0000-000043280000}"/>
    <cellStyle name="40% - Accent4 2 6 4" xfId="10312" xr:uid="{00000000-0005-0000-0000-000044280000}"/>
    <cellStyle name="40% - Accent4 2 6 4 2" xfId="10313" xr:uid="{00000000-0005-0000-0000-000045280000}"/>
    <cellStyle name="40% - Accent4 2 6 4 2 2" xfId="10314" xr:uid="{00000000-0005-0000-0000-000046280000}"/>
    <cellStyle name="40% - Accent4 2 6 4 3" xfId="10315" xr:uid="{00000000-0005-0000-0000-000047280000}"/>
    <cellStyle name="40% - Accent4 2 6 5" xfId="10316" xr:uid="{00000000-0005-0000-0000-000048280000}"/>
    <cellStyle name="40% - Accent4 2 6 5 2" xfId="10317" xr:uid="{00000000-0005-0000-0000-000049280000}"/>
    <cellStyle name="40% - Accent4 2 6 6" xfId="10318" xr:uid="{00000000-0005-0000-0000-00004A280000}"/>
    <cellStyle name="40% - Accent4 2 7" xfId="10319" xr:uid="{00000000-0005-0000-0000-00004B280000}"/>
    <cellStyle name="40% - Accent4 2 7 2" xfId="10320" xr:uid="{00000000-0005-0000-0000-00004C280000}"/>
    <cellStyle name="40% - Accent4 2 7 2 2" xfId="10321" xr:uid="{00000000-0005-0000-0000-00004D280000}"/>
    <cellStyle name="40% - Accent4 2 7 2 2 2" xfId="10322" xr:uid="{00000000-0005-0000-0000-00004E280000}"/>
    <cellStyle name="40% - Accent4 2 7 2 2 2 2" xfId="10323" xr:uid="{00000000-0005-0000-0000-00004F280000}"/>
    <cellStyle name="40% - Accent4 2 7 2 2 3" xfId="10324" xr:uid="{00000000-0005-0000-0000-000050280000}"/>
    <cellStyle name="40% - Accent4 2 7 2 3" xfId="10325" xr:uid="{00000000-0005-0000-0000-000051280000}"/>
    <cellStyle name="40% - Accent4 2 7 2 3 2" xfId="10326" xr:uid="{00000000-0005-0000-0000-000052280000}"/>
    <cellStyle name="40% - Accent4 2 7 2 4" xfId="10327" xr:uid="{00000000-0005-0000-0000-000053280000}"/>
    <cellStyle name="40% - Accent4 2 7 3" xfId="10328" xr:uid="{00000000-0005-0000-0000-000054280000}"/>
    <cellStyle name="40% - Accent4 2 7 3 2" xfId="10329" xr:uid="{00000000-0005-0000-0000-000055280000}"/>
    <cellStyle name="40% - Accent4 2 7 3 2 2" xfId="10330" xr:uid="{00000000-0005-0000-0000-000056280000}"/>
    <cellStyle name="40% - Accent4 2 7 3 3" xfId="10331" xr:uid="{00000000-0005-0000-0000-000057280000}"/>
    <cellStyle name="40% - Accent4 2 7 4" xfId="10332" xr:uid="{00000000-0005-0000-0000-000058280000}"/>
    <cellStyle name="40% - Accent4 2 7 4 2" xfId="10333" xr:uid="{00000000-0005-0000-0000-000059280000}"/>
    <cellStyle name="40% - Accent4 2 7 5" xfId="10334" xr:uid="{00000000-0005-0000-0000-00005A280000}"/>
    <cellStyle name="40% - Accent4 2 8" xfId="10335" xr:uid="{00000000-0005-0000-0000-00005B280000}"/>
    <cellStyle name="40% - Accent4 2 8 2" xfId="10336" xr:uid="{00000000-0005-0000-0000-00005C280000}"/>
    <cellStyle name="40% - Accent4 2 8 2 2" xfId="10337" xr:uid="{00000000-0005-0000-0000-00005D280000}"/>
    <cellStyle name="40% - Accent4 2 8 2 2 2" xfId="10338" xr:uid="{00000000-0005-0000-0000-00005E280000}"/>
    <cellStyle name="40% - Accent4 2 8 2 3" xfId="10339" xr:uid="{00000000-0005-0000-0000-00005F280000}"/>
    <cellStyle name="40% - Accent4 2 8 3" xfId="10340" xr:uid="{00000000-0005-0000-0000-000060280000}"/>
    <cellStyle name="40% - Accent4 2 8 3 2" xfId="10341" xr:uid="{00000000-0005-0000-0000-000061280000}"/>
    <cellStyle name="40% - Accent4 2 8 4" xfId="10342" xr:uid="{00000000-0005-0000-0000-000062280000}"/>
    <cellStyle name="40% - Accent4 2 9" xfId="10343" xr:uid="{00000000-0005-0000-0000-000063280000}"/>
    <cellStyle name="40% - Accent4 2 9 2" xfId="10344" xr:uid="{00000000-0005-0000-0000-000064280000}"/>
    <cellStyle name="40% - Accent4 2 9 2 2" xfId="10345" xr:uid="{00000000-0005-0000-0000-000065280000}"/>
    <cellStyle name="40% - Accent4 2 9 3" xfId="10346" xr:uid="{00000000-0005-0000-0000-000066280000}"/>
    <cellStyle name="40% - Accent4 3" xfId="10347" xr:uid="{00000000-0005-0000-0000-000067280000}"/>
    <cellStyle name="40% - Accent4 4" xfId="10348" xr:uid="{00000000-0005-0000-0000-000068280000}"/>
    <cellStyle name="40% - Accent4 5" xfId="10349" xr:uid="{00000000-0005-0000-0000-000069280000}"/>
    <cellStyle name="40% - Accent4 6" xfId="10350" xr:uid="{00000000-0005-0000-0000-00006A280000}"/>
    <cellStyle name="40% - Accent4 7" xfId="10351" xr:uid="{00000000-0005-0000-0000-00006B280000}"/>
    <cellStyle name="40% - Accent4 8" xfId="10352" xr:uid="{00000000-0005-0000-0000-00006C280000}"/>
    <cellStyle name="40% - Accent4 9" xfId="10353" xr:uid="{00000000-0005-0000-0000-00006D280000}"/>
    <cellStyle name="40% - Accent5 10" xfId="10354" xr:uid="{00000000-0005-0000-0000-00006E280000}"/>
    <cellStyle name="40% - Accent5 11" xfId="10355" xr:uid="{00000000-0005-0000-0000-00006F280000}"/>
    <cellStyle name="40% - Accent5 12" xfId="10356" xr:uid="{00000000-0005-0000-0000-000070280000}"/>
    <cellStyle name="40% - Accent5 13" xfId="10357" xr:uid="{00000000-0005-0000-0000-000071280000}"/>
    <cellStyle name="40% - Accent5 2" xfId="10358" xr:uid="{00000000-0005-0000-0000-000072280000}"/>
    <cellStyle name="40% - Accent5 2 10" xfId="10359" xr:uid="{00000000-0005-0000-0000-000073280000}"/>
    <cellStyle name="40% - Accent5 2 10 2" xfId="10360" xr:uid="{00000000-0005-0000-0000-000074280000}"/>
    <cellStyle name="40% - Accent5 2 11" xfId="10361" xr:uid="{00000000-0005-0000-0000-000075280000}"/>
    <cellStyle name="40% - Accent5 2 2" xfId="10362" xr:uid="{00000000-0005-0000-0000-000076280000}"/>
    <cellStyle name="40% - Accent5 2 2 10" xfId="10363" xr:uid="{00000000-0005-0000-0000-000077280000}"/>
    <cellStyle name="40% - Accent5 2 2 2" xfId="10364" xr:uid="{00000000-0005-0000-0000-000078280000}"/>
    <cellStyle name="40% - Accent5 2 2 2 2" xfId="10365" xr:uid="{00000000-0005-0000-0000-000079280000}"/>
    <cellStyle name="40% - Accent5 2 2 2 2 2" xfId="10366" xr:uid="{00000000-0005-0000-0000-00007A280000}"/>
    <cellStyle name="40% - Accent5 2 2 2 2 2 2" xfId="10367" xr:uid="{00000000-0005-0000-0000-00007B280000}"/>
    <cellStyle name="40% - Accent5 2 2 2 2 2 2 2" xfId="10368" xr:uid="{00000000-0005-0000-0000-00007C280000}"/>
    <cellStyle name="40% - Accent5 2 2 2 2 2 2 2 2" xfId="10369" xr:uid="{00000000-0005-0000-0000-00007D280000}"/>
    <cellStyle name="40% - Accent5 2 2 2 2 2 2 2 2 2" xfId="10370" xr:uid="{00000000-0005-0000-0000-00007E280000}"/>
    <cellStyle name="40% - Accent5 2 2 2 2 2 2 2 2 2 2" xfId="10371" xr:uid="{00000000-0005-0000-0000-00007F280000}"/>
    <cellStyle name="40% - Accent5 2 2 2 2 2 2 2 2 2 2 2" xfId="10372" xr:uid="{00000000-0005-0000-0000-000080280000}"/>
    <cellStyle name="40% - Accent5 2 2 2 2 2 2 2 2 2 3" xfId="10373" xr:uid="{00000000-0005-0000-0000-000081280000}"/>
    <cellStyle name="40% - Accent5 2 2 2 2 2 2 2 2 3" xfId="10374" xr:uid="{00000000-0005-0000-0000-000082280000}"/>
    <cellStyle name="40% - Accent5 2 2 2 2 2 2 2 2 3 2" xfId="10375" xr:uid="{00000000-0005-0000-0000-000083280000}"/>
    <cellStyle name="40% - Accent5 2 2 2 2 2 2 2 2 4" xfId="10376" xr:uid="{00000000-0005-0000-0000-000084280000}"/>
    <cellStyle name="40% - Accent5 2 2 2 2 2 2 2 3" xfId="10377" xr:uid="{00000000-0005-0000-0000-000085280000}"/>
    <cellStyle name="40% - Accent5 2 2 2 2 2 2 2 3 2" xfId="10378" xr:uid="{00000000-0005-0000-0000-000086280000}"/>
    <cellStyle name="40% - Accent5 2 2 2 2 2 2 2 3 2 2" xfId="10379" xr:uid="{00000000-0005-0000-0000-000087280000}"/>
    <cellStyle name="40% - Accent5 2 2 2 2 2 2 2 3 3" xfId="10380" xr:uid="{00000000-0005-0000-0000-000088280000}"/>
    <cellStyle name="40% - Accent5 2 2 2 2 2 2 2 4" xfId="10381" xr:uid="{00000000-0005-0000-0000-000089280000}"/>
    <cellStyle name="40% - Accent5 2 2 2 2 2 2 2 4 2" xfId="10382" xr:uid="{00000000-0005-0000-0000-00008A280000}"/>
    <cellStyle name="40% - Accent5 2 2 2 2 2 2 2 5" xfId="10383" xr:uid="{00000000-0005-0000-0000-00008B280000}"/>
    <cellStyle name="40% - Accent5 2 2 2 2 2 2 3" xfId="10384" xr:uid="{00000000-0005-0000-0000-00008C280000}"/>
    <cellStyle name="40% - Accent5 2 2 2 2 2 2 3 2" xfId="10385" xr:uid="{00000000-0005-0000-0000-00008D280000}"/>
    <cellStyle name="40% - Accent5 2 2 2 2 2 2 3 2 2" xfId="10386" xr:uid="{00000000-0005-0000-0000-00008E280000}"/>
    <cellStyle name="40% - Accent5 2 2 2 2 2 2 3 2 2 2" xfId="10387" xr:uid="{00000000-0005-0000-0000-00008F280000}"/>
    <cellStyle name="40% - Accent5 2 2 2 2 2 2 3 2 3" xfId="10388" xr:uid="{00000000-0005-0000-0000-000090280000}"/>
    <cellStyle name="40% - Accent5 2 2 2 2 2 2 3 3" xfId="10389" xr:uid="{00000000-0005-0000-0000-000091280000}"/>
    <cellStyle name="40% - Accent5 2 2 2 2 2 2 3 3 2" xfId="10390" xr:uid="{00000000-0005-0000-0000-000092280000}"/>
    <cellStyle name="40% - Accent5 2 2 2 2 2 2 3 4" xfId="10391" xr:uid="{00000000-0005-0000-0000-000093280000}"/>
    <cellStyle name="40% - Accent5 2 2 2 2 2 2 4" xfId="10392" xr:uid="{00000000-0005-0000-0000-000094280000}"/>
    <cellStyle name="40% - Accent5 2 2 2 2 2 2 4 2" xfId="10393" xr:uid="{00000000-0005-0000-0000-000095280000}"/>
    <cellStyle name="40% - Accent5 2 2 2 2 2 2 4 2 2" xfId="10394" xr:uid="{00000000-0005-0000-0000-000096280000}"/>
    <cellStyle name="40% - Accent5 2 2 2 2 2 2 4 3" xfId="10395" xr:uid="{00000000-0005-0000-0000-000097280000}"/>
    <cellStyle name="40% - Accent5 2 2 2 2 2 2 5" xfId="10396" xr:uid="{00000000-0005-0000-0000-000098280000}"/>
    <cellStyle name="40% - Accent5 2 2 2 2 2 2 5 2" xfId="10397" xr:uid="{00000000-0005-0000-0000-000099280000}"/>
    <cellStyle name="40% - Accent5 2 2 2 2 2 2 6" xfId="10398" xr:uid="{00000000-0005-0000-0000-00009A280000}"/>
    <cellStyle name="40% - Accent5 2 2 2 2 2 3" xfId="10399" xr:uid="{00000000-0005-0000-0000-00009B280000}"/>
    <cellStyle name="40% - Accent5 2 2 2 2 2 3 2" xfId="10400" xr:uid="{00000000-0005-0000-0000-00009C280000}"/>
    <cellStyle name="40% - Accent5 2 2 2 2 2 3 2 2" xfId="10401" xr:uid="{00000000-0005-0000-0000-00009D280000}"/>
    <cellStyle name="40% - Accent5 2 2 2 2 2 3 2 2 2" xfId="10402" xr:uid="{00000000-0005-0000-0000-00009E280000}"/>
    <cellStyle name="40% - Accent5 2 2 2 2 2 3 2 2 2 2" xfId="10403" xr:uid="{00000000-0005-0000-0000-00009F280000}"/>
    <cellStyle name="40% - Accent5 2 2 2 2 2 3 2 2 3" xfId="10404" xr:uid="{00000000-0005-0000-0000-0000A0280000}"/>
    <cellStyle name="40% - Accent5 2 2 2 2 2 3 2 3" xfId="10405" xr:uid="{00000000-0005-0000-0000-0000A1280000}"/>
    <cellStyle name="40% - Accent5 2 2 2 2 2 3 2 3 2" xfId="10406" xr:uid="{00000000-0005-0000-0000-0000A2280000}"/>
    <cellStyle name="40% - Accent5 2 2 2 2 2 3 2 4" xfId="10407" xr:uid="{00000000-0005-0000-0000-0000A3280000}"/>
    <cellStyle name="40% - Accent5 2 2 2 2 2 3 3" xfId="10408" xr:uid="{00000000-0005-0000-0000-0000A4280000}"/>
    <cellStyle name="40% - Accent5 2 2 2 2 2 3 3 2" xfId="10409" xr:uid="{00000000-0005-0000-0000-0000A5280000}"/>
    <cellStyle name="40% - Accent5 2 2 2 2 2 3 3 2 2" xfId="10410" xr:uid="{00000000-0005-0000-0000-0000A6280000}"/>
    <cellStyle name="40% - Accent5 2 2 2 2 2 3 3 3" xfId="10411" xr:uid="{00000000-0005-0000-0000-0000A7280000}"/>
    <cellStyle name="40% - Accent5 2 2 2 2 2 3 4" xfId="10412" xr:uid="{00000000-0005-0000-0000-0000A8280000}"/>
    <cellStyle name="40% - Accent5 2 2 2 2 2 3 4 2" xfId="10413" xr:uid="{00000000-0005-0000-0000-0000A9280000}"/>
    <cellStyle name="40% - Accent5 2 2 2 2 2 3 5" xfId="10414" xr:uid="{00000000-0005-0000-0000-0000AA280000}"/>
    <cellStyle name="40% - Accent5 2 2 2 2 2 4" xfId="10415" xr:uid="{00000000-0005-0000-0000-0000AB280000}"/>
    <cellStyle name="40% - Accent5 2 2 2 2 2 4 2" xfId="10416" xr:uid="{00000000-0005-0000-0000-0000AC280000}"/>
    <cellStyle name="40% - Accent5 2 2 2 2 2 4 2 2" xfId="10417" xr:uid="{00000000-0005-0000-0000-0000AD280000}"/>
    <cellStyle name="40% - Accent5 2 2 2 2 2 4 2 2 2" xfId="10418" xr:uid="{00000000-0005-0000-0000-0000AE280000}"/>
    <cellStyle name="40% - Accent5 2 2 2 2 2 4 2 3" xfId="10419" xr:uid="{00000000-0005-0000-0000-0000AF280000}"/>
    <cellStyle name="40% - Accent5 2 2 2 2 2 4 3" xfId="10420" xr:uid="{00000000-0005-0000-0000-0000B0280000}"/>
    <cellStyle name="40% - Accent5 2 2 2 2 2 4 3 2" xfId="10421" xr:uid="{00000000-0005-0000-0000-0000B1280000}"/>
    <cellStyle name="40% - Accent5 2 2 2 2 2 4 4" xfId="10422" xr:uid="{00000000-0005-0000-0000-0000B2280000}"/>
    <cellStyle name="40% - Accent5 2 2 2 2 2 5" xfId="10423" xr:uid="{00000000-0005-0000-0000-0000B3280000}"/>
    <cellStyle name="40% - Accent5 2 2 2 2 2 5 2" xfId="10424" xr:uid="{00000000-0005-0000-0000-0000B4280000}"/>
    <cellStyle name="40% - Accent5 2 2 2 2 2 5 2 2" xfId="10425" xr:uid="{00000000-0005-0000-0000-0000B5280000}"/>
    <cellStyle name="40% - Accent5 2 2 2 2 2 5 3" xfId="10426" xr:uid="{00000000-0005-0000-0000-0000B6280000}"/>
    <cellStyle name="40% - Accent5 2 2 2 2 2 6" xfId="10427" xr:uid="{00000000-0005-0000-0000-0000B7280000}"/>
    <cellStyle name="40% - Accent5 2 2 2 2 2 6 2" xfId="10428" xr:uid="{00000000-0005-0000-0000-0000B8280000}"/>
    <cellStyle name="40% - Accent5 2 2 2 2 2 7" xfId="10429" xr:uid="{00000000-0005-0000-0000-0000B9280000}"/>
    <cellStyle name="40% - Accent5 2 2 2 2 3" xfId="10430" xr:uid="{00000000-0005-0000-0000-0000BA280000}"/>
    <cellStyle name="40% - Accent5 2 2 2 2 3 2" xfId="10431" xr:uid="{00000000-0005-0000-0000-0000BB280000}"/>
    <cellStyle name="40% - Accent5 2 2 2 2 3 2 2" xfId="10432" xr:uid="{00000000-0005-0000-0000-0000BC280000}"/>
    <cellStyle name="40% - Accent5 2 2 2 2 3 2 2 2" xfId="10433" xr:uid="{00000000-0005-0000-0000-0000BD280000}"/>
    <cellStyle name="40% - Accent5 2 2 2 2 3 2 2 2 2" xfId="10434" xr:uid="{00000000-0005-0000-0000-0000BE280000}"/>
    <cellStyle name="40% - Accent5 2 2 2 2 3 2 2 2 2 2" xfId="10435" xr:uid="{00000000-0005-0000-0000-0000BF280000}"/>
    <cellStyle name="40% - Accent5 2 2 2 2 3 2 2 2 3" xfId="10436" xr:uid="{00000000-0005-0000-0000-0000C0280000}"/>
    <cellStyle name="40% - Accent5 2 2 2 2 3 2 2 3" xfId="10437" xr:uid="{00000000-0005-0000-0000-0000C1280000}"/>
    <cellStyle name="40% - Accent5 2 2 2 2 3 2 2 3 2" xfId="10438" xr:uid="{00000000-0005-0000-0000-0000C2280000}"/>
    <cellStyle name="40% - Accent5 2 2 2 2 3 2 2 4" xfId="10439" xr:uid="{00000000-0005-0000-0000-0000C3280000}"/>
    <cellStyle name="40% - Accent5 2 2 2 2 3 2 3" xfId="10440" xr:uid="{00000000-0005-0000-0000-0000C4280000}"/>
    <cellStyle name="40% - Accent5 2 2 2 2 3 2 3 2" xfId="10441" xr:uid="{00000000-0005-0000-0000-0000C5280000}"/>
    <cellStyle name="40% - Accent5 2 2 2 2 3 2 3 2 2" xfId="10442" xr:uid="{00000000-0005-0000-0000-0000C6280000}"/>
    <cellStyle name="40% - Accent5 2 2 2 2 3 2 3 3" xfId="10443" xr:uid="{00000000-0005-0000-0000-0000C7280000}"/>
    <cellStyle name="40% - Accent5 2 2 2 2 3 2 4" xfId="10444" xr:uid="{00000000-0005-0000-0000-0000C8280000}"/>
    <cellStyle name="40% - Accent5 2 2 2 2 3 2 4 2" xfId="10445" xr:uid="{00000000-0005-0000-0000-0000C9280000}"/>
    <cellStyle name="40% - Accent5 2 2 2 2 3 2 5" xfId="10446" xr:uid="{00000000-0005-0000-0000-0000CA280000}"/>
    <cellStyle name="40% - Accent5 2 2 2 2 3 3" xfId="10447" xr:uid="{00000000-0005-0000-0000-0000CB280000}"/>
    <cellStyle name="40% - Accent5 2 2 2 2 3 3 2" xfId="10448" xr:uid="{00000000-0005-0000-0000-0000CC280000}"/>
    <cellStyle name="40% - Accent5 2 2 2 2 3 3 2 2" xfId="10449" xr:uid="{00000000-0005-0000-0000-0000CD280000}"/>
    <cellStyle name="40% - Accent5 2 2 2 2 3 3 2 2 2" xfId="10450" xr:uid="{00000000-0005-0000-0000-0000CE280000}"/>
    <cellStyle name="40% - Accent5 2 2 2 2 3 3 2 3" xfId="10451" xr:uid="{00000000-0005-0000-0000-0000CF280000}"/>
    <cellStyle name="40% - Accent5 2 2 2 2 3 3 3" xfId="10452" xr:uid="{00000000-0005-0000-0000-0000D0280000}"/>
    <cellStyle name="40% - Accent5 2 2 2 2 3 3 3 2" xfId="10453" xr:uid="{00000000-0005-0000-0000-0000D1280000}"/>
    <cellStyle name="40% - Accent5 2 2 2 2 3 3 4" xfId="10454" xr:uid="{00000000-0005-0000-0000-0000D2280000}"/>
    <cellStyle name="40% - Accent5 2 2 2 2 3 4" xfId="10455" xr:uid="{00000000-0005-0000-0000-0000D3280000}"/>
    <cellStyle name="40% - Accent5 2 2 2 2 3 4 2" xfId="10456" xr:uid="{00000000-0005-0000-0000-0000D4280000}"/>
    <cellStyle name="40% - Accent5 2 2 2 2 3 4 2 2" xfId="10457" xr:uid="{00000000-0005-0000-0000-0000D5280000}"/>
    <cellStyle name="40% - Accent5 2 2 2 2 3 4 3" xfId="10458" xr:uid="{00000000-0005-0000-0000-0000D6280000}"/>
    <cellStyle name="40% - Accent5 2 2 2 2 3 5" xfId="10459" xr:uid="{00000000-0005-0000-0000-0000D7280000}"/>
    <cellStyle name="40% - Accent5 2 2 2 2 3 5 2" xfId="10460" xr:uid="{00000000-0005-0000-0000-0000D8280000}"/>
    <cellStyle name="40% - Accent5 2 2 2 2 3 6" xfId="10461" xr:uid="{00000000-0005-0000-0000-0000D9280000}"/>
    <cellStyle name="40% - Accent5 2 2 2 2 4" xfId="10462" xr:uid="{00000000-0005-0000-0000-0000DA280000}"/>
    <cellStyle name="40% - Accent5 2 2 2 2 4 2" xfId="10463" xr:uid="{00000000-0005-0000-0000-0000DB280000}"/>
    <cellStyle name="40% - Accent5 2 2 2 2 4 2 2" xfId="10464" xr:uid="{00000000-0005-0000-0000-0000DC280000}"/>
    <cellStyle name="40% - Accent5 2 2 2 2 4 2 2 2" xfId="10465" xr:uid="{00000000-0005-0000-0000-0000DD280000}"/>
    <cellStyle name="40% - Accent5 2 2 2 2 4 2 2 2 2" xfId="10466" xr:uid="{00000000-0005-0000-0000-0000DE280000}"/>
    <cellStyle name="40% - Accent5 2 2 2 2 4 2 2 3" xfId="10467" xr:uid="{00000000-0005-0000-0000-0000DF280000}"/>
    <cellStyle name="40% - Accent5 2 2 2 2 4 2 3" xfId="10468" xr:uid="{00000000-0005-0000-0000-0000E0280000}"/>
    <cellStyle name="40% - Accent5 2 2 2 2 4 2 3 2" xfId="10469" xr:uid="{00000000-0005-0000-0000-0000E1280000}"/>
    <cellStyle name="40% - Accent5 2 2 2 2 4 2 4" xfId="10470" xr:uid="{00000000-0005-0000-0000-0000E2280000}"/>
    <cellStyle name="40% - Accent5 2 2 2 2 4 3" xfId="10471" xr:uid="{00000000-0005-0000-0000-0000E3280000}"/>
    <cellStyle name="40% - Accent5 2 2 2 2 4 3 2" xfId="10472" xr:uid="{00000000-0005-0000-0000-0000E4280000}"/>
    <cellStyle name="40% - Accent5 2 2 2 2 4 3 2 2" xfId="10473" xr:uid="{00000000-0005-0000-0000-0000E5280000}"/>
    <cellStyle name="40% - Accent5 2 2 2 2 4 3 3" xfId="10474" xr:uid="{00000000-0005-0000-0000-0000E6280000}"/>
    <cellStyle name="40% - Accent5 2 2 2 2 4 4" xfId="10475" xr:uid="{00000000-0005-0000-0000-0000E7280000}"/>
    <cellStyle name="40% - Accent5 2 2 2 2 4 4 2" xfId="10476" xr:uid="{00000000-0005-0000-0000-0000E8280000}"/>
    <cellStyle name="40% - Accent5 2 2 2 2 4 5" xfId="10477" xr:uid="{00000000-0005-0000-0000-0000E9280000}"/>
    <cellStyle name="40% - Accent5 2 2 2 2 5" xfId="10478" xr:uid="{00000000-0005-0000-0000-0000EA280000}"/>
    <cellStyle name="40% - Accent5 2 2 2 2 5 2" xfId="10479" xr:uid="{00000000-0005-0000-0000-0000EB280000}"/>
    <cellStyle name="40% - Accent5 2 2 2 2 5 2 2" xfId="10480" xr:uid="{00000000-0005-0000-0000-0000EC280000}"/>
    <cellStyle name="40% - Accent5 2 2 2 2 5 2 2 2" xfId="10481" xr:uid="{00000000-0005-0000-0000-0000ED280000}"/>
    <cellStyle name="40% - Accent5 2 2 2 2 5 2 3" xfId="10482" xr:uid="{00000000-0005-0000-0000-0000EE280000}"/>
    <cellStyle name="40% - Accent5 2 2 2 2 5 3" xfId="10483" xr:uid="{00000000-0005-0000-0000-0000EF280000}"/>
    <cellStyle name="40% - Accent5 2 2 2 2 5 3 2" xfId="10484" xr:uid="{00000000-0005-0000-0000-0000F0280000}"/>
    <cellStyle name="40% - Accent5 2 2 2 2 5 4" xfId="10485" xr:uid="{00000000-0005-0000-0000-0000F1280000}"/>
    <cellStyle name="40% - Accent5 2 2 2 2 6" xfId="10486" xr:uid="{00000000-0005-0000-0000-0000F2280000}"/>
    <cellStyle name="40% - Accent5 2 2 2 2 6 2" xfId="10487" xr:uid="{00000000-0005-0000-0000-0000F3280000}"/>
    <cellStyle name="40% - Accent5 2 2 2 2 6 2 2" xfId="10488" xr:uid="{00000000-0005-0000-0000-0000F4280000}"/>
    <cellStyle name="40% - Accent5 2 2 2 2 6 3" xfId="10489" xr:uid="{00000000-0005-0000-0000-0000F5280000}"/>
    <cellStyle name="40% - Accent5 2 2 2 2 7" xfId="10490" xr:uid="{00000000-0005-0000-0000-0000F6280000}"/>
    <cellStyle name="40% - Accent5 2 2 2 2 7 2" xfId="10491" xr:uid="{00000000-0005-0000-0000-0000F7280000}"/>
    <cellStyle name="40% - Accent5 2 2 2 2 8" xfId="10492" xr:uid="{00000000-0005-0000-0000-0000F8280000}"/>
    <cellStyle name="40% - Accent5 2 2 2 3" xfId="10493" xr:uid="{00000000-0005-0000-0000-0000F9280000}"/>
    <cellStyle name="40% - Accent5 2 2 2 3 2" xfId="10494" xr:uid="{00000000-0005-0000-0000-0000FA280000}"/>
    <cellStyle name="40% - Accent5 2 2 2 3 2 2" xfId="10495" xr:uid="{00000000-0005-0000-0000-0000FB280000}"/>
    <cellStyle name="40% - Accent5 2 2 2 3 2 2 2" xfId="10496" xr:uid="{00000000-0005-0000-0000-0000FC280000}"/>
    <cellStyle name="40% - Accent5 2 2 2 3 2 2 2 2" xfId="10497" xr:uid="{00000000-0005-0000-0000-0000FD280000}"/>
    <cellStyle name="40% - Accent5 2 2 2 3 2 2 2 2 2" xfId="10498" xr:uid="{00000000-0005-0000-0000-0000FE280000}"/>
    <cellStyle name="40% - Accent5 2 2 2 3 2 2 2 2 2 2" xfId="10499" xr:uid="{00000000-0005-0000-0000-0000FF280000}"/>
    <cellStyle name="40% - Accent5 2 2 2 3 2 2 2 2 3" xfId="10500" xr:uid="{00000000-0005-0000-0000-000000290000}"/>
    <cellStyle name="40% - Accent5 2 2 2 3 2 2 2 3" xfId="10501" xr:uid="{00000000-0005-0000-0000-000001290000}"/>
    <cellStyle name="40% - Accent5 2 2 2 3 2 2 2 3 2" xfId="10502" xr:uid="{00000000-0005-0000-0000-000002290000}"/>
    <cellStyle name="40% - Accent5 2 2 2 3 2 2 2 4" xfId="10503" xr:uid="{00000000-0005-0000-0000-000003290000}"/>
    <cellStyle name="40% - Accent5 2 2 2 3 2 2 3" xfId="10504" xr:uid="{00000000-0005-0000-0000-000004290000}"/>
    <cellStyle name="40% - Accent5 2 2 2 3 2 2 3 2" xfId="10505" xr:uid="{00000000-0005-0000-0000-000005290000}"/>
    <cellStyle name="40% - Accent5 2 2 2 3 2 2 3 2 2" xfId="10506" xr:uid="{00000000-0005-0000-0000-000006290000}"/>
    <cellStyle name="40% - Accent5 2 2 2 3 2 2 3 3" xfId="10507" xr:uid="{00000000-0005-0000-0000-000007290000}"/>
    <cellStyle name="40% - Accent5 2 2 2 3 2 2 4" xfId="10508" xr:uid="{00000000-0005-0000-0000-000008290000}"/>
    <cellStyle name="40% - Accent5 2 2 2 3 2 2 4 2" xfId="10509" xr:uid="{00000000-0005-0000-0000-000009290000}"/>
    <cellStyle name="40% - Accent5 2 2 2 3 2 2 5" xfId="10510" xr:uid="{00000000-0005-0000-0000-00000A290000}"/>
    <cellStyle name="40% - Accent5 2 2 2 3 2 3" xfId="10511" xr:uid="{00000000-0005-0000-0000-00000B290000}"/>
    <cellStyle name="40% - Accent5 2 2 2 3 2 3 2" xfId="10512" xr:uid="{00000000-0005-0000-0000-00000C290000}"/>
    <cellStyle name="40% - Accent5 2 2 2 3 2 3 2 2" xfId="10513" xr:uid="{00000000-0005-0000-0000-00000D290000}"/>
    <cellStyle name="40% - Accent5 2 2 2 3 2 3 2 2 2" xfId="10514" xr:uid="{00000000-0005-0000-0000-00000E290000}"/>
    <cellStyle name="40% - Accent5 2 2 2 3 2 3 2 3" xfId="10515" xr:uid="{00000000-0005-0000-0000-00000F290000}"/>
    <cellStyle name="40% - Accent5 2 2 2 3 2 3 3" xfId="10516" xr:uid="{00000000-0005-0000-0000-000010290000}"/>
    <cellStyle name="40% - Accent5 2 2 2 3 2 3 3 2" xfId="10517" xr:uid="{00000000-0005-0000-0000-000011290000}"/>
    <cellStyle name="40% - Accent5 2 2 2 3 2 3 4" xfId="10518" xr:uid="{00000000-0005-0000-0000-000012290000}"/>
    <cellStyle name="40% - Accent5 2 2 2 3 2 4" xfId="10519" xr:uid="{00000000-0005-0000-0000-000013290000}"/>
    <cellStyle name="40% - Accent5 2 2 2 3 2 4 2" xfId="10520" xr:uid="{00000000-0005-0000-0000-000014290000}"/>
    <cellStyle name="40% - Accent5 2 2 2 3 2 4 2 2" xfId="10521" xr:uid="{00000000-0005-0000-0000-000015290000}"/>
    <cellStyle name="40% - Accent5 2 2 2 3 2 4 3" xfId="10522" xr:uid="{00000000-0005-0000-0000-000016290000}"/>
    <cellStyle name="40% - Accent5 2 2 2 3 2 5" xfId="10523" xr:uid="{00000000-0005-0000-0000-000017290000}"/>
    <cellStyle name="40% - Accent5 2 2 2 3 2 5 2" xfId="10524" xr:uid="{00000000-0005-0000-0000-000018290000}"/>
    <cellStyle name="40% - Accent5 2 2 2 3 2 6" xfId="10525" xr:uid="{00000000-0005-0000-0000-000019290000}"/>
    <cellStyle name="40% - Accent5 2 2 2 3 3" xfId="10526" xr:uid="{00000000-0005-0000-0000-00001A290000}"/>
    <cellStyle name="40% - Accent5 2 2 2 3 3 2" xfId="10527" xr:uid="{00000000-0005-0000-0000-00001B290000}"/>
    <cellStyle name="40% - Accent5 2 2 2 3 3 2 2" xfId="10528" xr:uid="{00000000-0005-0000-0000-00001C290000}"/>
    <cellStyle name="40% - Accent5 2 2 2 3 3 2 2 2" xfId="10529" xr:uid="{00000000-0005-0000-0000-00001D290000}"/>
    <cellStyle name="40% - Accent5 2 2 2 3 3 2 2 2 2" xfId="10530" xr:uid="{00000000-0005-0000-0000-00001E290000}"/>
    <cellStyle name="40% - Accent5 2 2 2 3 3 2 2 3" xfId="10531" xr:uid="{00000000-0005-0000-0000-00001F290000}"/>
    <cellStyle name="40% - Accent5 2 2 2 3 3 2 3" xfId="10532" xr:uid="{00000000-0005-0000-0000-000020290000}"/>
    <cellStyle name="40% - Accent5 2 2 2 3 3 2 3 2" xfId="10533" xr:uid="{00000000-0005-0000-0000-000021290000}"/>
    <cellStyle name="40% - Accent5 2 2 2 3 3 2 4" xfId="10534" xr:uid="{00000000-0005-0000-0000-000022290000}"/>
    <cellStyle name="40% - Accent5 2 2 2 3 3 3" xfId="10535" xr:uid="{00000000-0005-0000-0000-000023290000}"/>
    <cellStyle name="40% - Accent5 2 2 2 3 3 3 2" xfId="10536" xr:uid="{00000000-0005-0000-0000-000024290000}"/>
    <cellStyle name="40% - Accent5 2 2 2 3 3 3 2 2" xfId="10537" xr:uid="{00000000-0005-0000-0000-000025290000}"/>
    <cellStyle name="40% - Accent5 2 2 2 3 3 3 3" xfId="10538" xr:uid="{00000000-0005-0000-0000-000026290000}"/>
    <cellStyle name="40% - Accent5 2 2 2 3 3 4" xfId="10539" xr:uid="{00000000-0005-0000-0000-000027290000}"/>
    <cellStyle name="40% - Accent5 2 2 2 3 3 4 2" xfId="10540" xr:uid="{00000000-0005-0000-0000-000028290000}"/>
    <cellStyle name="40% - Accent5 2 2 2 3 3 5" xfId="10541" xr:uid="{00000000-0005-0000-0000-000029290000}"/>
    <cellStyle name="40% - Accent5 2 2 2 3 4" xfId="10542" xr:uid="{00000000-0005-0000-0000-00002A290000}"/>
    <cellStyle name="40% - Accent5 2 2 2 3 4 2" xfId="10543" xr:uid="{00000000-0005-0000-0000-00002B290000}"/>
    <cellStyle name="40% - Accent5 2 2 2 3 4 2 2" xfId="10544" xr:uid="{00000000-0005-0000-0000-00002C290000}"/>
    <cellStyle name="40% - Accent5 2 2 2 3 4 2 2 2" xfId="10545" xr:uid="{00000000-0005-0000-0000-00002D290000}"/>
    <cellStyle name="40% - Accent5 2 2 2 3 4 2 3" xfId="10546" xr:uid="{00000000-0005-0000-0000-00002E290000}"/>
    <cellStyle name="40% - Accent5 2 2 2 3 4 3" xfId="10547" xr:uid="{00000000-0005-0000-0000-00002F290000}"/>
    <cellStyle name="40% - Accent5 2 2 2 3 4 3 2" xfId="10548" xr:uid="{00000000-0005-0000-0000-000030290000}"/>
    <cellStyle name="40% - Accent5 2 2 2 3 4 4" xfId="10549" xr:uid="{00000000-0005-0000-0000-000031290000}"/>
    <cellStyle name="40% - Accent5 2 2 2 3 5" xfId="10550" xr:uid="{00000000-0005-0000-0000-000032290000}"/>
    <cellStyle name="40% - Accent5 2 2 2 3 5 2" xfId="10551" xr:uid="{00000000-0005-0000-0000-000033290000}"/>
    <cellStyle name="40% - Accent5 2 2 2 3 5 2 2" xfId="10552" xr:uid="{00000000-0005-0000-0000-000034290000}"/>
    <cellStyle name="40% - Accent5 2 2 2 3 5 3" xfId="10553" xr:uid="{00000000-0005-0000-0000-000035290000}"/>
    <cellStyle name="40% - Accent5 2 2 2 3 6" xfId="10554" xr:uid="{00000000-0005-0000-0000-000036290000}"/>
    <cellStyle name="40% - Accent5 2 2 2 3 6 2" xfId="10555" xr:uid="{00000000-0005-0000-0000-000037290000}"/>
    <cellStyle name="40% - Accent5 2 2 2 3 7" xfId="10556" xr:uid="{00000000-0005-0000-0000-000038290000}"/>
    <cellStyle name="40% - Accent5 2 2 2 4" xfId="10557" xr:uid="{00000000-0005-0000-0000-000039290000}"/>
    <cellStyle name="40% - Accent5 2 2 2 4 2" xfId="10558" xr:uid="{00000000-0005-0000-0000-00003A290000}"/>
    <cellStyle name="40% - Accent5 2 2 2 4 2 2" xfId="10559" xr:uid="{00000000-0005-0000-0000-00003B290000}"/>
    <cellStyle name="40% - Accent5 2 2 2 4 2 2 2" xfId="10560" xr:uid="{00000000-0005-0000-0000-00003C290000}"/>
    <cellStyle name="40% - Accent5 2 2 2 4 2 2 2 2" xfId="10561" xr:uid="{00000000-0005-0000-0000-00003D290000}"/>
    <cellStyle name="40% - Accent5 2 2 2 4 2 2 2 2 2" xfId="10562" xr:uid="{00000000-0005-0000-0000-00003E290000}"/>
    <cellStyle name="40% - Accent5 2 2 2 4 2 2 2 3" xfId="10563" xr:uid="{00000000-0005-0000-0000-00003F290000}"/>
    <cellStyle name="40% - Accent5 2 2 2 4 2 2 3" xfId="10564" xr:uid="{00000000-0005-0000-0000-000040290000}"/>
    <cellStyle name="40% - Accent5 2 2 2 4 2 2 3 2" xfId="10565" xr:uid="{00000000-0005-0000-0000-000041290000}"/>
    <cellStyle name="40% - Accent5 2 2 2 4 2 2 4" xfId="10566" xr:uid="{00000000-0005-0000-0000-000042290000}"/>
    <cellStyle name="40% - Accent5 2 2 2 4 2 3" xfId="10567" xr:uid="{00000000-0005-0000-0000-000043290000}"/>
    <cellStyle name="40% - Accent5 2 2 2 4 2 3 2" xfId="10568" xr:uid="{00000000-0005-0000-0000-000044290000}"/>
    <cellStyle name="40% - Accent5 2 2 2 4 2 3 2 2" xfId="10569" xr:uid="{00000000-0005-0000-0000-000045290000}"/>
    <cellStyle name="40% - Accent5 2 2 2 4 2 3 3" xfId="10570" xr:uid="{00000000-0005-0000-0000-000046290000}"/>
    <cellStyle name="40% - Accent5 2 2 2 4 2 4" xfId="10571" xr:uid="{00000000-0005-0000-0000-000047290000}"/>
    <cellStyle name="40% - Accent5 2 2 2 4 2 4 2" xfId="10572" xr:uid="{00000000-0005-0000-0000-000048290000}"/>
    <cellStyle name="40% - Accent5 2 2 2 4 2 5" xfId="10573" xr:uid="{00000000-0005-0000-0000-000049290000}"/>
    <cellStyle name="40% - Accent5 2 2 2 4 3" xfId="10574" xr:uid="{00000000-0005-0000-0000-00004A290000}"/>
    <cellStyle name="40% - Accent5 2 2 2 4 3 2" xfId="10575" xr:uid="{00000000-0005-0000-0000-00004B290000}"/>
    <cellStyle name="40% - Accent5 2 2 2 4 3 2 2" xfId="10576" xr:uid="{00000000-0005-0000-0000-00004C290000}"/>
    <cellStyle name="40% - Accent5 2 2 2 4 3 2 2 2" xfId="10577" xr:uid="{00000000-0005-0000-0000-00004D290000}"/>
    <cellStyle name="40% - Accent5 2 2 2 4 3 2 3" xfId="10578" xr:uid="{00000000-0005-0000-0000-00004E290000}"/>
    <cellStyle name="40% - Accent5 2 2 2 4 3 3" xfId="10579" xr:uid="{00000000-0005-0000-0000-00004F290000}"/>
    <cellStyle name="40% - Accent5 2 2 2 4 3 3 2" xfId="10580" xr:uid="{00000000-0005-0000-0000-000050290000}"/>
    <cellStyle name="40% - Accent5 2 2 2 4 3 4" xfId="10581" xr:uid="{00000000-0005-0000-0000-000051290000}"/>
    <cellStyle name="40% - Accent5 2 2 2 4 4" xfId="10582" xr:uid="{00000000-0005-0000-0000-000052290000}"/>
    <cellStyle name="40% - Accent5 2 2 2 4 4 2" xfId="10583" xr:uid="{00000000-0005-0000-0000-000053290000}"/>
    <cellStyle name="40% - Accent5 2 2 2 4 4 2 2" xfId="10584" xr:uid="{00000000-0005-0000-0000-000054290000}"/>
    <cellStyle name="40% - Accent5 2 2 2 4 4 3" xfId="10585" xr:uid="{00000000-0005-0000-0000-000055290000}"/>
    <cellStyle name="40% - Accent5 2 2 2 4 5" xfId="10586" xr:uid="{00000000-0005-0000-0000-000056290000}"/>
    <cellStyle name="40% - Accent5 2 2 2 4 5 2" xfId="10587" xr:uid="{00000000-0005-0000-0000-000057290000}"/>
    <cellStyle name="40% - Accent5 2 2 2 4 6" xfId="10588" xr:uid="{00000000-0005-0000-0000-000058290000}"/>
    <cellStyle name="40% - Accent5 2 2 2 5" xfId="10589" xr:uid="{00000000-0005-0000-0000-000059290000}"/>
    <cellStyle name="40% - Accent5 2 2 2 5 2" xfId="10590" xr:uid="{00000000-0005-0000-0000-00005A290000}"/>
    <cellStyle name="40% - Accent5 2 2 2 5 2 2" xfId="10591" xr:uid="{00000000-0005-0000-0000-00005B290000}"/>
    <cellStyle name="40% - Accent5 2 2 2 5 2 2 2" xfId="10592" xr:uid="{00000000-0005-0000-0000-00005C290000}"/>
    <cellStyle name="40% - Accent5 2 2 2 5 2 2 2 2" xfId="10593" xr:uid="{00000000-0005-0000-0000-00005D290000}"/>
    <cellStyle name="40% - Accent5 2 2 2 5 2 2 3" xfId="10594" xr:uid="{00000000-0005-0000-0000-00005E290000}"/>
    <cellStyle name="40% - Accent5 2 2 2 5 2 3" xfId="10595" xr:uid="{00000000-0005-0000-0000-00005F290000}"/>
    <cellStyle name="40% - Accent5 2 2 2 5 2 3 2" xfId="10596" xr:uid="{00000000-0005-0000-0000-000060290000}"/>
    <cellStyle name="40% - Accent5 2 2 2 5 2 4" xfId="10597" xr:uid="{00000000-0005-0000-0000-000061290000}"/>
    <cellStyle name="40% - Accent5 2 2 2 5 3" xfId="10598" xr:uid="{00000000-0005-0000-0000-000062290000}"/>
    <cellStyle name="40% - Accent5 2 2 2 5 3 2" xfId="10599" xr:uid="{00000000-0005-0000-0000-000063290000}"/>
    <cellStyle name="40% - Accent5 2 2 2 5 3 2 2" xfId="10600" xr:uid="{00000000-0005-0000-0000-000064290000}"/>
    <cellStyle name="40% - Accent5 2 2 2 5 3 3" xfId="10601" xr:uid="{00000000-0005-0000-0000-000065290000}"/>
    <cellStyle name="40% - Accent5 2 2 2 5 4" xfId="10602" xr:uid="{00000000-0005-0000-0000-000066290000}"/>
    <cellStyle name="40% - Accent5 2 2 2 5 4 2" xfId="10603" xr:uid="{00000000-0005-0000-0000-000067290000}"/>
    <cellStyle name="40% - Accent5 2 2 2 5 5" xfId="10604" xr:uid="{00000000-0005-0000-0000-000068290000}"/>
    <cellStyle name="40% - Accent5 2 2 2 6" xfId="10605" xr:uid="{00000000-0005-0000-0000-000069290000}"/>
    <cellStyle name="40% - Accent5 2 2 2 6 2" xfId="10606" xr:uid="{00000000-0005-0000-0000-00006A290000}"/>
    <cellStyle name="40% - Accent5 2 2 2 6 2 2" xfId="10607" xr:uid="{00000000-0005-0000-0000-00006B290000}"/>
    <cellStyle name="40% - Accent5 2 2 2 6 2 2 2" xfId="10608" xr:uid="{00000000-0005-0000-0000-00006C290000}"/>
    <cellStyle name="40% - Accent5 2 2 2 6 2 3" xfId="10609" xr:uid="{00000000-0005-0000-0000-00006D290000}"/>
    <cellStyle name="40% - Accent5 2 2 2 6 3" xfId="10610" xr:uid="{00000000-0005-0000-0000-00006E290000}"/>
    <cellStyle name="40% - Accent5 2 2 2 6 3 2" xfId="10611" xr:uid="{00000000-0005-0000-0000-00006F290000}"/>
    <cellStyle name="40% - Accent5 2 2 2 6 4" xfId="10612" xr:uid="{00000000-0005-0000-0000-000070290000}"/>
    <cellStyle name="40% - Accent5 2 2 2 7" xfId="10613" xr:uid="{00000000-0005-0000-0000-000071290000}"/>
    <cellStyle name="40% - Accent5 2 2 2 7 2" xfId="10614" xr:uid="{00000000-0005-0000-0000-000072290000}"/>
    <cellStyle name="40% - Accent5 2 2 2 7 2 2" xfId="10615" xr:uid="{00000000-0005-0000-0000-000073290000}"/>
    <cellStyle name="40% - Accent5 2 2 2 7 3" xfId="10616" xr:uid="{00000000-0005-0000-0000-000074290000}"/>
    <cellStyle name="40% - Accent5 2 2 2 8" xfId="10617" xr:uid="{00000000-0005-0000-0000-000075290000}"/>
    <cellStyle name="40% - Accent5 2 2 2 8 2" xfId="10618" xr:uid="{00000000-0005-0000-0000-000076290000}"/>
    <cellStyle name="40% - Accent5 2 2 2 9" xfId="10619" xr:uid="{00000000-0005-0000-0000-000077290000}"/>
    <cellStyle name="40% - Accent5 2 2 3" xfId="10620" xr:uid="{00000000-0005-0000-0000-000078290000}"/>
    <cellStyle name="40% - Accent5 2 2 3 2" xfId="10621" xr:uid="{00000000-0005-0000-0000-000079290000}"/>
    <cellStyle name="40% - Accent5 2 2 3 2 2" xfId="10622" xr:uid="{00000000-0005-0000-0000-00007A290000}"/>
    <cellStyle name="40% - Accent5 2 2 3 2 2 2" xfId="10623" xr:uid="{00000000-0005-0000-0000-00007B290000}"/>
    <cellStyle name="40% - Accent5 2 2 3 2 2 2 2" xfId="10624" xr:uid="{00000000-0005-0000-0000-00007C290000}"/>
    <cellStyle name="40% - Accent5 2 2 3 2 2 2 2 2" xfId="10625" xr:uid="{00000000-0005-0000-0000-00007D290000}"/>
    <cellStyle name="40% - Accent5 2 2 3 2 2 2 2 2 2" xfId="10626" xr:uid="{00000000-0005-0000-0000-00007E290000}"/>
    <cellStyle name="40% - Accent5 2 2 3 2 2 2 2 2 2 2" xfId="10627" xr:uid="{00000000-0005-0000-0000-00007F290000}"/>
    <cellStyle name="40% - Accent5 2 2 3 2 2 2 2 2 3" xfId="10628" xr:uid="{00000000-0005-0000-0000-000080290000}"/>
    <cellStyle name="40% - Accent5 2 2 3 2 2 2 2 3" xfId="10629" xr:uid="{00000000-0005-0000-0000-000081290000}"/>
    <cellStyle name="40% - Accent5 2 2 3 2 2 2 2 3 2" xfId="10630" xr:uid="{00000000-0005-0000-0000-000082290000}"/>
    <cellStyle name="40% - Accent5 2 2 3 2 2 2 2 4" xfId="10631" xr:uid="{00000000-0005-0000-0000-000083290000}"/>
    <cellStyle name="40% - Accent5 2 2 3 2 2 2 3" xfId="10632" xr:uid="{00000000-0005-0000-0000-000084290000}"/>
    <cellStyle name="40% - Accent5 2 2 3 2 2 2 3 2" xfId="10633" xr:uid="{00000000-0005-0000-0000-000085290000}"/>
    <cellStyle name="40% - Accent5 2 2 3 2 2 2 3 2 2" xfId="10634" xr:uid="{00000000-0005-0000-0000-000086290000}"/>
    <cellStyle name="40% - Accent5 2 2 3 2 2 2 3 3" xfId="10635" xr:uid="{00000000-0005-0000-0000-000087290000}"/>
    <cellStyle name="40% - Accent5 2 2 3 2 2 2 4" xfId="10636" xr:uid="{00000000-0005-0000-0000-000088290000}"/>
    <cellStyle name="40% - Accent5 2 2 3 2 2 2 4 2" xfId="10637" xr:uid="{00000000-0005-0000-0000-000089290000}"/>
    <cellStyle name="40% - Accent5 2 2 3 2 2 2 5" xfId="10638" xr:uid="{00000000-0005-0000-0000-00008A290000}"/>
    <cellStyle name="40% - Accent5 2 2 3 2 2 3" xfId="10639" xr:uid="{00000000-0005-0000-0000-00008B290000}"/>
    <cellStyle name="40% - Accent5 2 2 3 2 2 3 2" xfId="10640" xr:uid="{00000000-0005-0000-0000-00008C290000}"/>
    <cellStyle name="40% - Accent5 2 2 3 2 2 3 2 2" xfId="10641" xr:uid="{00000000-0005-0000-0000-00008D290000}"/>
    <cellStyle name="40% - Accent5 2 2 3 2 2 3 2 2 2" xfId="10642" xr:uid="{00000000-0005-0000-0000-00008E290000}"/>
    <cellStyle name="40% - Accent5 2 2 3 2 2 3 2 3" xfId="10643" xr:uid="{00000000-0005-0000-0000-00008F290000}"/>
    <cellStyle name="40% - Accent5 2 2 3 2 2 3 3" xfId="10644" xr:uid="{00000000-0005-0000-0000-000090290000}"/>
    <cellStyle name="40% - Accent5 2 2 3 2 2 3 3 2" xfId="10645" xr:uid="{00000000-0005-0000-0000-000091290000}"/>
    <cellStyle name="40% - Accent5 2 2 3 2 2 3 4" xfId="10646" xr:uid="{00000000-0005-0000-0000-000092290000}"/>
    <cellStyle name="40% - Accent5 2 2 3 2 2 4" xfId="10647" xr:uid="{00000000-0005-0000-0000-000093290000}"/>
    <cellStyle name="40% - Accent5 2 2 3 2 2 4 2" xfId="10648" xr:uid="{00000000-0005-0000-0000-000094290000}"/>
    <cellStyle name="40% - Accent5 2 2 3 2 2 4 2 2" xfId="10649" xr:uid="{00000000-0005-0000-0000-000095290000}"/>
    <cellStyle name="40% - Accent5 2 2 3 2 2 4 3" xfId="10650" xr:uid="{00000000-0005-0000-0000-000096290000}"/>
    <cellStyle name="40% - Accent5 2 2 3 2 2 5" xfId="10651" xr:uid="{00000000-0005-0000-0000-000097290000}"/>
    <cellStyle name="40% - Accent5 2 2 3 2 2 5 2" xfId="10652" xr:uid="{00000000-0005-0000-0000-000098290000}"/>
    <cellStyle name="40% - Accent5 2 2 3 2 2 6" xfId="10653" xr:uid="{00000000-0005-0000-0000-000099290000}"/>
    <cellStyle name="40% - Accent5 2 2 3 2 3" xfId="10654" xr:uid="{00000000-0005-0000-0000-00009A290000}"/>
    <cellStyle name="40% - Accent5 2 2 3 2 3 2" xfId="10655" xr:uid="{00000000-0005-0000-0000-00009B290000}"/>
    <cellStyle name="40% - Accent5 2 2 3 2 3 2 2" xfId="10656" xr:uid="{00000000-0005-0000-0000-00009C290000}"/>
    <cellStyle name="40% - Accent5 2 2 3 2 3 2 2 2" xfId="10657" xr:uid="{00000000-0005-0000-0000-00009D290000}"/>
    <cellStyle name="40% - Accent5 2 2 3 2 3 2 2 2 2" xfId="10658" xr:uid="{00000000-0005-0000-0000-00009E290000}"/>
    <cellStyle name="40% - Accent5 2 2 3 2 3 2 2 3" xfId="10659" xr:uid="{00000000-0005-0000-0000-00009F290000}"/>
    <cellStyle name="40% - Accent5 2 2 3 2 3 2 3" xfId="10660" xr:uid="{00000000-0005-0000-0000-0000A0290000}"/>
    <cellStyle name="40% - Accent5 2 2 3 2 3 2 3 2" xfId="10661" xr:uid="{00000000-0005-0000-0000-0000A1290000}"/>
    <cellStyle name="40% - Accent5 2 2 3 2 3 2 4" xfId="10662" xr:uid="{00000000-0005-0000-0000-0000A2290000}"/>
    <cellStyle name="40% - Accent5 2 2 3 2 3 3" xfId="10663" xr:uid="{00000000-0005-0000-0000-0000A3290000}"/>
    <cellStyle name="40% - Accent5 2 2 3 2 3 3 2" xfId="10664" xr:uid="{00000000-0005-0000-0000-0000A4290000}"/>
    <cellStyle name="40% - Accent5 2 2 3 2 3 3 2 2" xfId="10665" xr:uid="{00000000-0005-0000-0000-0000A5290000}"/>
    <cellStyle name="40% - Accent5 2 2 3 2 3 3 3" xfId="10666" xr:uid="{00000000-0005-0000-0000-0000A6290000}"/>
    <cellStyle name="40% - Accent5 2 2 3 2 3 4" xfId="10667" xr:uid="{00000000-0005-0000-0000-0000A7290000}"/>
    <cellStyle name="40% - Accent5 2 2 3 2 3 4 2" xfId="10668" xr:uid="{00000000-0005-0000-0000-0000A8290000}"/>
    <cellStyle name="40% - Accent5 2 2 3 2 3 5" xfId="10669" xr:uid="{00000000-0005-0000-0000-0000A9290000}"/>
    <cellStyle name="40% - Accent5 2 2 3 2 4" xfId="10670" xr:uid="{00000000-0005-0000-0000-0000AA290000}"/>
    <cellStyle name="40% - Accent5 2 2 3 2 4 2" xfId="10671" xr:uid="{00000000-0005-0000-0000-0000AB290000}"/>
    <cellStyle name="40% - Accent5 2 2 3 2 4 2 2" xfId="10672" xr:uid="{00000000-0005-0000-0000-0000AC290000}"/>
    <cellStyle name="40% - Accent5 2 2 3 2 4 2 2 2" xfId="10673" xr:uid="{00000000-0005-0000-0000-0000AD290000}"/>
    <cellStyle name="40% - Accent5 2 2 3 2 4 2 3" xfId="10674" xr:uid="{00000000-0005-0000-0000-0000AE290000}"/>
    <cellStyle name="40% - Accent5 2 2 3 2 4 3" xfId="10675" xr:uid="{00000000-0005-0000-0000-0000AF290000}"/>
    <cellStyle name="40% - Accent5 2 2 3 2 4 3 2" xfId="10676" xr:uid="{00000000-0005-0000-0000-0000B0290000}"/>
    <cellStyle name="40% - Accent5 2 2 3 2 4 4" xfId="10677" xr:uid="{00000000-0005-0000-0000-0000B1290000}"/>
    <cellStyle name="40% - Accent5 2 2 3 2 5" xfId="10678" xr:uid="{00000000-0005-0000-0000-0000B2290000}"/>
    <cellStyle name="40% - Accent5 2 2 3 2 5 2" xfId="10679" xr:uid="{00000000-0005-0000-0000-0000B3290000}"/>
    <cellStyle name="40% - Accent5 2 2 3 2 5 2 2" xfId="10680" xr:uid="{00000000-0005-0000-0000-0000B4290000}"/>
    <cellStyle name="40% - Accent5 2 2 3 2 5 3" xfId="10681" xr:uid="{00000000-0005-0000-0000-0000B5290000}"/>
    <cellStyle name="40% - Accent5 2 2 3 2 6" xfId="10682" xr:uid="{00000000-0005-0000-0000-0000B6290000}"/>
    <cellStyle name="40% - Accent5 2 2 3 2 6 2" xfId="10683" xr:uid="{00000000-0005-0000-0000-0000B7290000}"/>
    <cellStyle name="40% - Accent5 2 2 3 2 7" xfId="10684" xr:uid="{00000000-0005-0000-0000-0000B8290000}"/>
    <cellStyle name="40% - Accent5 2 2 3 3" xfId="10685" xr:uid="{00000000-0005-0000-0000-0000B9290000}"/>
    <cellStyle name="40% - Accent5 2 2 3 3 2" xfId="10686" xr:uid="{00000000-0005-0000-0000-0000BA290000}"/>
    <cellStyle name="40% - Accent5 2 2 3 3 2 2" xfId="10687" xr:uid="{00000000-0005-0000-0000-0000BB290000}"/>
    <cellStyle name="40% - Accent5 2 2 3 3 2 2 2" xfId="10688" xr:uid="{00000000-0005-0000-0000-0000BC290000}"/>
    <cellStyle name="40% - Accent5 2 2 3 3 2 2 2 2" xfId="10689" xr:uid="{00000000-0005-0000-0000-0000BD290000}"/>
    <cellStyle name="40% - Accent5 2 2 3 3 2 2 2 2 2" xfId="10690" xr:uid="{00000000-0005-0000-0000-0000BE290000}"/>
    <cellStyle name="40% - Accent5 2 2 3 3 2 2 2 3" xfId="10691" xr:uid="{00000000-0005-0000-0000-0000BF290000}"/>
    <cellStyle name="40% - Accent5 2 2 3 3 2 2 3" xfId="10692" xr:uid="{00000000-0005-0000-0000-0000C0290000}"/>
    <cellStyle name="40% - Accent5 2 2 3 3 2 2 3 2" xfId="10693" xr:uid="{00000000-0005-0000-0000-0000C1290000}"/>
    <cellStyle name="40% - Accent5 2 2 3 3 2 2 4" xfId="10694" xr:uid="{00000000-0005-0000-0000-0000C2290000}"/>
    <cellStyle name="40% - Accent5 2 2 3 3 2 3" xfId="10695" xr:uid="{00000000-0005-0000-0000-0000C3290000}"/>
    <cellStyle name="40% - Accent5 2 2 3 3 2 3 2" xfId="10696" xr:uid="{00000000-0005-0000-0000-0000C4290000}"/>
    <cellStyle name="40% - Accent5 2 2 3 3 2 3 2 2" xfId="10697" xr:uid="{00000000-0005-0000-0000-0000C5290000}"/>
    <cellStyle name="40% - Accent5 2 2 3 3 2 3 3" xfId="10698" xr:uid="{00000000-0005-0000-0000-0000C6290000}"/>
    <cellStyle name="40% - Accent5 2 2 3 3 2 4" xfId="10699" xr:uid="{00000000-0005-0000-0000-0000C7290000}"/>
    <cellStyle name="40% - Accent5 2 2 3 3 2 4 2" xfId="10700" xr:uid="{00000000-0005-0000-0000-0000C8290000}"/>
    <cellStyle name="40% - Accent5 2 2 3 3 2 5" xfId="10701" xr:uid="{00000000-0005-0000-0000-0000C9290000}"/>
    <cellStyle name="40% - Accent5 2 2 3 3 3" xfId="10702" xr:uid="{00000000-0005-0000-0000-0000CA290000}"/>
    <cellStyle name="40% - Accent5 2 2 3 3 3 2" xfId="10703" xr:uid="{00000000-0005-0000-0000-0000CB290000}"/>
    <cellStyle name="40% - Accent5 2 2 3 3 3 2 2" xfId="10704" xr:uid="{00000000-0005-0000-0000-0000CC290000}"/>
    <cellStyle name="40% - Accent5 2 2 3 3 3 2 2 2" xfId="10705" xr:uid="{00000000-0005-0000-0000-0000CD290000}"/>
    <cellStyle name="40% - Accent5 2 2 3 3 3 2 3" xfId="10706" xr:uid="{00000000-0005-0000-0000-0000CE290000}"/>
    <cellStyle name="40% - Accent5 2 2 3 3 3 3" xfId="10707" xr:uid="{00000000-0005-0000-0000-0000CF290000}"/>
    <cellStyle name="40% - Accent5 2 2 3 3 3 3 2" xfId="10708" xr:uid="{00000000-0005-0000-0000-0000D0290000}"/>
    <cellStyle name="40% - Accent5 2 2 3 3 3 4" xfId="10709" xr:uid="{00000000-0005-0000-0000-0000D1290000}"/>
    <cellStyle name="40% - Accent5 2 2 3 3 4" xfId="10710" xr:uid="{00000000-0005-0000-0000-0000D2290000}"/>
    <cellStyle name="40% - Accent5 2 2 3 3 4 2" xfId="10711" xr:uid="{00000000-0005-0000-0000-0000D3290000}"/>
    <cellStyle name="40% - Accent5 2 2 3 3 4 2 2" xfId="10712" xr:uid="{00000000-0005-0000-0000-0000D4290000}"/>
    <cellStyle name="40% - Accent5 2 2 3 3 4 3" xfId="10713" xr:uid="{00000000-0005-0000-0000-0000D5290000}"/>
    <cellStyle name="40% - Accent5 2 2 3 3 5" xfId="10714" xr:uid="{00000000-0005-0000-0000-0000D6290000}"/>
    <cellStyle name="40% - Accent5 2 2 3 3 5 2" xfId="10715" xr:uid="{00000000-0005-0000-0000-0000D7290000}"/>
    <cellStyle name="40% - Accent5 2 2 3 3 6" xfId="10716" xr:uid="{00000000-0005-0000-0000-0000D8290000}"/>
    <cellStyle name="40% - Accent5 2 2 3 4" xfId="10717" xr:uid="{00000000-0005-0000-0000-0000D9290000}"/>
    <cellStyle name="40% - Accent5 2 2 3 4 2" xfId="10718" xr:uid="{00000000-0005-0000-0000-0000DA290000}"/>
    <cellStyle name="40% - Accent5 2 2 3 4 2 2" xfId="10719" xr:uid="{00000000-0005-0000-0000-0000DB290000}"/>
    <cellStyle name="40% - Accent5 2 2 3 4 2 2 2" xfId="10720" xr:uid="{00000000-0005-0000-0000-0000DC290000}"/>
    <cellStyle name="40% - Accent5 2 2 3 4 2 2 2 2" xfId="10721" xr:uid="{00000000-0005-0000-0000-0000DD290000}"/>
    <cellStyle name="40% - Accent5 2 2 3 4 2 2 3" xfId="10722" xr:uid="{00000000-0005-0000-0000-0000DE290000}"/>
    <cellStyle name="40% - Accent5 2 2 3 4 2 3" xfId="10723" xr:uid="{00000000-0005-0000-0000-0000DF290000}"/>
    <cellStyle name="40% - Accent5 2 2 3 4 2 3 2" xfId="10724" xr:uid="{00000000-0005-0000-0000-0000E0290000}"/>
    <cellStyle name="40% - Accent5 2 2 3 4 2 4" xfId="10725" xr:uid="{00000000-0005-0000-0000-0000E1290000}"/>
    <cellStyle name="40% - Accent5 2 2 3 4 3" xfId="10726" xr:uid="{00000000-0005-0000-0000-0000E2290000}"/>
    <cellStyle name="40% - Accent5 2 2 3 4 3 2" xfId="10727" xr:uid="{00000000-0005-0000-0000-0000E3290000}"/>
    <cellStyle name="40% - Accent5 2 2 3 4 3 2 2" xfId="10728" xr:uid="{00000000-0005-0000-0000-0000E4290000}"/>
    <cellStyle name="40% - Accent5 2 2 3 4 3 3" xfId="10729" xr:uid="{00000000-0005-0000-0000-0000E5290000}"/>
    <cellStyle name="40% - Accent5 2 2 3 4 4" xfId="10730" xr:uid="{00000000-0005-0000-0000-0000E6290000}"/>
    <cellStyle name="40% - Accent5 2 2 3 4 4 2" xfId="10731" xr:uid="{00000000-0005-0000-0000-0000E7290000}"/>
    <cellStyle name="40% - Accent5 2 2 3 4 5" xfId="10732" xr:uid="{00000000-0005-0000-0000-0000E8290000}"/>
    <cellStyle name="40% - Accent5 2 2 3 5" xfId="10733" xr:uid="{00000000-0005-0000-0000-0000E9290000}"/>
    <cellStyle name="40% - Accent5 2 2 3 5 2" xfId="10734" xr:uid="{00000000-0005-0000-0000-0000EA290000}"/>
    <cellStyle name="40% - Accent5 2 2 3 5 2 2" xfId="10735" xr:uid="{00000000-0005-0000-0000-0000EB290000}"/>
    <cellStyle name="40% - Accent5 2 2 3 5 2 2 2" xfId="10736" xr:uid="{00000000-0005-0000-0000-0000EC290000}"/>
    <cellStyle name="40% - Accent5 2 2 3 5 2 3" xfId="10737" xr:uid="{00000000-0005-0000-0000-0000ED290000}"/>
    <cellStyle name="40% - Accent5 2 2 3 5 3" xfId="10738" xr:uid="{00000000-0005-0000-0000-0000EE290000}"/>
    <cellStyle name="40% - Accent5 2 2 3 5 3 2" xfId="10739" xr:uid="{00000000-0005-0000-0000-0000EF290000}"/>
    <cellStyle name="40% - Accent5 2 2 3 5 4" xfId="10740" xr:uid="{00000000-0005-0000-0000-0000F0290000}"/>
    <cellStyle name="40% - Accent5 2 2 3 6" xfId="10741" xr:uid="{00000000-0005-0000-0000-0000F1290000}"/>
    <cellStyle name="40% - Accent5 2 2 3 6 2" xfId="10742" xr:uid="{00000000-0005-0000-0000-0000F2290000}"/>
    <cellStyle name="40% - Accent5 2 2 3 6 2 2" xfId="10743" xr:uid="{00000000-0005-0000-0000-0000F3290000}"/>
    <cellStyle name="40% - Accent5 2 2 3 6 3" xfId="10744" xr:uid="{00000000-0005-0000-0000-0000F4290000}"/>
    <cellStyle name="40% - Accent5 2 2 3 7" xfId="10745" xr:uid="{00000000-0005-0000-0000-0000F5290000}"/>
    <cellStyle name="40% - Accent5 2 2 3 7 2" xfId="10746" xr:uid="{00000000-0005-0000-0000-0000F6290000}"/>
    <cellStyle name="40% - Accent5 2 2 3 8" xfId="10747" xr:uid="{00000000-0005-0000-0000-0000F7290000}"/>
    <cellStyle name="40% - Accent5 2 2 4" xfId="10748" xr:uid="{00000000-0005-0000-0000-0000F8290000}"/>
    <cellStyle name="40% - Accent5 2 2 4 2" xfId="10749" xr:uid="{00000000-0005-0000-0000-0000F9290000}"/>
    <cellStyle name="40% - Accent5 2 2 4 2 2" xfId="10750" xr:uid="{00000000-0005-0000-0000-0000FA290000}"/>
    <cellStyle name="40% - Accent5 2 2 4 2 2 2" xfId="10751" xr:uid="{00000000-0005-0000-0000-0000FB290000}"/>
    <cellStyle name="40% - Accent5 2 2 4 2 2 2 2" xfId="10752" xr:uid="{00000000-0005-0000-0000-0000FC290000}"/>
    <cellStyle name="40% - Accent5 2 2 4 2 2 2 2 2" xfId="10753" xr:uid="{00000000-0005-0000-0000-0000FD290000}"/>
    <cellStyle name="40% - Accent5 2 2 4 2 2 2 2 2 2" xfId="10754" xr:uid="{00000000-0005-0000-0000-0000FE290000}"/>
    <cellStyle name="40% - Accent5 2 2 4 2 2 2 2 3" xfId="10755" xr:uid="{00000000-0005-0000-0000-0000FF290000}"/>
    <cellStyle name="40% - Accent5 2 2 4 2 2 2 3" xfId="10756" xr:uid="{00000000-0005-0000-0000-0000002A0000}"/>
    <cellStyle name="40% - Accent5 2 2 4 2 2 2 3 2" xfId="10757" xr:uid="{00000000-0005-0000-0000-0000012A0000}"/>
    <cellStyle name="40% - Accent5 2 2 4 2 2 2 4" xfId="10758" xr:uid="{00000000-0005-0000-0000-0000022A0000}"/>
    <cellStyle name="40% - Accent5 2 2 4 2 2 3" xfId="10759" xr:uid="{00000000-0005-0000-0000-0000032A0000}"/>
    <cellStyle name="40% - Accent5 2 2 4 2 2 3 2" xfId="10760" xr:uid="{00000000-0005-0000-0000-0000042A0000}"/>
    <cellStyle name="40% - Accent5 2 2 4 2 2 3 2 2" xfId="10761" xr:uid="{00000000-0005-0000-0000-0000052A0000}"/>
    <cellStyle name="40% - Accent5 2 2 4 2 2 3 3" xfId="10762" xr:uid="{00000000-0005-0000-0000-0000062A0000}"/>
    <cellStyle name="40% - Accent5 2 2 4 2 2 4" xfId="10763" xr:uid="{00000000-0005-0000-0000-0000072A0000}"/>
    <cellStyle name="40% - Accent5 2 2 4 2 2 4 2" xfId="10764" xr:uid="{00000000-0005-0000-0000-0000082A0000}"/>
    <cellStyle name="40% - Accent5 2 2 4 2 2 5" xfId="10765" xr:uid="{00000000-0005-0000-0000-0000092A0000}"/>
    <cellStyle name="40% - Accent5 2 2 4 2 3" xfId="10766" xr:uid="{00000000-0005-0000-0000-00000A2A0000}"/>
    <cellStyle name="40% - Accent5 2 2 4 2 3 2" xfId="10767" xr:uid="{00000000-0005-0000-0000-00000B2A0000}"/>
    <cellStyle name="40% - Accent5 2 2 4 2 3 2 2" xfId="10768" xr:uid="{00000000-0005-0000-0000-00000C2A0000}"/>
    <cellStyle name="40% - Accent5 2 2 4 2 3 2 2 2" xfId="10769" xr:uid="{00000000-0005-0000-0000-00000D2A0000}"/>
    <cellStyle name="40% - Accent5 2 2 4 2 3 2 3" xfId="10770" xr:uid="{00000000-0005-0000-0000-00000E2A0000}"/>
    <cellStyle name="40% - Accent5 2 2 4 2 3 3" xfId="10771" xr:uid="{00000000-0005-0000-0000-00000F2A0000}"/>
    <cellStyle name="40% - Accent5 2 2 4 2 3 3 2" xfId="10772" xr:uid="{00000000-0005-0000-0000-0000102A0000}"/>
    <cellStyle name="40% - Accent5 2 2 4 2 3 4" xfId="10773" xr:uid="{00000000-0005-0000-0000-0000112A0000}"/>
    <cellStyle name="40% - Accent5 2 2 4 2 4" xfId="10774" xr:uid="{00000000-0005-0000-0000-0000122A0000}"/>
    <cellStyle name="40% - Accent5 2 2 4 2 4 2" xfId="10775" xr:uid="{00000000-0005-0000-0000-0000132A0000}"/>
    <cellStyle name="40% - Accent5 2 2 4 2 4 2 2" xfId="10776" xr:uid="{00000000-0005-0000-0000-0000142A0000}"/>
    <cellStyle name="40% - Accent5 2 2 4 2 4 3" xfId="10777" xr:uid="{00000000-0005-0000-0000-0000152A0000}"/>
    <cellStyle name="40% - Accent5 2 2 4 2 5" xfId="10778" xr:uid="{00000000-0005-0000-0000-0000162A0000}"/>
    <cellStyle name="40% - Accent5 2 2 4 2 5 2" xfId="10779" xr:uid="{00000000-0005-0000-0000-0000172A0000}"/>
    <cellStyle name="40% - Accent5 2 2 4 2 6" xfId="10780" xr:uid="{00000000-0005-0000-0000-0000182A0000}"/>
    <cellStyle name="40% - Accent5 2 2 4 3" xfId="10781" xr:uid="{00000000-0005-0000-0000-0000192A0000}"/>
    <cellStyle name="40% - Accent5 2 2 4 3 2" xfId="10782" xr:uid="{00000000-0005-0000-0000-00001A2A0000}"/>
    <cellStyle name="40% - Accent5 2 2 4 3 2 2" xfId="10783" xr:uid="{00000000-0005-0000-0000-00001B2A0000}"/>
    <cellStyle name="40% - Accent5 2 2 4 3 2 2 2" xfId="10784" xr:uid="{00000000-0005-0000-0000-00001C2A0000}"/>
    <cellStyle name="40% - Accent5 2 2 4 3 2 2 2 2" xfId="10785" xr:uid="{00000000-0005-0000-0000-00001D2A0000}"/>
    <cellStyle name="40% - Accent5 2 2 4 3 2 2 3" xfId="10786" xr:uid="{00000000-0005-0000-0000-00001E2A0000}"/>
    <cellStyle name="40% - Accent5 2 2 4 3 2 3" xfId="10787" xr:uid="{00000000-0005-0000-0000-00001F2A0000}"/>
    <cellStyle name="40% - Accent5 2 2 4 3 2 3 2" xfId="10788" xr:uid="{00000000-0005-0000-0000-0000202A0000}"/>
    <cellStyle name="40% - Accent5 2 2 4 3 2 4" xfId="10789" xr:uid="{00000000-0005-0000-0000-0000212A0000}"/>
    <cellStyle name="40% - Accent5 2 2 4 3 3" xfId="10790" xr:uid="{00000000-0005-0000-0000-0000222A0000}"/>
    <cellStyle name="40% - Accent5 2 2 4 3 3 2" xfId="10791" xr:uid="{00000000-0005-0000-0000-0000232A0000}"/>
    <cellStyle name="40% - Accent5 2 2 4 3 3 2 2" xfId="10792" xr:uid="{00000000-0005-0000-0000-0000242A0000}"/>
    <cellStyle name="40% - Accent5 2 2 4 3 3 3" xfId="10793" xr:uid="{00000000-0005-0000-0000-0000252A0000}"/>
    <cellStyle name="40% - Accent5 2 2 4 3 4" xfId="10794" xr:uid="{00000000-0005-0000-0000-0000262A0000}"/>
    <cellStyle name="40% - Accent5 2 2 4 3 4 2" xfId="10795" xr:uid="{00000000-0005-0000-0000-0000272A0000}"/>
    <cellStyle name="40% - Accent5 2 2 4 3 5" xfId="10796" xr:uid="{00000000-0005-0000-0000-0000282A0000}"/>
    <cellStyle name="40% - Accent5 2 2 4 4" xfId="10797" xr:uid="{00000000-0005-0000-0000-0000292A0000}"/>
    <cellStyle name="40% - Accent5 2 2 4 4 2" xfId="10798" xr:uid="{00000000-0005-0000-0000-00002A2A0000}"/>
    <cellStyle name="40% - Accent5 2 2 4 4 2 2" xfId="10799" xr:uid="{00000000-0005-0000-0000-00002B2A0000}"/>
    <cellStyle name="40% - Accent5 2 2 4 4 2 2 2" xfId="10800" xr:uid="{00000000-0005-0000-0000-00002C2A0000}"/>
    <cellStyle name="40% - Accent5 2 2 4 4 2 3" xfId="10801" xr:uid="{00000000-0005-0000-0000-00002D2A0000}"/>
    <cellStyle name="40% - Accent5 2 2 4 4 3" xfId="10802" xr:uid="{00000000-0005-0000-0000-00002E2A0000}"/>
    <cellStyle name="40% - Accent5 2 2 4 4 3 2" xfId="10803" xr:uid="{00000000-0005-0000-0000-00002F2A0000}"/>
    <cellStyle name="40% - Accent5 2 2 4 4 4" xfId="10804" xr:uid="{00000000-0005-0000-0000-0000302A0000}"/>
    <cellStyle name="40% - Accent5 2 2 4 5" xfId="10805" xr:uid="{00000000-0005-0000-0000-0000312A0000}"/>
    <cellStyle name="40% - Accent5 2 2 4 5 2" xfId="10806" xr:uid="{00000000-0005-0000-0000-0000322A0000}"/>
    <cellStyle name="40% - Accent5 2 2 4 5 2 2" xfId="10807" xr:uid="{00000000-0005-0000-0000-0000332A0000}"/>
    <cellStyle name="40% - Accent5 2 2 4 5 3" xfId="10808" xr:uid="{00000000-0005-0000-0000-0000342A0000}"/>
    <cellStyle name="40% - Accent5 2 2 4 6" xfId="10809" xr:uid="{00000000-0005-0000-0000-0000352A0000}"/>
    <cellStyle name="40% - Accent5 2 2 4 6 2" xfId="10810" xr:uid="{00000000-0005-0000-0000-0000362A0000}"/>
    <cellStyle name="40% - Accent5 2 2 4 7" xfId="10811" xr:uid="{00000000-0005-0000-0000-0000372A0000}"/>
    <cellStyle name="40% - Accent5 2 2 5" xfId="10812" xr:uid="{00000000-0005-0000-0000-0000382A0000}"/>
    <cellStyle name="40% - Accent5 2 2 5 2" xfId="10813" xr:uid="{00000000-0005-0000-0000-0000392A0000}"/>
    <cellStyle name="40% - Accent5 2 2 5 2 2" xfId="10814" xr:uid="{00000000-0005-0000-0000-00003A2A0000}"/>
    <cellStyle name="40% - Accent5 2 2 5 2 2 2" xfId="10815" xr:uid="{00000000-0005-0000-0000-00003B2A0000}"/>
    <cellStyle name="40% - Accent5 2 2 5 2 2 2 2" xfId="10816" xr:uid="{00000000-0005-0000-0000-00003C2A0000}"/>
    <cellStyle name="40% - Accent5 2 2 5 2 2 2 2 2" xfId="10817" xr:uid="{00000000-0005-0000-0000-00003D2A0000}"/>
    <cellStyle name="40% - Accent5 2 2 5 2 2 2 3" xfId="10818" xr:uid="{00000000-0005-0000-0000-00003E2A0000}"/>
    <cellStyle name="40% - Accent5 2 2 5 2 2 3" xfId="10819" xr:uid="{00000000-0005-0000-0000-00003F2A0000}"/>
    <cellStyle name="40% - Accent5 2 2 5 2 2 3 2" xfId="10820" xr:uid="{00000000-0005-0000-0000-0000402A0000}"/>
    <cellStyle name="40% - Accent5 2 2 5 2 2 4" xfId="10821" xr:uid="{00000000-0005-0000-0000-0000412A0000}"/>
    <cellStyle name="40% - Accent5 2 2 5 2 3" xfId="10822" xr:uid="{00000000-0005-0000-0000-0000422A0000}"/>
    <cellStyle name="40% - Accent5 2 2 5 2 3 2" xfId="10823" xr:uid="{00000000-0005-0000-0000-0000432A0000}"/>
    <cellStyle name="40% - Accent5 2 2 5 2 3 2 2" xfId="10824" xr:uid="{00000000-0005-0000-0000-0000442A0000}"/>
    <cellStyle name="40% - Accent5 2 2 5 2 3 3" xfId="10825" xr:uid="{00000000-0005-0000-0000-0000452A0000}"/>
    <cellStyle name="40% - Accent5 2 2 5 2 4" xfId="10826" xr:uid="{00000000-0005-0000-0000-0000462A0000}"/>
    <cellStyle name="40% - Accent5 2 2 5 2 4 2" xfId="10827" xr:uid="{00000000-0005-0000-0000-0000472A0000}"/>
    <cellStyle name="40% - Accent5 2 2 5 2 5" xfId="10828" xr:uid="{00000000-0005-0000-0000-0000482A0000}"/>
    <cellStyle name="40% - Accent5 2 2 5 3" xfId="10829" xr:uid="{00000000-0005-0000-0000-0000492A0000}"/>
    <cellStyle name="40% - Accent5 2 2 5 3 2" xfId="10830" xr:uid="{00000000-0005-0000-0000-00004A2A0000}"/>
    <cellStyle name="40% - Accent5 2 2 5 3 2 2" xfId="10831" xr:uid="{00000000-0005-0000-0000-00004B2A0000}"/>
    <cellStyle name="40% - Accent5 2 2 5 3 2 2 2" xfId="10832" xr:uid="{00000000-0005-0000-0000-00004C2A0000}"/>
    <cellStyle name="40% - Accent5 2 2 5 3 2 3" xfId="10833" xr:uid="{00000000-0005-0000-0000-00004D2A0000}"/>
    <cellStyle name="40% - Accent5 2 2 5 3 3" xfId="10834" xr:uid="{00000000-0005-0000-0000-00004E2A0000}"/>
    <cellStyle name="40% - Accent5 2 2 5 3 3 2" xfId="10835" xr:uid="{00000000-0005-0000-0000-00004F2A0000}"/>
    <cellStyle name="40% - Accent5 2 2 5 3 4" xfId="10836" xr:uid="{00000000-0005-0000-0000-0000502A0000}"/>
    <cellStyle name="40% - Accent5 2 2 5 4" xfId="10837" xr:uid="{00000000-0005-0000-0000-0000512A0000}"/>
    <cellStyle name="40% - Accent5 2 2 5 4 2" xfId="10838" xr:uid="{00000000-0005-0000-0000-0000522A0000}"/>
    <cellStyle name="40% - Accent5 2 2 5 4 2 2" xfId="10839" xr:uid="{00000000-0005-0000-0000-0000532A0000}"/>
    <cellStyle name="40% - Accent5 2 2 5 4 3" xfId="10840" xr:uid="{00000000-0005-0000-0000-0000542A0000}"/>
    <cellStyle name="40% - Accent5 2 2 5 5" xfId="10841" xr:uid="{00000000-0005-0000-0000-0000552A0000}"/>
    <cellStyle name="40% - Accent5 2 2 5 5 2" xfId="10842" xr:uid="{00000000-0005-0000-0000-0000562A0000}"/>
    <cellStyle name="40% - Accent5 2 2 5 6" xfId="10843" xr:uid="{00000000-0005-0000-0000-0000572A0000}"/>
    <cellStyle name="40% - Accent5 2 2 6" xfId="10844" xr:uid="{00000000-0005-0000-0000-0000582A0000}"/>
    <cellStyle name="40% - Accent5 2 2 6 2" xfId="10845" xr:uid="{00000000-0005-0000-0000-0000592A0000}"/>
    <cellStyle name="40% - Accent5 2 2 6 2 2" xfId="10846" xr:uid="{00000000-0005-0000-0000-00005A2A0000}"/>
    <cellStyle name="40% - Accent5 2 2 6 2 2 2" xfId="10847" xr:uid="{00000000-0005-0000-0000-00005B2A0000}"/>
    <cellStyle name="40% - Accent5 2 2 6 2 2 2 2" xfId="10848" xr:uid="{00000000-0005-0000-0000-00005C2A0000}"/>
    <cellStyle name="40% - Accent5 2 2 6 2 2 3" xfId="10849" xr:uid="{00000000-0005-0000-0000-00005D2A0000}"/>
    <cellStyle name="40% - Accent5 2 2 6 2 3" xfId="10850" xr:uid="{00000000-0005-0000-0000-00005E2A0000}"/>
    <cellStyle name="40% - Accent5 2 2 6 2 3 2" xfId="10851" xr:uid="{00000000-0005-0000-0000-00005F2A0000}"/>
    <cellStyle name="40% - Accent5 2 2 6 2 4" xfId="10852" xr:uid="{00000000-0005-0000-0000-0000602A0000}"/>
    <cellStyle name="40% - Accent5 2 2 6 3" xfId="10853" xr:uid="{00000000-0005-0000-0000-0000612A0000}"/>
    <cellStyle name="40% - Accent5 2 2 6 3 2" xfId="10854" xr:uid="{00000000-0005-0000-0000-0000622A0000}"/>
    <cellStyle name="40% - Accent5 2 2 6 3 2 2" xfId="10855" xr:uid="{00000000-0005-0000-0000-0000632A0000}"/>
    <cellStyle name="40% - Accent5 2 2 6 3 3" xfId="10856" xr:uid="{00000000-0005-0000-0000-0000642A0000}"/>
    <cellStyle name="40% - Accent5 2 2 6 4" xfId="10857" xr:uid="{00000000-0005-0000-0000-0000652A0000}"/>
    <cellStyle name="40% - Accent5 2 2 6 4 2" xfId="10858" xr:uid="{00000000-0005-0000-0000-0000662A0000}"/>
    <cellStyle name="40% - Accent5 2 2 6 5" xfId="10859" xr:uid="{00000000-0005-0000-0000-0000672A0000}"/>
    <cellStyle name="40% - Accent5 2 2 7" xfId="10860" xr:uid="{00000000-0005-0000-0000-0000682A0000}"/>
    <cellStyle name="40% - Accent5 2 2 7 2" xfId="10861" xr:uid="{00000000-0005-0000-0000-0000692A0000}"/>
    <cellStyle name="40% - Accent5 2 2 7 2 2" xfId="10862" xr:uid="{00000000-0005-0000-0000-00006A2A0000}"/>
    <cellStyle name="40% - Accent5 2 2 7 2 2 2" xfId="10863" xr:uid="{00000000-0005-0000-0000-00006B2A0000}"/>
    <cellStyle name="40% - Accent5 2 2 7 2 3" xfId="10864" xr:uid="{00000000-0005-0000-0000-00006C2A0000}"/>
    <cellStyle name="40% - Accent5 2 2 7 3" xfId="10865" xr:uid="{00000000-0005-0000-0000-00006D2A0000}"/>
    <cellStyle name="40% - Accent5 2 2 7 3 2" xfId="10866" xr:uid="{00000000-0005-0000-0000-00006E2A0000}"/>
    <cellStyle name="40% - Accent5 2 2 7 4" xfId="10867" xr:uid="{00000000-0005-0000-0000-00006F2A0000}"/>
    <cellStyle name="40% - Accent5 2 2 8" xfId="10868" xr:uid="{00000000-0005-0000-0000-0000702A0000}"/>
    <cellStyle name="40% - Accent5 2 2 8 2" xfId="10869" xr:uid="{00000000-0005-0000-0000-0000712A0000}"/>
    <cellStyle name="40% - Accent5 2 2 8 2 2" xfId="10870" xr:uid="{00000000-0005-0000-0000-0000722A0000}"/>
    <cellStyle name="40% - Accent5 2 2 8 3" xfId="10871" xr:uid="{00000000-0005-0000-0000-0000732A0000}"/>
    <cellStyle name="40% - Accent5 2 2 9" xfId="10872" xr:uid="{00000000-0005-0000-0000-0000742A0000}"/>
    <cellStyle name="40% - Accent5 2 2 9 2" xfId="10873" xr:uid="{00000000-0005-0000-0000-0000752A0000}"/>
    <cellStyle name="40% - Accent5 2 3" xfId="10874" xr:uid="{00000000-0005-0000-0000-0000762A0000}"/>
    <cellStyle name="40% - Accent5 2 3 2" xfId="10875" xr:uid="{00000000-0005-0000-0000-0000772A0000}"/>
    <cellStyle name="40% - Accent5 2 3 2 2" xfId="10876" xr:uid="{00000000-0005-0000-0000-0000782A0000}"/>
    <cellStyle name="40% - Accent5 2 3 2 2 2" xfId="10877" xr:uid="{00000000-0005-0000-0000-0000792A0000}"/>
    <cellStyle name="40% - Accent5 2 3 2 2 2 2" xfId="10878" xr:uid="{00000000-0005-0000-0000-00007A2A0000}"/>
    <cellStyle name="40% - Accent5 2 3 2 2 2 2 2" xfId="10879" xr:uid="{00000000-0005-0000-0000-00007B2A0000}"/>
    <cellStyle name="40% - Accent5 2 3 2 2 2 2 2 2" xfId="10880" xr:uid="{00000000-0005-0000-0000-00007C2A0000}"/>
    <cellStyle name="40% - Accent5 2 3 2 2 2 2 2 2 2" xfId="10881" xr:uid="{00000000-0005-0000-0000-00007D2A0000}"/>
    <cellStyle name="40% - Accent5 2 3 2 2 2 2 2 2 2 2" xfId="10882" xr:uid="{00000000-0005-0000-0000-00007E2A0000}"/>
    <cellStyle name="40% - Accent5 2 3 2 2 2 2 2 2 3" xfId="10883" xr:uid="{00000000-0005-0000-0000-00007F2A0000}"/>
    <cellStyle name="40% - Accent5 2 3 2 2 2 2 2 3" xfId="10884" xr:uid="{00000000-0005-0000-0000-0000802A0000}"/>
    <cellStyle name="40% - Accent5 2 3 2 2 2 2 2 3 2" xfId="10885" xr:uid="{00000000-0005-0000-0000-0000812A0000}"/>
    <cellStyle name="40% - Accent5 2 3 2 2 2 2 2 4" xfId="10886" xr:uid="{00000000-0005-0000-0000-0000822A0000}"/>
    <cellStyle name="40% - Accent5 2 3 2 2 2 2 3" xfId="10887" xr:uid="{00000000-0005-0000-0000-0000832A0000}"/>
    <cellStyle name="40% - Accent5 2 3 2 2 2 2 3 2" xfId="10888" xr:uid="{00000000-0005-0000-0000-0000842A0000}"/>
    <cellStyle name="40% - Accent5 2 3 2 2 2 2 3 2 2" xfId="10889" xr:uid="{00000000-0005-0000-0000-0000852A0000}"/>
    <cellStyle name="40% - Accent5 2 3 2 2 2 2 3 3" xfId="10890" xr:uid="{00000000-0005-0000-0000-0000862A0000}"/>
    <cellStyle name="40% - Accent5 2 3 2 2 2 2 4" xfId="10891" xr:uid="{00000000-0005-0000-0000-0000872A0000}"/>
    <cellStyle name="40% - Accent5 2 3 2 2 2 2 4 2" xfId="10892" xr:uid="{00000000-0005-0000-0000-0000882A0000}"/>
    <cellStyle name="40% - Accent5 2 3 2 2 2 2 5" xfId="10893" xr:uid="{00000000-0005-0000-0000-0000892A0000}"/>
    <cellStyle name="40% - Accent5 2 3 2 2 2 3" xfId="10894" xr:uid="{00000000-0005-0000-0000-00008A2A0000}"/>
    <cellStyle name="40% - Accent5 2 3 2 2 2 3 2" xfId="10895" xr:uid="{00000000-0005-0000-0000-00008B2A0000}"/>
    <cellStyle name="40% - Accent5 2 3 2 2 2 3 2 2" xfId="10896" xr:uid="{00000000-0005-0000-0000-00008C2A0000}"/>
    <cellStyle name="40% - Accent5 2 3 2 2 2 3 2 2 2" xfId="10897" xr:uid="{00000000-0005-0000-0000-00008D2A0000}"/>
    <cellStyle name="40% - Accent5 2 3 2 2 2 3 2 3" xfId="10898" xr:uid="{00000000-0005-0000-0000-00008E2A0000}"/>
    <cellStyle name="40% - Accent5 2 3 2 2 2 3 3" xfId="10899" xr:uid="{00000000-0005-0000-0000-00008F2A0000}"/>
    <cellStyle name="40% - Accent5 2 3 2 2 2 3 3 2" xfId="10900" xr:uid="{00000000-0005-0000-0000-0000902A0000}"/>
    <cellStyle name="40% - Accent5 2 3 2 2 2 3 4" xfId="10901" xr:uid="{00000000-0005-0000-0000-0000912A0000}"/>
    <cellStyle name="40% - Accent5 2 3 2 2 2 4" xfId="10902" xr:uid="{00000000-0005-0000-0000-0000922A0000}"/>
    <cellStyle name="40% - Accent5 2 3 2 2 2 4 2" xfId="10903" xr:uid="{00000000-0005-0000-0000-0000932A0000}"/>
    <cellStyle name="40% - Accent5 2 3 2 2 2 4 2 2" xfId="10904" xr:uid="{00000000-0005-0000-0000-0000942A0000}"/>
    <cellStyle name="40% - Accent5 2 3 2 2 2 4 3" xfId="10905" xr:uid="{00000000-0005-0000-0000-0000952A0000}"/>
    <cellStyle name="40% - Accent5 2 3 2 2 2 5" xfId="10906" xr:uid="{00000000-0005-0000-0000-0000962A0000}"/>
    <cellStyle name="40% - Accent5 2 3 2 2 2 5 2" xfId="10907" xr:uid="{00000000-0005-0000-0000-0000972A0000}"/>
    <cellStyle name="40% - Accent5 2 3 2 2 2 6" xfId="10908" xr:uid="{00000000-0005-0000-0000-0000982A0000}"/>
    <cellStyle name="40% - Accent5 2 3 2 2 3" xfId="10909" xr:uid="{00000000-0005-0000-0000-0000992A0000}"/>
    <cellStyle name="40% - Accent5 2 3 2 2 3 2" xfId="10910" xr:uid="{00000000-0005-0000-0000-00009A2A0000}"/>
    <cellStyle name="40% - Accent5 2 3 2 2 3 2 2" xfId="10911" xr:uid="{00000000-0005-0000-0000-00009B2A0000}"/>
    <cellStyle name="40% - Accent5 2 3 2 2 3 2 2 2" xfId="10912" xr:uid="{00000000-0005-0000-0000-00009C2A0000}"/>
    <cellStyle name="40% - Accent5 2 3 2 2 3 2 2 2 2" xfId="10913" xr:uid="{00000000-0005-0000-0000-00009D2A0000}"/>
    <cellStyle name="40% - Accent5 2 3 2 2 3 2 2 3" xfId="10914" xr:uid="{00000000-0005-0000-0000-00009E2A0000}"/>
    <cellStyle name="40% - Accent5 2 3 2 2 3 2 3" xfId="10915" xr:uid="{00000000-0005-0000-0000-00009F2A0000}"/>
    <cellStyle name="40% - Accent5 2 3 2 2 3 2 3 2" xfId="10916" xr:uid="{00000000-0005-0000-0000-0000A02A0000}"/>
    <cellStyle name="40% - Accent5 2 3 2 2 3 2 4" xfId="10917" xr:uid="{00000000-0005-0000-0000-0000A12A0000}"/>
    <cellStyle name="40% - Accent5 2 3 2 2 3 3" xfId="10918" xr:uid="{00000000-0005-0000-0000-0000A22A0000}"/>
    <cellStyle name="40% - Accent5 2 3 2 2 3 3 2" xfId="10919" xr:uid="{00000000-0005-0000-0000-0000A32A0000}"/>
    <cellStyle name="40% - Accent5 2 3 2 2 3 3 2 2" xfId="10920" xr:uid="{00000000-0005-0000-0000-0000A42A0000}"/>
    <cellStyle name="40% - Accent5 2 3 2 2 3 3 3" xfId="10921" xr:uid="{00000000-0005-0000-0000-0000A52A0000}"/>
    <cellStyle name="40% - Accent5 2 3 2 2 3 4" xfId="10922" xr:uid="{00000000-0005-0000-0000-0000A62A0000}"/>
    <cellStyle name="40% - Accent5 2 3 2 2 3 4 2" xfId="10923" xr:uid="{00000000-0005-0000-0000-0000A72A0000}"/>
    <cellStyle name="40% - Accent5 2 3 2 2 3 5" xfId="10924" xr:uid="{00000000-0005-0000-0000-0000A82A0000}"/>
    <cellStyle name="40% - Accent5 2 3 2 2 4" xfId="10925" xr:uid="{00000000-0005-0000-0000-0000A92A0000}"/>
    <cellStyle name="40% - Accent5 2 3 2 2 4 2" xfId="10926" xr:uid="{00000000-0005-0000-0000-0000AA2A0000}"/>
    <cellStyle name="40% - Accent5 2 3 2 2 4 2 2" xfId="10927" xr:uid="{00000000-0005-0000-0000-0000AB2A0000}"/>
    <cellStyle name="40% - Accent5 2 3 2 2 4 2 2 2" xfId="10928" xr:uid="{00000000-0005-0000-0000-0000AC2A0000}"/>
    <cellStyle name="40% - Accent5 2 3 2 2 4 2 3" xfId="10929" xr:uid="{00000000-0005-0000-0000-0000AD2A0000}"/>
    <cellStyle name="40% - Accent5 2 3 2 2 4 3" xfId="10930" xr:uid="{00000000-0005-0000-0000-0000AE2A0000}"/>
    <cellStyle name="40% - Accent5 2 3 2 2 4 3 2" xfId="10931" xr:uid="{00000000-0005-0000-0000-0000AF2A0000}"/>
    <cellStyle name="40% - Accent5 2 3 2 2 4 4" xfId="10932" xr:uid="{00000000-0005-0000-0000-0000B02A0000}"/>
    <cellStyle name="40% - Accent5 2 3 2 2 5" xfId="10933" xr:uid="{00000000-0005-0000-0000-0000B12A0000}"/>
    <cellStyle name="40% - Accent5 2 3 2 2 5 2" xfId="10934" xr:uid="{00000000-0005-0000-0000-0000B22A0000}"/>
    <cellStyle name="40% - Accent5 2 3 2 2 5 2 2" xfId="10935" xr:uid="{00000000-0005-0000-0000-0000B32A0000}"/>
    <cellStyle name="40% - Accent5 2 3 2 2 5 3" xfId="10936" xr:uid="{00000000-0005-0000-0000-0000B42A0000}"/>
    <cellStyle name="40% - Accent5 2 3 2 2 6" xfId="10937" xr:uid="{00000000-0005-0000-0000-0000B52A0000}"/>
    <cellStyle name="40% - Accent5 2 3 2 2 6 2" xfId="10938" xr:uid="{00000000-0005-0000-0000-0000B62A0000}"/>
    <cellStyle name="40% - Accent5 2 3 2 2 7" xfId="10939" xr:uid="{00000000-0005-0000-0000-0000B72A0000}"/>
    <cellStyle name="40% - Accent5 2 3 2 3" xfId="10940" xr:uid="{00000000-0005-0000-0000-0000B82A0000}"/>
    <cellStyle name="40% - Accent5 2 3 2 3 2" xfId="10941" xr:uid="{00000000-0005-0000-0000-0000B92A0000}"/>
    <cellStyle name="40% - Accent5 2 3 2 3 2 2" xfId="10942" xr:uid="{00000000-0005-0000-0000-0000BA2A0000}"/>
    <cellStyle name="40% - Accent5 2 3 2 3 2 2 2" xfId="10943" xr:uid="{00000000-0005-0000-0000-0000BB2A0000}"/>
    <cellStyle name="40% - Accent5 2 3 2 3 2 2 2 2" xfId="10944" xr:uid="{00000000-0005-0000-0000-0000BC2A0000}"/>
    <cellStyle name="40% - Accent5 2 3 2 3 2 2 2 2 2" xfId="10945" xr:uid="{00000000-0005-0000-0000-0000BD2A0000}"/>
    <cellStyle name="40% - Accent5 2 3 2 3 2 2 2 3" xfId="10946" xr:uid="{00000000-0005-0000-0000-0000BE2A0000}"/>
    <cellStyle name="40% - Accent5 2 3 2 3 2 2 3" xfId="10947" xr:uid="{00000000-0005-0000-0000-0000BF2A0000}"/>
    <cellStyle name="40% - Accent5 2 3 2 3 2 2 3 2" xfId="10948" xr:uid="{00000000-0005-0000-0000-0000C02A0000}"/>
    <cellStyle name="40% - Accent5 2 3 2 3 2 2 4" xfId="10949" xr:uid="{00000000-0005-0000-0000-0000C12A0000}"/>
    <cellStyle name="40% - Accent5 2 3 2 3 2 3" xfId="10950" xr:uid="{00000000-0005-0000-0000-0000C22A0000}"/>
    <cellStyle name="40% - Accent5 2 3 2 3 2 3 2" xfId="10951" xr:uid="{00000000-0005-0000-0000-0000C32A0000}"/>
    <cellStyle name="40% - Accent5 2 3 2 3 2 3 2 2" xfId="10952" xr:uid="{00000000-0005-0000-0000-0000C42A0000}"/>
    <cellStyle name="40% - Accent5 2 3 2 3 2 3 3" xfId="10953" xr:uid="{00000000-0005-0000-0000-0000C52A0000}"/>
    <cellStyle name="40% - Accent5 2 3 2 3 2 4" xfId="10954" xr:uid="{00000000-0005-0000-0000-0000C62A0000}"/>
    <cellStyle name="40% - Accent5 2 3 2 3 2 4 2" xfId="10955" xr:uid="{00000000-0005-0000-0000-0000C72A0000}"/>
    <cellStyle name="40% - Accent5 2 3 2 3 2 5" xfId="10956" xr:uid="{00000000-0005-0000-0000-0000C82A0000}"/>
    <cellStyle name="40% - Accent5 2 3 2 3 3" xfId="10957" xr:uid="{00000000-0005-0000-0000-0000C92A0000}"/>
    <cellStyle name="40% - Accent5 2 3 2 3 3 2" xfId="10958" xr:uid="{00000000-0005-0000-0000-0000CA2A0000}"/>
    <cellStyle name="40% - Accent5 2 3 2 3 3 2 2" xfId="10959" xr:uid="{00000000-0005-0000-0000-0000CB2A0000}"/>
    <cellStyle name="40% - Accent5 2 3 2 3 3 2 2 2" xfId="10960" xr:uid="{00000000-0005-0000-0000-0000CC2A0000}"/>
    <cellStyle name="40% - Accent5 2 3 2 3 3 2 3" xfId="10961" xr:uid="{00000000-0005-0000-0000-0000CD2A0000}"/>
    <cellStyle name="40% - Accent5 2 3 2 3 3 3" xfId="10962" xr:uid="{00000000-0005-0000-0000-0000CE2A0000}"/>
    <cellStyle name="40% - Accent5 2 3 2 3 3 3 2" xfId="10963" xr:uid="{00000000-0005-0000-0000-0000CF2A0000}"/>
    <cellStyle name="40% - Accent5 2 3 2 3 3 4" xfId="10964" xr:uid="{00000000-0005-0000-0000-0000D02A0000}"/>
    <cellStyle name="40% - Accent5 2 3 2 3 4" xfId="10965" xr:uid="{00000000-0005-0000-0000-0000D12A0000}"/>
    <cellStyle name="40% - Accent5 2 3 2 3 4 2" xfId="10966" xr:uid="{00000000-0005-0000-0000-0000D22A0000}"/>
    <cellStyle name="40% - Accent5 2 3 2 3 4 2 2" xfId="10967" xr:uid="{00000000-0005-0000-0000-0000D32A0000}"/>
    <cellStyle name="40% - Accent5 2 3 2 3 4 3" xfId="10968" xr:uid="{00000000-0005-0000-0000-0000D42A0000}"/>
    <cellStyle name="40% - Accent5 2 3 2 3 5" xfId="10969" xr:uid="{00000000-0005-0000-0000-0000D52A0000}"/>
    <cellStyle name="40% - Accent5 2 3 2 3 5 2" xfId="10970" xr:uid="{00000000-0005-0000-0000-0000D62A0000}"/>
    <cellStyle name="40% - Accent5 2 3 2 3 6" xfId="10971" xr:uid="{00000000-0005-0000-0000-0000D72A0000}"/>
    <cellStyle name="40% - Accent5 2 3 2 4" xfId="10972" xr:uid="{00000000-0005-0000-0000-0000D82A0000}"/>
    <cellStyle name="40% - Accent5 2 3 2 4 2" xfId="10973" xr:uid="{00000000-0005-0000-0000-0000D92A0000}"/>
    <cellStyle name="40% - Accent5 2 3 2 4 2 2" xfId="10974" xr:uid="{00000000-0005-0000-0000-0000DA2A0000}"/>
    <cellStyle name="40% - Accent5 2 3 2 4 2 2 2" xfId="10975" xr:uid="{00000000-0005-0000-0000-0000DB2A0000}"/>
    <cellStyle name="40% - Accent5 2 3 2 4 2 2 2 2" xfId="10976" xr:uid="{00000000-0005-0000-0000-0000DC2A0000}"/>
    <cellStyle name="40% - Accent5 2 3 2 4 2 2 3" xfId="10977" xr:uid="{00000000-0005-0000-0000-0000DD2A0000}"/>
    <cellStyle name="40% - Accent5 2 3 2 4 2 3" xfId="10978" xr:uid="{00000000-0005-0000-0000-0000DE2A0000}"/>
    <cellStyle name="40% - Accent5 2 3 2 4 2 3 2" xfId="10979" xr:uid="{00000000-0005-0000-0000-0000DF2A0000}"/>
    <cellStyle name="40% - Accent5 2 3 2 4 2 4" xfId="10980" xr:uid="{00000000-0005-0000-0000-0000E02A0000}"/>
    <cellStyle name="40% - Accent5 2 3 2 4 3" xfId="10981" xr:uid="{00000000-0005-0000-0000-0000E12A0000}"/>
    <cellStyle name="40% - Accent5 2 3 2 4 3 2" xfId="10982" xr:uid="{00000000-0005-0000-0000-0000E22A0000}"/>
    <cellStyle name="40% - Accent5 2 3 2 4 3 2 2" xfId="10983" xr:uid="{00000000-0005-0000-0000-0000E32A0000}"/>
    <cellStyle name="40% - Accent5 2 3 2 4 3 3" xfId="10984" xr:uid="{00000000-0005-0000-0000-0000E42A0000}"/>
    <cellStyle name="40% - Accent5 2 3 2 4 4" xfId="10985" xr:uid="{00000000-0005-0000-0000-0000E52A0000}"/>
    <cellStyle name="40% - Accent5 2 3 2 4 4 2" xfId="10986" xr:uid="{00000000-0005-0000-0000-0000E62A0000}"/>
    <cellStyle name="40% - Accent5 2 3 2 4 5" xfId="10987" xr:uid="{00000000-0005-0000-0000-0000E72A0000}"/>
    <cellStyle name="40% - Accent5 2 3 2 5" xfId="10988" xr:uid="{00000000-0005-0000-0000-0000E82A0000}"/>
    <cellStyle name="40% - Accent5 2 3 2 5 2" xfId="10989" xr:uid="{00000000-0005-0000-0000-0000E92A0000}"/>
    <cellStyle name="40% - Accent5 2 3 2 5 2 2" xfId="10990" xr:uid="{00000000-0005-0000-0000-0000EA2A0000}"/>
    <cellStyle name="40% - Accent5 2 3 2 5 2 2 2" xfId="10991" xr:uid="{00000000-0005-0000-0000-0000EB2A0000}"/>
    <cellStyle name="40% - Accent5 2 3 2 5 2 3" xfId="10992" xr:uid="{00000000-0005-0000-0000-0000EC2A0000}"/>
    <cellStyle name="40% - Accent5 2 3 2 5 3" xfId="10993" xr:uid="{00000000-0005-0000-0000-0000ED2A0000}"/>
    <cellStyle name="40% - Accent5 2 3 2 5 3 2" xfId="10994" xr:uid="{00000000-0005-0000-0000-0000EE2A0000}"/>
    <cellStyle name="40% - Accent5 2 3 2 5 4" xfId="10995" xr:uid="{00000000-0005-0000-0000-0000EF2A0000}"/>
    <cellStyle name="40% - Accent5 2 3 2 6" xfId="10996" xr:uid="{00000000-0005-0000-0000-0000F02A0000}"/>
    <cellStyle name="40% - Accent5 2 3 2 6 2" xfId="10997" xr:uid="{00000000-0005-0000-0000-0000F12A0000}"/>
    <cellStyle name="40% - Accent5 2 3 2 6 2 2" xfId="10998" xr:uid="{00000000-0005-0000-0000-0000F22A0000}"/>
    <cellStyle name="40% - Accent5 2 3 2 6 3" xfId="10999" xr:uid="{00000000-0005-0000-0000-0000F32A0000}"/>
    <cellStyle name="40% - Accent5 2 3 2 7" xfId="11000" xr:uid="{00000000-0005-0000-0000-0000F42A0000}"/>
    <cellStyle name="40% - Accent5 2 3 2 7 2" xfId="11001" xr:uid="{00000000-0005-0000-0000-0000F52A0000}"/>
    <cellStyle name="40% - Accent5 2 3 2 8" xfId="11002" xr:uid="{00000000-0005-0000-0000-0000F62A0000}"/>
    <cellStyle name="40% - Accent5 2 3 3" xfId="11003" xr:uid="{00000000-0005-0000-0000-0000F72A0000}"/>
    <cellStyle name="40% - Accent5 2 3 3 2" xfId="11004" xr:uid="{00000000-0005-0000-0000-0000F82A0000}"/>
    <cellStyle name="40% - Accent5 2 3 3 2 2" xfId="11005" xr:uid="{00000000-0005-0000-0000-0000F92A0000}"/>
    <cellStyle name="40% - Accent5 2 3 3 2 2 2" xfId="11006" xr:uid="{00000000-0005-0000-0000-0000FA2A0000}"/>
    <cellStyle name="40% - Accent5 2 3 3 2 2 2 2" xfId="11007" xr:uid="{00000000-0005-0000-0000-0000FB2A0000}"/>
    <cellStyle name="40% - Accent5 2 3 3 2 2 2 2 2" xfId="11008" xr:uid="{00000000-0005-0000-0000-0000FC2A0000}"/>
    <cellStyle name="40% - Accent5 2 3 3 2 2 2 2 2 2" xfId="11009" xr:uid="{00000000-0005-0000-0000-0000FD2A0000}"/>
    <cellStyle name="40% - Accent5 2 3 3 2 2 2 2 3" xfId="11010" xr:uid="{00000000-0005-0000-0000-0000FE2A0000}"/>
    <cellStyle name="40% - Accent5 2 3 3 2 2 2 3" xfId="11011" xr:uid="{00000000-0005-0000-0000-0000FF2A0000}"/>
    <cellStyle name="40% - Accent5 2 3 3 2 2 2 3 2" xfId="11012" xr:uid="{00000000-0005-0000-0000-0000002B0000}"/>
    <cellStyle name="40% - Accent5 2 3 3 2 2 2 4" xfId="11013" xr:uid="{00000000-0005-0000-0000-0000012B0000}"/>
    <cellStyle name="40% - Accent5 2 3 3 2 2 3" xfId="11014" xr:uid="{00000000-0005-0000-0000-0000022B0000}"/>
    <cellStyle name="40% - Accent5 2 3 3 2 2 3 2" xfId="11015" xr:uid="{00000000-0005-0000-0000-0000032B0000}"/>
    <cellStyle name="40% - Accent5 2 3 3 2 2 3 2 2" xfId="11016" xr:uid="{00000000-0005-0000-0000-0000042B0000}"/>
    <cellStyle name="40% - Accent5 2 3 3 2 2 3 3" xfId="11017" xr:uid="{00000000-0005-0000-0000-0000052B0000}"/>
    <cellStyle name="40% - Accent5 2 3 3 2 2 4" xfId="11018" xr:uid="{00000000-0005-0000-0000-0000062B0000}"/>
    <cellStyle name="40% - Accent5 2 3 3 2 2 4 2" xfId="11019" xr:uid="{00000000-0005-0000-0000-0000072B0000}"/>
    <cellStyle name="40% - Accent5 2 3 3 2 2 5" xfId="11020" xr:uid="{00000000-0005-0000-0000-0000082B0000}"/>
    <cellStyle name="40% - Accent5 2 3 3 2 3" xfId="11021" xr:uid="{00000000-0005-0000-0000-0000092B0000}"/>
    <cellStyle name="40% - Accent5 2 3 3 2 3 2" xfId="11022" xr:uid="{00000000-0005-0000-0000-00000A2B0000}"/>
    <cellStyle name="40% - Accent5 2 3 3 2 3 2 2" xfId="11023" xr:uid="{00000000-0005-0000-0000-00000B2B0000}"/>
    <cellStyle name="40% - Accent5 2 3 3 2 3 2 2 2" xfId="11024" xr:uid="{00000000-0005-0000-0000-00000C2B0000}"/>
    <cellStyle name="40% - Accent5 2 3 3 2 3 2 3" xfId="11025" xr:uid="{00000000-0005-0000-0000-00000D2B0000}"/>
    <cellStyle name="40% - Accent5 2 3 3 2 3 3" xfId="11026" xr:uid="{00000000-0005-0000-0000-00000E2B0000}"/>
    <cellStyle name="40% - Accent5 2 3 3 2 3 3 2" xfId="11027" xr:uid="{00000000-0005-0000-0000-00000F2B0000}"/>
    <cellStyle name="40% - Accent5 2 3 3 2 3 4" xfId="11028" xr:uid="{00000000-0005-0000-0000-0000102B0000}"/>
    <cellStyle name="40% - Accent5 2 3 3 2 4" xfId="11029" xr:uid="{00000000-0005-0000-0000-0000112B0000}"/>
    <cellStyle name="40% - Accent5 2 3 3 2 4 2" xfId="11030" xr:uid="{00000000-0005-0000-0000-0000122B0000}"/>
    <cellStyle name="40% - Accent5 2 3 3 2 4 2 2" xfId="11031" xr:uid="{00000000-0005-0000-0000-0000132B0000}"/>
    <cellStyle name="40% - Accent5 2 3 3 2 4 3" xfId="11032" xr:uid="{00000000-0005-0000-0000-0000142B0000}"/>
    <cellStyle name="40% - Accent5 2 3 3 2 5" xfId="11033" xr:uid="{00000000-0005-0000-0000-0000152B0000}"/>
    <cellStyle name="40% - Accent5 2 3 3 2 5 2" xfId="11034" xr:uid="{00000000-0005-0000-0000-0000162B0000}"/>
    <cellStyle name="40% - Accent5 2 3 3 2 6" xfId="11035" xr:uid="{00000000-0005-0000-0000-0000172B0000}"/>
    <cellStyle name="40% - Accent5 2 3 3 3" xfId="11036" xr:uid="{00000000-0005-0000-0000-0000182B0000}"/>
    <cellStyle name="40% - Accent5 2 3 3 3 2" xfId="11037" xr:uid="{00000000-0005-0000-0000-0000192B0000}"/>
    <cellStyle name="40% - Accent5 2 3 3 3 2 2" xfId="11038" xr:uid="{00000000-0005-0000-0000-00001A2B0000}"/>
    <cellStyle name="40% - Accent5 2 3 3 3 2 2 2" xfId="11039" xr:uid="{00000000-0005-0000-0000-00001B2B0000}"/>
    <cellStyle name="40% - Accent5 2 3 3 3 2 2 2 2" xfId="11040" xr:uid="{00000000-0005-0000-0000-00001C2B0000}"/>
    <cellStyle name="40% - Accent5 2 3 3 3 2 2 3" xfId="11041" xr:uid="{00000000-0005-0000-0000-00001D2B0000}"/>
    <cellStyle name="40% - Accent5 2 3 3 3 2 3" xfId="11042" xr:uid="{00000000-0005-0000-0000-00001E2B0000}"/>
    <cellStyle name="40% - Accent5 2 3 3 3 2 3 2" xfId="11043" xr:uid="{00000000-0005-0000-0000-00001F2B0000}"/>
    <cellStyle name="40% - Accent5 2 3 3 3 2 4" xfId="11044" xr:uid="{00000000-0005-0000-0000-0000202B0000}"/>
    <cellStyle name="40% - Accent5 2 3 3 3 3" xfId="11045" xr:uid="{00000000-0005-0000-0000-0000212B0000}"/>
    <cellStyle name="40% - Accent5 2 3 3 3 3 2" xfId="11046" xr:uid="{00000000-0005-0000-0000-0000222B0000}"/>
    <cellStyle name="40% - Accent5 2 3 3 3 3 2 2" xfId="11047" xr:uid="{00000000-0005-0000-0000-0000232B0000}"/>
    <cellStyle name="40% - Accent5 2 3 3 3 3 3" xfId="11048" xr:uid="{00000000-0005-0000-0000-0000242B0000}"/>
    <cellStyle name="40% - Accent5 2 3 3 3 4" xfId="11049" xr:uid="{00000000-0005-0000-0000-0000252B0000}"/>
    <cellStyle name="40% - Accent5 2 3 3 3 4 2" xfId="11050" xr:uid="{00000000-0005-0000-0000-0000262B0000}"/>
    <cellStyle name="40% - Accent5 2 3 3 3 5" xfId="11051" xr:uid="{00000000-0005-0000-0000-0000272B0000}"/>
    <cellStyle name="40% - Accent5 2 3 3 4" xfId="11052" xr:uid="{00000000-0005-0000-0000-0000282B0000}"/>
    <cellStyle name="40% - Accent5 2 3 3 4 2" xfId="11053" xr:uid="{00000000-0005-0000-0000-0000292B0000}"/>
    <cellStyle name="40% - Accent5 2 3 3 4 2 2" xfId="11054" xr:uid="{00000000-0005-0000-0000-00002A2B0000}"/>
    <cellStyle name="40% - Accent5 2 3 3 4 2 2 2" xfId="11055" xr:uid="{00000000-0005-0000-0000-00002B2B0000}"/>
    <cellStyle name="40% - Accent5 2 3 3 4 2 3" xfId="11056" xr:uid="{00000000-0005-0000-0000-00002C2B0000}"/>
    <cellStyle name="40% - Accent5 2 3 3 4 3" xfId="11057" xr:uid="{00000000-0005-0000-0000-00002D2B0000}"/>
    <cellStyle name="40% - Accent5 2 3 3 4 3 2" xfId="11058" xr:uid="{00000000-0005-0000-0000-00002E2B0000}"/>
    <cellStyle name="40% - Accent5 2 3 3 4 4" xfId="11059" xr:uid="{00000000-0005-0000-0000-00002F2B0000}"/>
    <cellStyle name="40% - Accent5 2 3 3 5" xfId="11060" xr:uid="{00000000-0005-0000-0000-0000302B0000}"/>
    <cellStyle name="40% - Accent5 2 3 3 5 2" xfId="11061" xr:uid="{00000000-0005-0000-0000-0000312B0000}"/>
    <cellStyle name="40% - Accent5 2 3 3 5 2 2" xfId="11062" xr:uid="{00000000-0005-0000-0000-0000322B0000}"/>
    <cellStyle name="40% - Accent5 2 3 3 5 3" xfId="11063" xr:uid="{00000000-0005-0000-0000-0000332B0000}"/>
    <cellStyle name="40% - Accent5 2 3 3 6" xfId="11064" xr:uid="{00000000-0005-0000-0000-0000342B0000}"/>
    <cellStyle name="40% - Accent5 2 3 3 6 2" xfId="11065" xr:uid="{00000000-0005-0000-0000-0000352B0000}"/>
    <cellStyle name="40% - Accent5 2 3 3 7" xfId="11066" xr:uid="{00000000-0005-0000-0000-0000362B0000}"/>
    <cellStyle name="40% - Accent5 2 3 4" xfId="11067" xr:uid="{00000000-0005-0000-0000-0000372B0000}"/>
    <cellStyle name="40% - Accent5 2 3 4 2" xfId="11068" xr:uid="{00000000-0005-0000-0000-0000382B0000}"/>
    <cellStyle name="40% - Accent5 2 3 4 2 2" xfId="11069" xr:uid="{00000000-0005-0000-0000-0000392B0000}"/>
    <cellStyle name="40% - Accent5 2 3 4 2 2 2" xfId="11070" xr:uid="{00000000-0005-0000-0000-00003A2B0000}"/>
    <cellStyle name="40% - Accent5 2 3 4 2 2 2 2" xfId="11071" xr:uid="{00000000-0005-0000-0000-00003B2B0000}"/>
    <cellStyle name="40% - Accent5 2 3 4 2 2 2 2 2" xfId="11072" xr:uid="{00000000-0005-0000-0000-00003C2B0000}"/>
    <cellStyle name="40% - Accent5 2 3 4 2 2 2 3" xfId="11073" xr:uid="{00000000-0005-0000-0000-00003D2B0000}"/>
    <cellStyle name="40% - Accent5 2 3 4 2 2 3" xfId="11074" xr:uid="{00000000-0005-0000-0000-00003E2B0000}"/>
    <cellStyle name="40% - Accent5 2 3 4 2 2 3 2" xfId="11075" xr:uid="{00000000-0005-0000-0000-00003F2B0000}"/>
    <cellStyle name="40% - Accent5 2 3 4 2 2 4" xfId="11076" xr:uid="{00000000-0005-0000-0000-0000402B0000}"/>
    <cellStyle name="40% - Accent5 2 3 4 2 3" xfId="11077" xr:uid="{00000000-0005-0000-0000-0000412B0000}"/>
    <cellStyle name="40% - Accent5 2 3 4 2 3 2" xfId="11078" xr:uid="{00000000-0005-0000-0000-0000422B0000}"/>
    <cellStyle name="40% - Accent5 2 3 4 2 3 2 2" xfId="11079" xr:uid="{00000000-0005-0000-0000-0000432B0000}"/>
    <cellStyle name="40% - Accent5 2 3 4 2 3 3" xfId="11080" xr:uid="{00000000-0005-0000-0000-0000442B0000}"/>
    <cellStyle name="40% - Accent5 2 3 4 2 4" xfId="11081" xr:uid="{00000000-0005-0000-0000-0000452B0000}"/>
    <cellStyle name="40% - Accent5 2 3 4 2 4 2" xfId="11082" xr:uid="{00000000-0005-0000-0000-0000462B0000}"/>
    <cellStyle name="40% - Accent5 2 3 4 2 5" xfId="11083" xr:uid="{00000000-0005-0000-0000-0000472B0000}"/>
    <cellStyle name="40% - Accent5 2 3 4 3" xfId="11084" xr:uid="{00000000-0005-0000-0000-0000482B0000}"/>
    <cellStyle name="40% - Accent5 2 3 4 3 2" xfId="11085" xr:uid="{00000000-0005-0000-0000-0000492B0000}"/>
    <cellStyle name="40% - Accent5 2 3 4 3 2 2" xfId="11086" xr:uid="{00000000-0005-0000-0000-00004A2B0000}"/>
    <cellStyle name="40% - Accent5 2 3 4 3 2 2 2" xfId="11087" xr:uid="{00000000-0005-0000-0000-00004B2B0000}"/>
    <cellStyle name="40% - Accent5 2 3 4 3 2 3" xfId="11088" xr:uid="{00000000-0005-0000-0000-00004C2B0000}"/>
    <cellStyle name="40% - Accent5 2 3 4 3 3" xfId="11089" xr:uid="{00000000-0005-0000-0000-00004D2B0000}"/>
    <cellStyle name="40% - Accent5 2 3 4 3 3 2" xfId="11090" xr:uid="{00000000-0005-0000-0000-00004E2B0000}"/>
    <cellStyle name="40% - Accent5 2 3 4 3 4" xfId="11091" xr:uid="{00000000-0005-0000-0000-00004F2B0000}"/>
    <cellStyle name="40% - Accent5 2 3 4 4" xfId="11092" xr:uid="{00000000-0005-0000-0000-0000502B0000}"/>
    <cellStyle name="40% - Accent5 2 3 4 4 2" xfId="11093" xr:uid="{00000000-0005-0000-0000-0000512B0000}"/>
    <cellStyle name="40% - Accent5 2 3 4 4 2 2" xfId="11094" xr:uid="{00000000-0005-0000-0000-0000522B0000}"/>
    <cellStyle name="40% - Accent5 2 3 4 4 3" xfId="11095" xr:uid="{00000000-0005-0000-0000-0000532B0000}"/>
    <cellStyle name="40% - Accent5 2 3 4 5" xfId="11096" xr:uid="{00000000-0005-0000-0000-0000542B0000}"/>
    <cellStyle name="40% - Accent5 2 3 4 5 2" xfId="11097" xr:uid="{00000000-0005-0000-0000-0000552B0000}"/>
    <cellStyle name="40% - Accent5 2 3 4 6" xfId="11098" xr:uid="{00000000-0005-0000-0000-0000562B0000}"/>
    <cellStyle name="40% - Accent5 2 3 5" xfId="11099" xr:uid="{00000000-0005-0000-0000-0000572B0000}"/>
    <cellStyle name="40% - Accent5 2 3 5 2" xfId="11100" xr:uid="{00000000-0005-0000-0000-0000582B0000}"/>
    <cellStyle name="40% - Accent5 2 3 5 2 2" xfId="11101" xr:uid="{00000000-0005-0000-0000-0000592B0000}"/>
    <cellStyle name="40% - Accent5 2 3 5 2 2 2" xfId="11102" xr:uid="{00000000-0005-0000-0000-00005A2B0000}"/>
    <cellStyle name="40% - Accent5 2 3 5 2 2 2 2" xfId="11103" xr:uid="{00000000-0005-0000-0000-00005B2B0000}"/>
    <cellStyle name="40% - Accent5 2 3 5 2 2 3" xfId="11104" xr:uid="{00000000-0005-0000-0000-00005C2B0000}"/>
    <cellStyle name="40% - Accent5 2 3 5 2 3" xfId="11105" xr:uid="{00000000-0005-0000-0000-00005D2B0000}"/>
    <cellStyle name="40% - Accent5 2 3 5 2 3 2" xfId="11106" xr:uid="{00000000-0005-0000-0000-00005E2B0000}"/>
    <cellStyle name="40% - Accent5 2 3 5 2 4" xfId="11107" xr:uid="{00000000-0005-0000-0000-00005F2B0000}"/>
    <cellStyle name="40% - Accent5 2 3 5 3" xfId="11108" xr:uid="{00000000-0005-0000-0000-0000602B0000}"/>
    <cellStyle name="40% - Accent5 2 3 5 3 2" xfId="11109" xr:uid="{00000000-0005-0000-0000-0000612B0000}"/>
    <cellStyle name="40% - Accent5 2 3 5 3 2 2" xfId="11110" xr:uid="{00000000-0005-0000-0000-0000622B0000}"/>
    <cellStyle name="40% - Accent5 2 3 5 3 3" xfId="11111" xr:uid="{00000000-0005-0000-0000-0000632B0000}"/>
    <cellStyle name="40% - Accent5 2 3 5 4" xfId="11112" xr:uid="{00000000-0005-0000-0000-0000642B0000}"/>
    <cellStyle name="40% - Accent5 2 3 5 4 2" xfId="11113" xr:uid="{00000000-0005-0000-0000-0000652B0000}"/>
    <cellStyle name="40% - Accent5 2 3 5 5" xfId="11114" xr:uid="{00000000-0005-0000-0000-0000662B0000}"/>
    <cellStyle name="40% - Accent5 2 3 6" xfId="11115" xr:uid="{00000000-0005-0000-0000-0000672B0000}"/>
    <cellStyle name="40% - Accent5 2 3 6 2" xfId="11116" xr:uid="{00000000-0005-0000-0000-0000682B0000}"/>
    <cellStyle name="40% - Accent5 2 3 6 2 2" xfId="11117" xr:uid="{00000000-0005-0000-0000-0000692B0000}"/>
    <cellStyle name="40% - Accent5 2 3 6 2 2 2" xfId="11118" xr:uid="{00000000-0005-0000-0000-00006A2B0000}"/>
    <cellStyle name="40% - Accent5 2 3 6 2 3" xfId="11119" xr:uid="{00000000-0005-0000-0000-00006B2B0000}"/>
    <cellStyle name="40% - Accent5 2 3 6 3" xfId="11120" xr:uid="{00000000-0005-0000-0000-00006C2B0000}"/>
    <cellStyle name="40% - Accent5 2 3 6 3 2" xfId="11121" xr:uid="{00000000-0005-0000-0000-00006D2B0000}"/>
    <cellStyle name="40% - Accent5 2 3 6 4" xfId="11122" xr:uid="{00000000-0005-0000-0000-00006E2B0000}"/>
    <cellStyle name="40% - Accent5 2 3 7" xfId="11123" xr:uid="{00000000-0005-0000-0000-00006F2B0000}"/>
    <cellStyle name="40% - Accent5 2 3 7 2" xfId="11124" xr:uid="{00000000-0005-0000-0000-0000702B0000}"/>
    <cellStyle name="40% - Accent5 2 3 7 2 2" xfId="11125" xr:uid="{00000000-0005-0000-0000-0000712B0000}"/>
    <cellStyle name="40% - Accent5 2 3 7 3" xfId="11126" xr:uid="{00000000-0005-0000-0000-0000722B0000}"/>
    <cellStyle name="40% - Accent5 2 3 8" xfId="11127" xr:uid="{00000000-0005-0000-0000-0000732B0000}"/>
    <cellStyle name="40% - Accent5 2 3 8 2" xfId="11128" xr:uid="{00000000-0005-0000-0000-0000742B0000}"/>
    <cellStyle name="40% - Accent5 2 3 9" xfId="11129" xr:uid="{00000000-0005-0000-0000-0000752B0000}"/>
    <cellStyle name="40% - Accent5 2 4" xfId="11130" xr:uid="{00000000-0005-0000-0000-0000762B0000}"/>
    <cellStyle name="40% - Accent5 2 4 2" xfId="11131" xr:uid="{00000000-0005-0000-0000-0000772B0000}"/>
    <cellStyle name="40% - Accent5 2 4 2 2" xfId="11132" xr:uid="{00000000-0005-0000-0000-0000782B0000}"/>
    <cellStyle name="40% - Accent5 2 4 2 2 2" xfId="11133" xr:uid="{00000000-0005-0000-0000-0000792B0000}"/>
    <cellStyle name="40% - Accent5 2 4 2 2 2 2" xfId="11134" xr:uid="{00000000-0005-0000-0000-00007A2B0000}"/>
    <cellStyle name="40% - Accent5 2 4 2 2 2 2 2" xfId="11135" xr:uid="{00000000-0005-0000-0000-00007B2B0000}"/>
    <cellStyle name="40% - Accent5 2 4 2 2 2 2 2 2" xfId="11136" xr:uid="{00000000-0005-0000-0000-00007C2B0000}"/>
    <cellStyle name="40% - Accent5 2 4 2 2 2 2 2 2 2" xfId="11137" xr:uid="{00000000-0005-0000-0000-00007D2B0000}"/>
    <cellStyle name="40% - Accent5 2 4 2 2 2 2 2 3" xfId="11138" xr:uid="{00000000-0005-0000-0000-00007E2B0000}"/>
    <cellStyle name="40% - Accent5 2 4 2 2 2 2 3" xfId="11139" xr:uid="{00000000-0005-0000-0000-00007F2B0000}"/>
    <cellStyle name="40% - Accent5 2 4 2 2 2 2 3 2" xfId="11140" xr:uid="{00000000-0005-0000-0000-0000802B0000}"/>
    <cellStyle name="40% - Accent5 2 4 2 2 2 2 4" xfId="11141" xr:uid="{00000000-0005-0000-0000-0000812B0000}"/>
    <cellStyle name="40% - Accent5 2 4 2 2 2 3" xfId="11142" xr:uid="{00000000-0005-0000-0000-0000822B0000}"/>
    <cellStyle name="40% - Accent5 2 4 2 2 2 3 2" xfId="11143" xr:uid="{00000000-0005-0000-0000-0000832B0000}"/>
    <cellStyle name="40% - Accent5 2 4 2 2 2 3 2 2" xfId="11144" xr:uid="{00000000-0005-0000-0000-0000842B0000}"/>
    <cellStyle name="40% - Accent5 2 4 2 2 2 3 3" xfId="11145" xr:uid="{00000000-0005-0000-0000-0000852B0000}"/>
    <cellStyle name="40% - Accent5 2 4 2 2 2 4" xfId="11146" xr:uid="{00000000-0005-0000-0000-0000862B0000}"/>
    <cellStyle name="40% - Accent5 2 4 2 2 2 4 2" xfId="11147" xr:uid="{00000000-0005-0000-0000-0000872B0000}"/>
    <cellStyle name="40% - Accent5 2 4 2 2 2 5" xfId="11148" xr:uid="{00000000-0005-0000-0000-0000882B0000}"/>
    <cellStyle name="40% - Accent5 2 4 2 2 3" xfId="11149" xr:uid="{00000000-0005-0000-0000-0000892B0000}"/>
    <cellStyle name="40% - Accent5 2 4 2 2 3 2" xfId="11150" xr:uid="{00000000-0005-0000-0000-00008A2B0000}"/>
    <cellStyle name="40% - Accent5 2 4 2 2 3 2 2" xfId="11151" xr:uid="{00000000-0005-0000-0000-00008B2B0000}"/>
    <cellStyle name="40% - Accent5 2 4 2 2 3 2 2 2" xfId="11152" xr:uid="{00000000-0005-0000-0000-00008C2B0000}"/>
    <cellStyle name="40% - Accent5 2 4 2 2 3 2 3" xfId="11153" xr:uid="{00000000-0005-0000-0000-00008D2B0000}"/>
    <cellStyle name="40% - Accent5 2 4 2 2 3 3" xfId="11154" xr:uid="{00000000-0005-0000-0000-00008E2B0000}"/>
    <cellStyle name="40% - Accent5 2 4 2 2 3 3 2" xfId="11155" xr:uid="{00000000-0005-0000-0000-00008F2B0000}"/>
    <cellStyle name="40% - Accent5 2 4 2 2 3 4" xfId="11156" xr:uid="{00000000-0005-0000-0000-0000902B0000}"/>
    <cellStyle name="40% - Accent5 2 4 2 2 4" xfId="11157" xr:uid="{00000000-0005-0000-0000-0000912B0000}"/>
    <cellStyle name="40% - Accent5 2 4 2 2 4 2" xfId="11158" xr:uid="{00000000-0005-0000-0000-0000922B0000}"/>
    <cellStyle name="40% - Accent5 2 4 2 2 4 2 2" xfId="11159" xr:uid="{00000000-0005-0000-0000-0000932B0000}"/>
    <cellStyle name="40% - Accent5 2 4 2 2 4 3" xfId="11160" xr:uid="{00000000-0005-0000-0000-0000942B0000}"/>
    <cellStyle name="40% - Accent5 2 4 2 2 5" xfId="11161" xr:uid="{00000000-0005-0000-0000-0000952B0000}"/>
    <cellStyle name="40% - Accent5 2 4 2 2 5 2" xfId="11162" xr:uid="{00000000-0005-0000-0000-0000962B0000}"/>
    <cellStyle name="40% - Accent5 2 4 2 2 6" xfId="11163" xr:uid="{00000000-0005-0000-0000-0000972B0000}"/>
    <cellStyle name="40% - Accent5 2 4 2 3" xfId="11164" xr:uid="{00000000-0005-0000-0000-0000982B0000}"/>
    <cellStyle name="40% - Accent5 2 4 2 3 2" xfId="11165" xr:uid="{00000000-0005-0000-0000-0000992B0000}"/>
    <cellStyle name="40% - Accent5 2 4 2 3 2 2" xfId="11166" xr:uid="{00000000-0005-0000-0000-00009A2B0000}"/>
    <cellStyle name="40% - Accent5 2 4 2 3 2 2 2" xfId="11167" xr:uid="{00000000-0005-0000-0000-00009B2B0000}"/>
    <cellStyle name="40% - Accent5 2 4 2 3 2 2 2 2" xfId="11168" xr:uid="{00000000-0005-0000-0000-00009C2B0000}"/>
    <cellStyle name="40% - Accent5 2 4 2 3 2 2 3" xfId="11169" xr:uid="{00000000-0005-0000-0000-00009D2B0000}"/>
    <cellStyle name="40% - Accent5 2 4 2 3 2 3" xfId="11170" xr:uid="{00000000-0005-0000-0000-00009E2B0000}"/>
    <cellStyle name="40% - Accent5 2 4 2 3 2 3 2" xfId="11171" xr:uid="{00000000-0005-0000-0000-00009F2B0000}"/>
    <cellStyle name="40% - Accent5 2 4 2 3 2 4" xfId="11172" xr:uid="{00000000-0005-0000-0000-0000A02B0000}"/>
    <cellStyle name="40% - Accent5 2 4 2 3 3" xfId="11173" xr:uid="{00000000-0005-0000-0000-0000A12B0000}"/>
    <cellStyle name="40% - Accent5 2 4 2 3 3 2" xfId="11174" xr:uid="{00000000-0005-0000-0000-0000A22B0000}"/>
    <cellStyle name="40% - Accent5 2 4 2 3 3 2 2" xfId="11175" xr:uid="{00000000-0005-0000-0000-0000A32B0000}"/>
    <cellStyle name="40% - Accent5 2 4 2 3 3 3" xfId="11176" xr:uid="{00000000-0005-0000-0000-0000A42B0000}"/>
    <cellStyle name="40% - Accent5 2 4 2 3 4" xfId="11177" xr:uid="{00000000-0005-0000-0000-0000A52B0000}"/>
    <cellStyle name="40% - Accent5 2 4 2 3 4 2" xfId="11178" xr:uid="{00000000-0005-0000-0000-0000A62B0000}"/>
    <cellStyle name="40% - Accent5 2 4 2 3 5" xfId="11179" xr:uid="{00000000-0005-0000-0000-0000A72B0000}"/>
    <cellStyle name="40% - Accent5 2 4 2 4" xfId="11180" xr:uid="{00000000-0005-0000-0000-0000A82B0000}"/>
    <cellStyle name="40% - Accent5 2 4 2 4 2" xfId="11181" xr:uid="{00000000-0005-0000-0000-0000A92B0000}"/>
    <cellStyle name="40% - Accent5 2 4 2 4 2 2" xfId="11182" xr:uid="{00000000-0005-0000-0000-0000AA2B0000}"/>
    <cellStyle name="40% - Accent5 2 4 2 4 2 2 2" xfId="11183" xr:uid="{00000000-0005-0000-0000-0000AB2B0000}"/>
    <cellStyle name="40% - Accent5 2 4 2 4 2 3" xfId="11184" xr:uid="{00000000-0005-0000-0000-0000AC2B0000}"/>
    <cellStyle name="40% - Accent5 2 4 2 4 3" xfId="11185" xr:uid="{00000000-0005-0000-0000-0000AD2B0000}"/>
    <cellStyle name="40% - Accent5 2 4 2 4 3 2" xfId="11186" xr:uid="{00000000-0005-0000-0000-0000AE2B0000}"/>
    <cellStyle name="40% - Accent5 2 4 2 4 4" xfId="11187" xr:uid="{00000000-0005-0000-0000-0000AF2B0000}"/>
    <cellStyle name="40% - Accent5 2 4 2 5" xfId="11188" xr:uid="{00000000-0005-0000-0000-0000B02B0000}"/>
    <cellStyle name="40% - Accent5 2 4 2 5 2" xfId="11189" xr:uid="{00000000-0005-0000-0000-0000B12B0000}"/>
    <cellStyle name="40% - Accent5 2 4 2 5 2 2" xfId="11190" xr:uid="{00000000-0005-0000-0000-0000B22B0000}"/>
    <cellStyle name="40% - Accent5 2 4 2 5 3" xfId="11191" xr:uid="{00000000-0005-0000-0000-0000B32B0000}"/>
    <cellStyle name="40% - Accent5 2 4 2 6" xfId="11192" xr:uid="{00000000-0005-0000-0000-0000B42B0000}"/>
    <cellStyle name="40% - Accent5 2 4 2 6 2" xfId="11193" xr:uid="{00000000-0005-0000-0000-0000B52B0000}"/>
    <cellStyle name="40% - Accent5 2 4 2 7" xfId="11194" xr:uid="{00000000-0005-0000-0000-0000B62B0000}"/>
    <cellStyle name="40% - Accent5 2 4 3" xfId="11195" xr:uid="{00000000-0005-0000-0000-0000B72B0000}"/>
    <cellStyle name="40% - Accent5 2 4 3 2" xfId="11196" xr:uid="{00000000-0005-0000-0000-0000B82B0000}"/>
    <cellStyle name="40% - Accent5 2 4 3 2 2" xfId="11197" xr:uid="{00000000-0005-0000-0000-0000B92B0000}"/>
    <cellStyle name="40% - Accent5 2 4 3 2 2 2" xfId="11198" xr:uid="{00000000-0005-0000-0000-0000BA2B0000}"/>
    <cellStyle name="40% - Accent5 2 4 3 2 2 2 2" xfId="11199" xr:uid="{00000000-0005-0000-0000-0000BB2B0000}"/>
    <cellStyle name="40% - Accent5 2 4 3 2 2 2 2 2" xfId="11200" xr:uid="{00000000-0005-0000-0000-0000BC2B0000}"/>
    <cellStyle name="40% - Accent5 2 4 3 2 2 2 3" xfId="11201" xr:uid="{00000000-0005-0000-0000-0000BD2B0000}"/>
    <cellStyle name="40% - Accent5 2 4 3 2 2 3" xfId="11202" xr:uid="{00000000-0005-0000-0000-0000BE2B0000}"/>
    <cellStyle name="40% - Accent5 2 4 3 2 2 3 2" xfId="11203" xr:uid="{00000000-0005-0000-0000-0000BF2B0000}"/>
    <cellStyle name="40% - Accent5 2 4 3 2 2 4" xfId="11204" xr:uid="{00000000-0005-0000-0000-0000C02B0000}"/>
    <cellStyle name="40% - Accent5 2 4 3 2 3" xfId="11205" xr:uid="{00000000-0005-0000-0000-0000C12B0000}"/>
    <cellStyle name="40% - Accent5 2 4 3 2 3 2" xfId="11206" xr:uid="{00000000-0005-0000-0000-0000C22B0000}"/>
    <cellStyle name="40% - Accent5 2 4 3 2 3 2 2" xfId="11207" xr:uid="{00000000-0005-0000-0000-0000C32B0000}"/>
    <cellStyle name="40% - Accent5 2 4 3 2 3 3" xfId="11208" xr:uid="{00000000-0005-0000-0000-0000C42B0000}"/>
    <cellStyle name="40% - Accent5 2 4 3 2 4" xfId="11209" xr:uid="{00000000-0005-0000-0000-0000C52B0000}"/>
    <cellStyle name="40% - Accent5 2 4 3 2 4 2" xfId="11210" xr:uid="{00000000-0005-0000-0000-0000C62B0000}"/>
    <cellStyle name="40% - Accent5 2 4 3 2 5" xfId="11211" xr:uid="{00000000-0005-0000-0000-0000C72B0000}"/>
    <cellStyle name="40% - Accent5 2 4 3 3" xfId="11212" xr:uid="{00000000-0005-0000-0000-0000C82B0000}"/>
    <cellStyle name="40% - Accent5 2 4 3 3 2" xfId="11213" xr:uid="{00000000-0005-0000-0000-0000C92B0000}"/>
    <cellStyle name="40% - Accent5 2 4 3 3 2 2" xfId="11214" xr:uid="{00000000-0005-0000-0000-0000CA2B0000}"/>
    <cellStyle name="40% - Accent5 2 4 3 3 2 2 2" xfId="11215" xr:uid="{00000000-0005-0000-0000-0000CB2B0000}"/>
    <cellStyle name="40% - Accent5 2 4 3 3 2 3" xfId="11216" xr:uid="{00000000-0005-0000-0000-0000CC2B0000}"/>
    <cellStyle name="40% - Accent5 2 4 3 3 3" xfId="11217" xr:uid="{00000000-0005-0000-0000-0000CD2B0000}"/>
    <cellStyle name="40% - Accent5 2 4 3 3 3 2" xfId="11218" xr:uid="{00000000-0005-0000-0000-0000CE2B0000}"/>
    <cellStyle name="40% - Accent5 2 4 3 3 4" xfId="11219" xr:uid="{00000000-0005-0000-0000-0000CF2B0000}"/>
    <cellStyle name="40% - Accent5 2 4 3 4" xfId="11220" xr:uid="{00000000-0005-0000-0000-0000D02B0000}"/>
    <cellStyle name="40% - Accent5 2 4 3 4 2" xfId="11221" xr:uid="{00000000-0005-0000-0000-0000D12B0000}"/>
    <cellStyle name="40% - Accent5 2 4 3 4 2 2" xfId="11222" xr:uid="{00000000-0005-0000-0000-0000D22B0000}"/>
    <cellStyle name="40% - Accent5 2 4 3 4 3" xfId="11223" xr:uid="{00000000-0005-0000-0000-0000D32B0000}"/>
    <cellStyle name="40% - Accent5 2 4 3 5" xfId="11224" xr:uid="{00000000-0005-0000-0000-0000D42B0000}"/>
    <cellStyle name="40% - Accent5 2 4 3 5 2" xfId="11225" xr:uid="{00000000-0005-0000-0000-0000D52B0000}"/>
    <cellStyle name="40% - Accent5 2 4 3 6" xfId="11226" xr:uid="{00000000-0005-0000-0000-0000D62B0000}"/>
    <cellStyle name="40% - Accent5 2 4 4" xfId="11227" xr:uid="{00000000-0005-0000-0000-0000D72B0000}"/>
    <cellStyle name="40% - Accent5 2 4 4 2" xfId="11228" xr:uid="{00000000-0005-0000-0000-0000D82B0000}"/>
    <cellStyle name="40% - Accent5 2 4 4 2 2" xfId="11229" xr:uid="{00000000-0005-0000-0000-0000D92B0000}"/>
    <cellStyle name="40% - Accent5 2 4 4 2 2 2" xfId="11230" xr:uid="{00000000-0005-0000-0000-0000DA2B0000}"/>
    <cellStyle name="40% - Accent5 2 4 4 2 2 2 2" xfId="11231" xr:uid="{00000000-0005-0000-0000-0000DB2B0000}"/>
    <cellStyle name="40% - Accent5 2 4 4 2 2 3" xfId="11232" xr:uid="{00000000-0005-0000-0000-0000DC2B0000}"/>
    <cellStyle name="40% - Accent5 2 4 4 2 3" xfId="11233" xr:uid="{00000000-0005-0000-0000-0000DD2B0000}"/>
    <cellStyle name="40% - Accent5 2 4 4 2 3 2" xfId="11234" xr:uid="{00000000-0005-0000-0000-0000DE2B0000}"/>
    <cellStyle name="40% - Accent5 2 4 4 2 4" xfId="11235" xr:uid="{00000000-0005-0000-0000-0000DF2B0000}"/>
    <cellStyle name="40% - Accent5 2 4 4 3" xfId="11236" xr:uid="{00000000-0005-0000-0000-0000E02B0000}"/>
    <cellStyle name="40% - Accent5 2 4 4 3 2" xfId="11237" xr:uid="{00000000-0005-0000-0000-0000E12B0000}"/>
    <cellStyle name="40% - Accent5 2 4 4 3 2 2" xfId="11238" xr:uid="{00000000-0005-0000-0000-0000E22B0000}"/>
    <cellStyle name="40% - Accent5 2 4 4 3 3" xfId="11239" xr:uid="{00000000-0005-0000-0000-0000E32B0000}"/>
    <cellStyle name="40% - Accent5 2 4 4 4" xfId="11240" xr:uid="{00000000-0005-0000-0000-0000E42B0000}"/>
    <cellStyle name="40% - Accent5 2 4 4 4 2" xfId="11241" xr:uid="{00000000-0005-0000-0000-0000E52B0000}"/>
    <cellStyle name="40% - Accent5 2 4 4 5" xfId="11242" xr:uid="{00000000-0005-0000-0000-0000E62B0000}"/>
    <cellStyle name="40% - Accent5 2 4 5" xfId="11243" xr:uid="{00000000-0005-0000-0000-0000E72B0000}"/>
    <cellStyle name="40% - Accent5 2 4 5 2" xfId="11244" xr:uid="{00000000-0005-0000-0000-0000E82B0000}"/>
    <cellStyle name="40% - Accent5 2 4 5 2 2" xfId="11245" xr:uid="{00000000-0005-0000-0000-0000E92B0000}"/>
    <cellStyle name="40% - Accent5 2 4 5 2 2 2" xfId="11246" xr:uid="{00000000-0005-0000-0000-0000EA2B0000}"/>
    <cellStyle name="40% - Accent5 2 4 5 2 3" xfId="11247" xr:uid="{00000000-0005-0000-0000-0000EB2B0000}"/>
    <cellStyle name="40% - Accent5 2 4 5 3" xfId="11248" xr:uid="{00000000-0005-0000-0000-0000EC2B0000}"/>
    <cellStyle name="40% - Accent5 2 4 5 3 2" xfId="11249" xr:uid="{00000000-0005-0000-0000-0000ED2B0000}"/>
    <cellStyle name="40% - Accent5 2 4 5 4" xfId="11250" xr:uid="{00000000-0005-0000-0000-0000EE2B0000}"/>
    <cellStyle name="40% - Accent5 2 4 6" xfId="11251" xr:uid="{00000000-0005-0000-0000-0000EF2B0000}"/>
    <cellStyle name="40% - Accent5 2 4 6 2" xfId="11252" xr:uid="{00000000-0005-0000-0000-0000F02B0000}"/>
    <cellStyle name="40% - Accent5 2 4 6 2 2" xfId="11253" xr:uid="{00000000-0005-0000-0000-0000F12B0000}"/>
    <cellStyle name="40% - Accent5 2 4 6 3" xfId="11254" xr:uid="{00000000-0005-0000-0000-0000F22B0000}"/>
    <cellStyle name="40% - Accent5 2 4 7" xfId="11255" xr:uid="{00000000-0005-0000-0000-0000F32B0000}"/>
    <cellStyle name="40% - Accent5 2 4 7 2" xfId="11256" xr:uid="{00000000-0005-0000-0000-0000F42B0000}"/>
    <cellStyle name="40% - Accent5 2 4 8" xfId="11257" xr:uid="{00000000-0005-0000-0000-0000F52B0000}"/>
    <cellStyle name="40% - Accent5 2 5" xfId="11258" xr:uid="{00000000-0005-0000-0000-0000F62B0000}"/>
    <cellStyle name="40% - Accent5 2 5 2" xfId="11259" xr:uid="{00000000-0005-0000-0000-0000F72B0000}"/>
    <cellStyle name="40% - Accent5 2 5 2 2" xfId="11260" xr:uid="{00000000-0005-0000-0000-0000F82B0000}"/>
    <cellStyle name="40% - Accent5 2 5 2 2 2" xfId="11261" xr:uid="{00000000-0005-0000-0000-0000F92B0000}"/>
    <cellStyle name="40% - Accent5 2 5 2 2 2 2" xfId="11262" xr:uid="{00000000-0005-0000-0000-0000FA2B0000}"/>
    <cellStyle name="40% - Accent5 2 5 2 2 2 2 2" xfId="11263" xr:uid="{00000000-0005-0000-0000-0000FB2B0000}"/>
    <cellStyle name="40% - Accent5 2 5 2 2 2 2 2 2" xfId="11264" xr:uid="{00000000-0005-0000-0000-0000FC2B0000}"/>
    <cellStyle name="40% - Accent5 2 5 2 2 2 2 3" xfId="11265" xr:uid="{00000000-0005-0000-0000-0000FD2B0000}"/>
    <cellStyle name="40% - Accent5 2 5 2 2 2 3" xfId="11266" xr:uid="{00000000-0005-0000-0000-0000FE2B0000}"/>
    <cellStyle name="40% - Accent5 2 5 2 2 2 3 2" xfId="11267" xr:uid="{00000000-0005-0000-0000-0000FF2B0000}"/>
    <cellStyle name="40% - Accent5 2 5 2 2 2 4" xfId="11268" xr:uid="{00000000-0005-0000-0000-0000002C0000}"/>
    <cellStyle name="40% - Accent5 2 5 2 2 3" xfId="11269" xr:uid="{00000000-0005-0000-0000-0000012C0000}"/>
    <cellStyle name="40% - Accent5 2 5 2 2 3 2" xfId="11270" xr:uid="{00000000-0005-0000-0000-0000022C0000}"/>
    <cellStyle name="40% - Accent5 2 5 2 2 3 2 2" xfId="11271" xr:uid="{00000000-0005-0000-0000-0000032C0000}"/>
    <cellStyle name="40% - Accent5 2 5 2 2 3 3" xfId="11272" xr:uid="{00000000-0005-0000-0000-0000042C0000}"/>
    <cellStyle name="40% - Accent5 2 5 2 2 4" xfId="11273" xr:uid="{00000000-0005-0000-0000-0000052C0000}"/>
    <cellStyle name="40% - Accent5 2 5 2 2 4 2" xfId="11274" xr:uid="{00000000-0005-0000-0000-0000062C0000}"/>
    <cellStyle name="40% - Accent5 2 5 2 2 5" xfId="11275" xr:uid="{00000000-0005-0000-0000-0000072C0000}"/>
    <cellStyle name="40% - Accent5 2 5 2 3" xfId="11276" xr:uid="{00000000-0005-0000-0000-0000082C0000}"/>
    <cellStyle name="40% - Accent5 2 5 2 3 2" xfId="11277" xr:uid="{00000000-0005-0000-0000-0000092C0000}"/>
    <cellStyle name="40% - Accent5 2 5 2 3 2 2" xfId="11278" xr:uid="{00000000-0005-0000-0000-00000A2C0000}"/>
    <cellStyle name="40% - Accent5 2 5 2 3 2 2 2" xfId="11279" xr:uid="{00000000-0005-0000-0000-00000B2C0000}"/>
    <cellStyle name="40% - Accent5 2 5 2 3 2 3" xfId="11280" xr:uid="{00000000-0005-0000-0000-00000C2C0000}"/>
    <cellStyle name="40% - Accent5 2 5 2 3 3" xfId="11281" xr:uid="{00000000-0005-0000-0000-00000D2C0000}"/>
    <cellStyle name="40% - Accent5 2 5 2 3 3 2" xfId="11282" xr:uid="{00000000-0005-0000-0000-00000E2C0000}"/>
    <cellStyle name="40% - Accent5 2 5 2 3 4" xfId="11283" xr:uid="{00000000-0005-0000-0000-00000F2C0000}"/>
    <cellStyle name="40% - Accent5 2 5 2 4" xfId="11284" xr:uid="{00000000-0005-0000-0000-0000102C0000}"/>
    <cellStyle name="40% - Accent5 2 5 2 4 2" xfId="11285" xr:uid="{00000000-0005-0000-0000-0000112C0000}"/>
    <cellStyle name="40% - Accent5 2 5 2 4 2 2" xfId="11286" xr:uid="{00000000-0005-0000-0000-0000122C0000}"/>
    <cellStyle name="40% - Accent5 2 5 2 4 3" xfId="11287" xr:uid="{00000000-0005-0000-0000-0000132C0000}"/>
    <cellStyle name="40% - Accent5 2 5 2 5" xfId="11288" xr:uid="{00000000-0005-0000-0000-0000142C0000}"/>
    <cellStyle name="40% - Accent5 2 5 2 5 2" xfId="11289" xr:uid="{00000000-0005-0000-0000-0000152C0000}"/>
    <cellStyle name="40% - Accent5 2 5 2 6" xfId="11290" xr:uid="{00000000-0005-0000-0000-0000162C0000}"/>
    <cellStyle name="40% - Accent5 2 5 3" xfId="11291" xr:uid="{00000000-0005-0000-0000-0000172C0000}"/>
    <cellStyle name="40% - Accent5 2 5 3 2" xfId="11292" xr:uid="{00000000-0005-0000-0000-0000182C0000}"/>
    <cellStyle name="40% - Accent5 2 5 3 2 2" xfId="11293" xr:uid="{00000000-0005-0000-0000-0000192C0000}"/>
    <cellStyle name="40% - Accent5 2 5 3 2 2 2" xfId="11294" xr:uid="{00000000-0005-0000-0000-00001A2C0000}"/>
    <cellStyle name="40% - Accent5 2 5 3 2 2 2 2" xfId="11295" xr:uid="{00000000-0005-0000-0000-00001B2C0000}"/>
    <cellStyle name="40% - Accent5 2 5 3 2 2 3" xfId="11296" xr:uid="{00000000-0005-0000-0000-00001C2C0000}"/>
    <cellStyle name="40% - Accent5 2 5 3 2 3" xfId="11297" xr:uid="{00000000-0005-0000-0000-00001D2C0000}"/>
    <cellStyle name="40% - Accent5 2 5 3 2 3 2" xfId="11298" xr:uid="{00000000-0005-0000-0000-00001E2C0000}"/>
    <cellStyle name="40% - Accent5 2 5 3 2 4" xfId="11299" xr:uid="{00000000-0005-0000-0000-00001F2C0000}"/>
    <cellStyle name="40% - Accent5 2 5 3 3" xfId="11300" xr:uid="{00000000-0005-0000-0000-0000202C0000}"/>
    <cellStyle name="40% - Accent5 2 5 3 3 2" xfId="11301" xr:uid="{00000000-0005-0000-0000-0000212C0000}"/>
    <cellStyle name="40% - Accent5 2 5 3 3 2 2" xfId="11302" xr:uid="{00000000-0005-0000-0000-0000222C0000}"/>
    <cellStyle name="40% - Accent5 2 5 3 3 3" xfId="11303" xr:uid="{00000000-0005-0000-0000-0000232C0000}"/>
    <cellStyle name="40% - Accent5 2 5 3 4" xfId="11304" xr:uid="{00000000-0005-0000-0000-0000242C0000}"/>
    <cellStyle name="40% - Accent5 2 5 3 4 2" xfId="11305" xr:uid="{00000000-0005-0000-0000-0000252C0000}"/>
    <cellStyle name="40% - Accent5 2 5 3 5" xfId="11306" xr:uid="{00000000-0005-0000-0000-0000262C0000}"/>
    <cellStyle name="40% - Accent5 2 5 4" xfId="11307" xr:uid="{00000000-0005-0000-0000-0000272C0000}"/>
    <cellStyle name="40% - Accent5 2 5 4 2" xfId="11308" xr:uid="{00000000-0005-0000-0000-0000282C0000}"/>
    <cellStyle name="40% - Accent5 2 5 4 2 2" xfId="11309" xr:uid="{00000000-0005-0000-0000-0000292C0000}"/>
    <cellStyle name="40% - Accent5 2 5 4 2 2 2" xfId="11310" xr:uid="{00000000-0005-0000-0000-00002A2C0000}"/>
    <cellStyle name="40% - Accent5 2 5 4 2 3" xfId="11311" xr:uid="{00000000-0005-0000-0000-00002B2C0000}"/>
    <cellStyle name="40% - Accent5 2 5 4 3" xfId="11312" xr:uid="{00000000-0005-0000-0000-00002C2C0000}"/>
    <cellStyle name="40% - Accent5 2 5 4 3 2" xfId="11313" xr:uid="{00000000-0005-0000-0000-00002D2C0000}"/>
    <cellStyle name="40% - Accent5 2 5 4 4" xfId="11314" xr:uid="{00000000-0005-0000-0000-00002E2C0000}"/>
    <cellStyle name="40% - Accent5 2 5 5" xfId="11315" xr:uid="{00000000-0005-0000-0000-00002F2C0000}"/>
    <cellStyle name="40% - Accent5 2 5 5 2" xfId="11316" xr:uid="{00000000-0005-0000-0000-0000302C0000}"/>
    <cellStyle name="40% - Accent5 2 5 5 2 2" xfId="11317" xr:uid="{00000000-0005-0000-0000-0000312C0000}"/>
    <cellStyle name="40% - Accent5 2 5 5 3" xfId="11318" xr:uid="{00000000-0005-0000-0000-0000322C0000}"/>
    <cellStyle name="40% - Accent5 2 5 6" xfId="11319" xr:uid="{00000000-0005-0000-0000-0000332C0000}"/>
    <cellStyle name="40% - Accent5 2 5 6 2" xfId="11320" xr:uid="{00000000-0005-0000-0000-0000342C0000}"/>
    <cellStyle name="40% - Accent5 2 5 7" xfId="11321" xr:uid="{00000000-0005-0000-0000-0000352C0000}"/>
    <cellStyle name="40% - Accent5 2 6" xfId="11322" xr:uid="{00000000-0005-0000-0000-0000362C0000}"/>
    <cellStyle name="40% - Accent5 2 6 2" xfId="11323" xr:uid="{00000000-0005-0000-0000-0000372C0000}"/>
    <cellStyle name="40% - Accent5 2 6 2 2" xfId="11324" xr:uid="{00000000-0005-0000-0000-0000382C0000}"/>
    <cellStyle name="40% - Accent5 2 6 2 2 2" xfId="11325" xr:uid="{00000000-0005-0000-0000-0000392C0000}"/>
    <cellStyle name="40% - Accent5 2 6 2 2 2 2" xfId="11326" xr:uid="{00000000-0005-0000-0000-00003A2C0000}"/>
    <cellStyle name="40% - Accent5 2 6 2 2 2 2 2" xfId="11327" xr:uid="{00000000-0005-0000-0000-00003B2C0000}"/>
    <cellStyle name="40% - Accent5 2 6 2 2 2 3" xfId="11328" xr:uid="{00000000-0005-0000-0000-00003C2C0000}"/>
    <cellStyle name="40% - Accent5 2 6 2 2 3" xfId="11329" xr:uid="{00000000-0005-0000-0000-00003D2C0000}"/>
    <cellStyle name="40% - Accent5 2 6 2 2 3 2" xfId="11330" xr:uid="{00000000-0005-0000-0000-00003E2C0000}"/>
    <cellStyle name="40% - Accent5 2 6 2 2 4" xfId="11331" xr:uid="{00000000-0005-0000-0000-00003F2C0000}"/>
    <cellStyle name="40% - Accent5 2 6 2 3" xfId="11332" xr:uid="{00000000-0005-0000-0000-0000402C0000}"/>
    <cellStyle name="40% - Accent5 2 6 2 3 2" xfId="11333" xr:uid="{00000000-0005-0000-0000-0000412C0000}"/>
    <cellStyle name="40% - Accent5 2 6 2 3 2 2" xfId="11334" xr:uid="{00000000-0005-0000-0000-0000422C0000}"/>
    <cellStyle name="40% - Accent5 2 6 2 3 3" xfId="11335" xr:uid="{00000000-0005-0000-0000-0000432C0000}"/>
    <cellStyle name="40% - Accent5 2 6 2 4" xfId="11336" xr:uid="{00000000-0005-0000-0000-0000442C0000}"/>
    <cellStyle name="40% - Accent5 2 6 2 4 2" xfId="11337" xr:uid="{00000000-0005-0000-0000-0000452C0000}"/>
    <cellStyle name="40% - Accent5 2 6 2 5" xfId="11338" xr:uid="{00000000-0005-0000-0000-0000462C0000}"/>
    <cellStyle name="40% - Accent5 2 6 3" xfId="11339" xr:uid="{00000000-0005-0000-0000-0000472C0000}"/>
    <cellStyle name="40% - Accent5 2 6 3 2" xfId="11340" xr:uid="{00000000-0005-0000-0000-0000482C0000}"/>
    <cellStyle name="40% - Accent5 2 6 3 2 2" xfId="11341" xr:uid="{00000000-0005-0000-0000-0000492C0000}"/>
    <cellStyle name="40% - Accent5 2 6 3 2 2 2" xfId="11342" xr:uid="{00000000-0005-0000-0000-00004A2C0000}"/>
    <cellStyle name="40% - Accent5 2 6 3 2 3" xfId="11343" xr:uid="{00000000-0005-0000-0000-00004B2C0000}"/>
    <cellStyle name="40% - Accent5 2 6 3 3" xfId="11344" xr:uid="{00000000-0005-0000-0000-00004C2C0000}"/>
    <cellStyle name="40% - Accent5 2 6 3 3 2" xfId="11345" xr:uid="{00000000-0005-0000-0000-00004D2C0000}"/>
    <cellStyle name="40% - Accent5 2 6 3 4" xfId="11346" xr:uid="{00000000-0005-0000-0000-00004E2C0000}"/>
    <cellStyle name="40% - Accent5 2 6 4" xfId="11347" xr:uid="{00000000-0005-0000-0000-00004F2C0000}"/>
    <cellStyle name="40% - Accent5 2 6 4 2" xfId="11348" xr:uid="{00000000-0005-0000-0000-0000502C0000}"/>
    <cellStyle name="40% - Accent5 2 6 4 2 2" xfId="11349" xr:uid="{00000000-0005-0000-0000-0000512C0000}"/>
    <cellStyle name="40% - Accent5 2 6 4 3" xfId="11350" xr:uid="{00000000-0005-0000-0000-0000522C0000}"/>
    <cellStyle name="40% - Accent5 2 6 5" xfId="11351" xr:uid="{00000000-0005-0000-0000-0000532C0000}"/>
    <cellStyle name="40% - Accent5 2 6 5 2" xfId="11352" xr:uid="{00000000-0005-0000-0000-0000542C0000}"/>
    <cellStyle name="40% - Accent5 2 6 6" xfId="11353" xr:uid="{00000000-0005-0000-0000-0000552C0000}"/>
    <cellStyle name="40% - Accent5 2 7" xfId="11354" xr:uid="{00000000-0005-0000-0000-0000562C0000}"/>
    <cellStyle name="40% - Accent5 2 7 2" xfId="11355" xr:uid="{00000000-0005-0000-0000-0000572C0000}"/>
    <cellStyle name="40% - Accent5 2 7 2 2" xfId="11356" xr:uid="{00000000-0005-0000-0000-0000582C0000}"/>
    <cellStyle name="40% - Accent5 2 7 2 2 2" xfId="11357" xr:uid="{00000000-0005-0000-0000-0000592C0000}"/>
    <cellStyle name="40% - Accent5 2 7 2 2 2 2" xfId="11358" xr:uid="{00000000-0005-0000-0000-00005A2C0000}"/>
    <cellStyle name="40% - Accent5 2 7 2 2 3" xfId="11359" xr:uid="{00000000-0005-0000-0000-00005B2C0000}"/>
    <cellStyle name="40% - Accent5 2 7 2 3" xfId="11360" xr:uid="{00000000-0005-0000-0000-00005C2C0000}"/>
    <cellStyle name="40% - Accent5 2 7 2 3 2" xfId="11361" xr:uid="{00000000-0005-0000-0000-00005D2C0000}"/>
    <cellStyle name="40% - Accent5 2 7 2 4" xfId="11362" xr:uid="{00000000-0005-0000-0000-00005E2C0000}"/>
    <cellStyle name="40% - Accent5 2 7 3" xfId="11363" xr:uid="{00000000-0005-0000-0000-00005F2C0000}"/>
    <cellStyle name="40% - Accent5 2 7 3 2" xfId="11364" xr:uid="{00000000-0005-0000-0000-0000602C0000}"/>
    <cellStyle name="40% - Accent5 2 7 3 2 2" xfId="11365" xr:uid="{00000000-0005-0000-0000-0000612C0000}"/>
    <cellStyle name="40% - Accent5 2 7 3 3" xfId="11366" xr:uid="{00000000-0005-0000-0000-0000622C0000}"/>
    <cellStyle name="40% - Accent5 2 7 4" xfId="11367" xr:uid="{00000000-0005-0000-0000-0000632C0000}"/>
    <cellStyle name="40% - Accent5 2 7 4 2" xfId="11368" xr:uid="{00000000-0005-0000-0000-0000642C0000}"/>
    <cellStyle name="40% - Accent5 2 7 5" xfId="11369" xr:uid="{00000000-0005-0000-0000-0000652C0000}"/>
    <cellStyle name="40% - Accent5 2 8" xfId="11370" xr:uid="{00000000-0005-0000-0000-0000662C0000}"/>
    <cellStyle name="40% - Accent5 2 8 2" xfId="11371" xr:uid="{00000000-0005-0000-0000-0000672C0000}"/>
    <cellStyle name="40% - Accent5 2 8 2 2" xfId="11372" xr:uid="{00000000-0005-0000-0000-0000682C0000}"/>
    <cellStyle name="40% - Accent5 2 8 2 2 2" xfId="11373" xr:uid="{00000000-0005-0000-0000-0000692C0000}"/>
    <cellStyle name="40% - Accent5 2 8 2 3" xfId="11374" xr:uid="{00000000-0005-0000-0000-00006A2C0000}"/>
    <cellStyle name="40% - Accent5 2 8 3" xfId="11375" xr:uid="{00000000-0005-0000-0000-00006B2C0000}"/>
    <cellStyle name="40% - Accent5 2 8 3 2" xfId="11376" xr:uid="{00000000-0005-0000-0000-00006C2C0000}"/>
    <cellStyle name="40% - Accent5 2 8 4" xfId="11377" xr:uid="{00000000-0005-0000-0000-00006D2C0000}"/>
    <cellStyle name="40% - Accent5 2 9" xfId="11378" xr:uid="{00000000-0005-0000-0000-00006E2C0000}"/>
    <cellStyle name="40% - Accent5 2 9 2" xfId="11379" xr:uid="{00000000-0005-0000-0000-00006F2C0000}"/>
    <cellStyle name="40% - Accent5 2 9 2 2" xfId="11380" xr:uid="{00000000-0005-0000-0000-0000702C0000}"/>
    <cellStyle name="40% - Accent5 2 9 3" xfId="11381" xr:uid="{00000000-0005-0000-0000-0000712C0000}"/>
    <cellStyle name="40% - Accent5 3" xfId="11382" xr:uid="{00000000-0005-0000-0000-0000722C0000}"/>
    <cellStyle name="40% - Accent5 4" xfId="11383" xr:uid="{00000000-0005-0000-0000-0000732C0000}"/>
    <cellStyle name="40% - Accent5 5" xfId="11384" xr:uid="{00000000-0005-0000-0000-0000742C0000}"/>
    <cellStyle name="40% - Accent5 6" xfId="11385" xr:uid="{00000000-0005-0000-0000-0000752C0000}"/>
    <cellStyle name="40% - Accent5 7" xfId="11386" xr:uid="{00000000-0005-0000-0000-0000762C0000}"/>
    <cellStyle name="40% - Accent5 8" xfId="11387" xr:uid="{00000000-0005-0000-0000-0000772C0000}"/>
    <cellStyle name="40% - Accent5 9" xfId="11388" xr:uid="{00000000-0005-0000-0000-0000782C0000}"/>
    <cellStyle name="40% - Accent6 10" xfId="11389" xr:uid="{00000000-0005-0000-0000-0000792C0000}"/>
    <cellStyle name="40% - Accent6 11" xfId="11390" xr:uid="{00000000-0005-0000-0000-00007A2C0000}"/>
    <cellStyle name="40% - Accent6 12" xfId="11391" xr:uid="{00000000-0005-0000-0000-00007B2C0000}"/>
    <cellStyle name="40% - Accent6 13" xfId="11392" xr:uid="{00000000-0005-0000-0000-00007C2C0000}"/>
    <cellStyle name="40% - Accent6 2" xfId="11393" xr:uid="{00000000-0005-0000-0000-00007D2C0000}"/>
    <cellStyle name="40% - Accent6 2 10" xfId="11394" xr:uid="{00000000-0005-0000-0000-00007E2C0000}"/>
    <cellStyle name="40% - Accent6 2 10 2" xfId="11395" xr:uid="{00000000-0005-0000-0000-00007F2C0000}"/>
    <cellStyle name="40% - Accent6 2 11" xfId="11396" xr:uid="{00000000-0005-0000-0000-0000802C0000}"/>
    <cellStyle name="40% - Accent6 2 2" xfId="11397" xr:uid="{00000000-0005-0000-0000-0000812C0000}"/>
    <cellStyle name="40% - Accent6 2 2 10" xfId="11398" xr:uid="{00000000-0005-0000-0000-0000822C0000}"/>
    <cellStyle name="40% - Accent6 2 2 2" xfId="11399" xr:uid="{00000000-0005-0000-0000-0000832C0000}"/>
    <cellStyle name="40% - Accent6 2 2 2 2" xfId="11400" xr:uid="{00000000-0005-0000-0000-0000842C0000}"/>
    <cellStyle name="40% - Accent6 2 2 2 2 2" xfId="11401" xr:uid="{00000000-0005-0000-0000-0000852C0000}"/>
    <cellStyle name="40% - Accent6 2 2 2 2 2 2" xfId="11402" xr:uid="{00000000-0005-0000-0000-0000862C0000}"/>
    <cellStyle name="40% - Accent6 2 2 2 2 2 2 2" xfId="11403" xr:uid="{00000000-0005-0000-0000-0000872C0000}"/>
    <cellStyle name="40% - Accent6 2 2 2 2 2 2 2 2" xfId="11404" xr:uid="{00000000-0005-0000-0000-0000882C0000}"/>
    <cellStyle name="40% - Accent6 2 2 2 2 2 2 2 2 2" xfId="11405" xr:uid="{00000000-0005-0000-0000-0000892C0000}"/>
    <cellStyle name="40% - Accent6 2 2 2 2 2 2 2 2 2 2" xfId="11406" xr:uid="{00000000-0005-0000-0000-00008A2C0000}"/>
    <cellStyle name="40% - Accent6 2 2 2 2 2 2 2 2 2 2 2" xfId="11407" xr:uid="{00000000-0005-0000-0000-00008B2C0000}"/>
    <cellStyle name="40% - Accent6 2 2 2 2 2 2 2 2 2 3" xfId="11408" xr:uid="{00000000-0005-0000-0000-00008C2C0000}"/>
    <cellStyle name="40% - Accent6 2 2 2 2 2 2 2 2 3" xfId="11409" xr:uid="{00000000-0005-0000-0000-00008D2C0000}"/>
    <cellStyle name="40% - Accent6 2 2 2 2 2 2 2 2 3 2" xfId="11410" xr:uid="{00000000-0005-0000-0000-00008E2C0000}"/>
    <cellStyle name="40% - Accent6 2 2 2 2 2 2 2 2 4" xfId="11411" xr:uid="{00000000-0005-0000-0000-00008F2C0000}"/>
    <cellStyle name="40% - Accent6 2 2 2 2 2 2 2 3" xfId="11412" xr:uid="{00000000-0005-0000-0000-0000902C0000}"/>
    <cellStyle name="40% - Accent6 2 2 2 2 2 2 2 3 2" xfId="11413" xr:uid="{00000000-0005-0000-0000-0000912C0000}"/>
    <cellStyle name="40% - Accent6 2 2 2 2 2 2 2 3 2 2" xfId="11414" xr:uid="{00000000-0005-0000-0000-0000922C0000}"/>
    <cellStyle name="40% - Accent6 2 2 2 2 2 2 2 3 3" xfId="11415" xr:uid="{00000000-0005-0000-0000-0000932C0000}"/>
    <cellStyle name="40% - Accent6 2 2 2 2 2 2 2 4" xfId="11416" xr:uid="{00000000-0005-0000-0000-0000942C0000}"/>
    <cellStyle name="40% - Accent6 2 2 2 2 2 2 2 4 2" xfId="11417" xr:uid="{00000000-0005-0000-0000-0000952C0000}"/>
    <cellStyle name="40% - Accent6 2 2 2 2 2 2 2 5" xfId="11418" xr:uid="{00000000-0005-0000-0000-0000962C0000}"/>
    <cellStyle name="40% - Accent6 2 2 2 2 2 2 3" xfId="11419" xr:uid="{00000000-0005-0000-0000-0000972C0000}"/>
    <cellStyle name="40% - Accent6 2 2 2 2 2 2 3 2" xfId="11420" xr:uid="{00000000-0005-0000-0000-0000982C0000}"/>
    <cellStyle name="40% - Accent6 2 2 2 2 2 2 3 2 2" xfId="11421" xr:uid="{00000000-0005-0000-0000-0000992C0000}"/>
    <cellStyle name="40% - Accent6 2 2 2 2 2 2 3 2 2 2" xfId="11422" xr:uid="{00000000-0005-0000-0000-00009A2C0000}"/>
    <cellStyle name="40% - Accent6 2 2 2 2 2 2 3 2 3" xfId="11423" xr:uid="{00000000-0005-0000-0000-00009B2C0000}"/>
    <cellStyle name="40% - Accent6 2 2 2 2 2 2 3 3" xfId="11424" xr:uid="{00000000-0005-0000-0000-00009C2C0000}"/>
    <cellStyle name="40% - Accent6 2 2 2 2 2 2 3 3 2" xfId="11425" xr:uid="{00000000-0005-0000-0000-00009D2C0000}"/>
    <cellStyle name="40% - Accent6 2 2 2 2 2 2 3 4" xfId="11426" xr:uid="{00000000-0005-0000-0000-00009E2C0000}"/>
    <cellStyle name="40% - Accent6 2 2 2 2 2 2 4" xfId="11427" xr:uid="{00000000-0005-0000-0000-00009F2C0000}"/>
    <cellStyle name="40% - Accent6 2 2 2 2 2 2 4 2" xfId="11428" xr:uid="{00000000-0005-0000-0000-0000A02C0000}"/>
    <cellStyle name="40% - Accent6 2 2 2 2 2 2 4 2 2" xfId="11429" xr:uid="{00000000-0005-0000-0000-0000A12C0000}"/>
    <cellStyle name="40% - Accent6 2 2 2 2 2 2 4 3" xfId="11430" xr:uid="{00000000-0005-0000-0000-0000A22C0000}"/>
    <cellStyle name="40% - Accent6 2 2 2 2 2 2 5" xfId="11431" xr:uid="{00000000-0005-0000-0000-0000A32C0000}"/>
    <cellStyle name="40% - Accent6 2 2 2 2 2 2 5 2" xfId="11432" xr:uid="{00000000-0005-0000-0000-0000A42C0000}"/>
    <cellStyle name="40% - Accent6 2 2 2 2 2 2 6" xfId="11433" xr:uid="{00000000-0005-0000-0000-0000A52C0000}"/>
    <cellStyle name="40% - Accent6 2 2 2 2 2 3" xfId="11434" xr:uid="{00000000-0005-0000-0000-0000A62C0000}"/>
    <cellStyle name="40% - Accent6 2 2 2 2 2 3 2" xfId="11435" xr:uid="{00000000-0005-0000-0000-0000A72C0000}"/>
    <cellStyle name="40% - Accent6 2 2 2 2 2 3 2 2" xfId="11436" xr:uid="{00000000-0005-0000-0000-0000A82C0000}"/>
    <cellStyle name="40% - Accent6 2 2 2 2 2 3 2 2 2" xfId="11437" xr:uid="{00000000-0005-0000-0000-0000A92C0000}"/>
    <cellStyle name="40% - Accent6 2 2 2 2 2 3 2 2 2 2" xfId="11438" xr:uid="{00000000-0005-0000-0000-0000AA2C0000}"/>
    <cellStyle name="40% - Accent6 2 2 2 2 2 3 2 2 3" xfId="11439" xr:uid="{00000000-0005-0000-0000-0000AB2C0000}"/>
    <cellStyle name="40% - Accent6 2 2 2 2 2 3 2 3" xfId="11440" xr:uid="{00000000-0005-0000-0000-0000AC2C0000}"/>
    <cellStyle name="40% - Accent6 2 2 2 2 2 3 2 3 2" xfId="11441" xr:uid="{00000000-0005-0000-0000-0000AD2C0000}"/>
    <cellStyle name="40% - Accent6 2 2 2 2 2 3 2 4" xfId="11442" xr:uid="{00000000-0005-0000-0000-0000AE2C0000}"/>
    <cellStyle name="40% - Accent6 2 2 2 2 2 3 3" xfId="11443" xr:uid="{00000000-0005-0000-0000-0000AF2C0000}"/>
    <cellStyle name="40% - Accent6 2 2 2 2 2 3 3 2" xfId="11444" xr:uid="{00000000-0005-0000-0000-0000B02C0000}"/>
    <cellStyle name="40% - Accent6 2 2 2 2 2 3 3 2 2" xfId="11445" xr:uid="{00000000-0005-0000-0000-0000B12C0000}"/>
    <cellStyle name="40% - Accent6 2 2 2 2 2 3 3 3" xfId="11446" xr:uid="{00000000-0005-0000-0000-0000B22C0000}"/>
    <cellStyle name="40% - Accent6 2 2 2 2 2 3 4" xfId="11447" xr:uid="{00000000-0005-0000-0000-0000B32C0000}"/>
    <cellStyle name="40% - Accent6 2 2 2 2 2 3 4 2" xfId="11448" xr:uid="{00000000-0005-0000-0000-0000B42C0000}"/>
    <cellStyle name="40% - Accent6 2 2 2 2 2 3 5" xfId="11449" xr:uid="{00000000-0005-0000-0000-0000B52C0000}"/>
    <cellStyle name="40% - Accent6 2 2 2 2 2 4" xfId="11450" xr:uid="{00000000-0005-0000-0000-0000B62C0000}"/>
    <cellStyle name="40% - Accent6 2 2 2 2 2 4 2" xfId="11451" xr:uid="{00000000-0005-0000-0000-0000B72C0000}"/>
    <cellStyle name="40% - Accent6 2 2 2 2 2 4 2 2" xfId="11452" xr:uid="{00000000-0005-0000-0000-0000B82C0000}"/>
    <cellStyle name="40% - Accent6 2 2 2 2 2 4 2 2 2" xfId="11453" xr:uid="{00000000-0005-0000-0000-0000B92C0000}"/>
    <cellStyle name="40% - Accent6 2 2 2 2 2 4 2 3" xfId="11454" xr:uid="{00000000-0005-0000-0000-0000BA2C0000}"/>
    <cellStyle name="40% - Accent6 2 2 2 2 2 4 3" xfId="11455" xr:uid="{00000000-0005-0000-0000-0000BB2C0000}"/>
    <cellStyle name="40% - Accent6 2 2 2 2 2 4 3 2" xfId="11456" xr:uid="{00000000-0005-0000-0000-0000BC2C0000}"/>
    <cellStyle name="40% - Accent6 2 2 2 2 2 4 4" xfId="11457" xr:uid="{00000000-0005-0000-0000-0000BD2C0000}"/>
    <cellStyle name="40% - Accent6 2 2 2 2 2 5" xfId="11458" xr:uid="{00000000-0005-0000-0000-0000BE2C0000}"/>
    <cellStyle name="40% - Accent6 2 2 2 2 2 5 2" xfId="11459" xr:uid="{00000000-0005-0000-0000-0000BF2C0000}"/>
    <cellStyle name="40% - Accent6 2 2 2 2 2 5 2 2" xfId="11460" xr:uid="{00000000-0005-0000-0000-0000C02C0000}"/>
    <cellStyle name="40% - Accent6 2 2 2 2 2 5 3" xfId="11461" xr:uid="{00000000-0005-0000-0000-0000C12C0000}"/>
    <cellStyle name="40% - Accent6 2 2 2 2 2 6" xfId="11462" xr:uid="{00000000-0005-0000-0000-0000C22C0000}"/>
    <cellStyle name="40% - Accent6 2 2 2 2 2 6 2" xfId="11463" xr:uid="{00000000-0005-0000-0000-0000C32C0000}"/>
    <cellStyle name="40% - Accent6 2 2 2 2 2 7" xfId="11464" xr:uid="{00000000-0005-0000-0000-0000C42C0000}"/>
    <cellStyle name="40% - Accent6 2 2 2 2 3" xfId="11465" xr:uid="{00000000-0005-0000-0000-0000C52C0000}"/>
    <cellStyle name="40% - Accent6 2 2 2 2 3 2" xfId="11466" xr:uid="{00000000-0005-0000-0000-0000C62C0000}"/>
    <cellStyle name="40% - Accent6 2 2 2 2 3 2 2" xfId="11467" xr:uid="{00000000-0005-0000-0000-0000C72C0000}"/>
    <cellStyle name="40% - Accent6 2 2 2 2 3 2 2 2" xfId="11468" xr:uid="{00000000-0005-0000-0000-0000C82C0000}"/>
    <cellStyle name="40% - Accent6 2 2 2 2 3 2 2 2 2" xfId="11469" xr:uid="{00000000-0005-0000-0000-0000C92C0000}"/>
    <cellStyle name="40% - Accent6 2 2 2 2 3 2 2 2 2 2" xfId="11470" xr:uid="{00000000-0005-0000-0000-0000CA2C0000}"/>
    <cellStyle name="40% - Accent6 2 2 2 2 3 2 2 2 3" xfId="11471" xr:uid="{00000000-0005-0000-0000-0000CB2C0000}"/>
    <cellStyle name="40% - Accent6 2 2 2 2 3 2 2 3" xfId="11472" xr:uid="{00000000-0005-0000-0000-0000CC2C0000}"/>
    <cellStyle name="40% - Accent6 2 2 2 2 3 2 2 3 2" xfId="11473" xr:uid="{00000000-0005-0000-0000-0000CD2C0000}"/>
    <cellStyle name="40% - Accent6 2 2 2 2 3 2 2 4" xfId="11474" xr:uid="{00000000-0005-0000-0000-0000CE2C0000}"/>
    <cellStyle name="40% - Accent6 2 2 2 2 3 2 3" xfId="11475" xr:uid="{00000000-0005-0000-0000-0000CF2C0000}"/>
    <cellStyle name="40% - Accent6 2 2 2 2 3 2 3 2" xfId="11476" xr:uid="{00000000-0005-0000-0000-0000D02C0000}"/>
    <cellStyle name="40% - Accent6 2 2 2 2 3 2 3 2 2" xfId="11477" xr:uid="{00000000-0005-0000-0000-0000D12C0000}"/>
    <cellStyle name="40% - Accent6 2 2 2 2 3 2 3 3" xfId="11478" xr:uid="{00000000-0005-0000-0000-0000D22C0000}"/>
    <cellStyle name="40% - Accent6 2 2 2 2 3 2 4" xfId="11479" xr:uid="{00000000-0005-0000-0000-0000D32C0000}"/>
    <cellStyle name="40% - Accent6 2 2 2 2 3 2 4 2" xfId="11480" xr:uid="{00000000-0005-0000-0000-0000D42C0000}"/>
    <cellStyle name="40% - Accent6 2 2 2 2 3 2 5" xfId="11481" xr:uid="{00000000-0005-0000-0000-0000D52C0000}"/>
    <cellStyle name="40% - Accent6 2 2 2 2 3 3" xfId="11482" xr:uid="{00000000-0005-0000-0000-0000D62C0000}"/>
    <cellStyle name="40% - Accent6 2 2 2 2 3 3 2" xfId="11483" xr:uid="{00000000-0005-0000-0000-0000D72C0000}"/>
    <cellStyle name="40% - Accent6 2 2 2 2 3 3 2 2" xfId="11484" xr:uid="{00000000-0005-0000-0000-0000D82C0000}"/>
    <cellStyle name="40% - Accent6 2 2 2 2 3 3 2 2 2" xfId="11485" xr:uid="{00000000-0005-0000-0000-0000D92C0000}"/>
    <cellStyle name="40% - Accent6 2 2 2 2 3 3 2 3" xfId="11486" xr:uid="{00000000-0005-0000-0000-0000DA2C0000}"/>
    <cellStyle name="40% - Accent6 2 2 2 2 3 3 3" xfId="11487" xr:uid="{00000000-0005-0000-0000-0000DB2C0000}"/>
    <cellStyle name="40% - Accent6 2 2 2 2 3 3 3 2" xfId="11488" xr:uid="{00000000-0005-0000-0000-0000DC2C0000}"/>
    <cellStyle name="40% - Accent6 2 2 2 2 3 3 4" xfId="11489" xr:uid="{00000000-0005-0000-0000-0000DD2C0000}"/>
    <cellStyle name="40% - Accent6 2 2 2 2 3 4" xfId="11490" xr:uid="{00000000-0005-0000-0000-0000DE2C0000}"/>
    <cellStyle name="40% - Accent6 2 2 2 2 3 4 2" xfId="11491" xr:uid="{00000000-0005-0000-0000-0000DF2C0000}"/>
    <cellStyle name="40% - Accent6 2 2 2 2 3 4 2 2" xfId="11492" xr:uid="{00000000-0005-0000-0000-0000E02C0000}"/>
    <cellStyle name="40% - Accent6 2 2 2 2 3 4 3" xfId="11493" xr:uid="{00000000-0005-0000-0000-0000E12C0000}"/>
    <cellStyle name="40% - Accent6 2 2 2 2 3 5" xfId="11494" xr:uid="{00000000-0005-0000-0000-0000E22C0000}"/>
    <cellStyle name="40% - Accent6 2 2 2 2 3 5 2" xfId="11495" xr:uid="{00000000-0005-0000-0000-0000E32C0000}"/>
    <cellStyle name="40% - Accent6 2 2 2 2 3 6" xfId="11496" xr:uid="{00000000-0005-0000-0000-0000E42C0000}"/>
    <cellStyle name="40% - Accent6 2 2 2 2 4" xfId="11497" xr:uid="{00000000-0005-0000-0000-0000E52C0000}"/>
    <cellStyle name="40% - Accent6 2 2 2 2 4 2" xfId="11498" xr:uid="{00000000-0005-0000-0000-0000E62C0000}"/>
    <cellStyle name="40% - Accent6 2 2 2 2 4 2 2" xfId="11499" xr:uid="{00000000-0005-0000-0000-0000E72C0000}"/>
    <cellStyle name="40% - Accent6 2 2 2 2 4 2 2 2" xfId="11500" xr:uid="{00000000-0005-0000-0000-0000E82C0000}"/>
    <cellStyle name="40% - Accent6 2 2 2 2 4 2 2 2 2" xfId="11501" xr:uid="{00000000-0005-0000-0000-0000E92C0000}"/>
    <cellStyle name="40% - Accent6 2 2 2 2 4 2 2 3" xfId="11502" xr:uid="{00000000-0005-0000-0000-0000EA2C0000}"/>
    <cellStyle name="40% - Accent6 2 2 2 2 4 2 3" xfId="11503" xr:uid="{00000000-0005-0000-0000-0000EB2C0000}"/>
    <cellStyle name="40% - Accent6 2 2 2 2 4 2 3 2" xfId="11504" xr:uid="{00000000-0005-0000-0000-0000EC2C0000}"/>
    <cellStyle name="40% - Accent6 2 2 2 2 4 2 4" xfId="11505" xr:uid="{00000000-0005-0000-0000-0000ED2C0000}"/>
    <cellStyle name="40% - Accent6 2 2 2 2 4 3" xfId="11506" xr:uid="{00000000-0005-0000-0000-0000EE2C0000}"/>
    <cellStyle name="40% - Accent6 2 2 2 2 4 3 2" xfId="11507" xr:uid="{00000000-0005-0000-0000-0000EF2C0000}"/>
    <cellStyle name="40% - Accent6 2 2 2 2 4 3 2 2" xfId="11508" xr:uid="{00000000-0005-0000-0000-0000F02C0000}"/>
    <cellStyle name="40% - Accent6 2 2 2 2 4 3 3" xfId="11509" xr:uid="{00000000-0005-0000-0000-0000F12C0000}"/>
    <cellStyle name="40% - Accent6 2 2 2 2 4 4" xfId="11510" xr:uid="{00000000-0005-0000-0000-0000F22C0000}"/>
    <cellStyle name="40% - Accent6 2 2 2 2 4 4 2" xfId="11511" xr:uid="{00000000-0005-0000-0000-0000F32C0000}"/>
    <cellStyle name="40% - Accent6 2 2 2 2 4 5" xfId="11512" xr:uid="{00000000-0005-0000-0000-0000F42C0000}"/>
    <cellStyle name="40% - Accent6 2 2 2 2 5" xfId="11513" xr:uid="{00000000-0005-0000-0000-0000F52C0000}"/>
    <cellStyle name="40% - Accent6 2 2 2 2 5 2" xfId="11514" xr:uid="{00000000-0005-0000-0000-0000F62C0000}"/>
    <cellStyle name="40% - Accent6 2 2 2 2 5 2 2" xfId="11515" xr:uid="{00000000-0005-0000-0000-0000F72C0000}"/>
    <cellStyle name="40% - Accent6 2 2 2 2 5 2 2 2" xfId="11516" xr:uid="{00000000-0005-0000-0000-0000F82C0000}"/>
    <cellStyle name="40% - Accent6 2 2 2 2 5 2 3" xfId="11517" xr:uid="{00000000-0005-0000-0000-0000F92C0000}"/>
    <cellStyle name="40% - Accent6 2 2 2 2 5 3" xfId="11518" xr:uid="{00000000-0005-0000-0000-0000FA2C0000}"/>
    <cellStyle name="40% - Accent6 2 2 2 2 5 3 2" xfId="11519" xr:uid="{00000000-0005-0000-0000-0000FB2C0000}"/>
    <cellStyle name="40% - Accent6 2 2 2 2 5 4" xfId="11520" xr:uid="{00000000-0005-0000-0000-0000FC2C0000}"/>
    <cellStyle name="40% - Accent6 2 2 2 2 6" xfId="11521" xr:uid="{00000000-0005-0000-0000-0000FD2C0000}"/>
    <cellStyle name="40% - Accent6 2 2 2 2 6 2" xfId="11522" xr:uid="{00000000-0005-0000-0000-0000FE2C0000}"/>
    <cellStyle name="40% - Accent6 2 2 2 2 6 2 2" xfId="11523" xr:uid="{00000000-0005-0000-0000-0000FF2C0000}"/>
    <cellStyle name="40% - Accent6 2 2 2 2 6 3" xfId="11524" xr:uid="{00000000-0005-0000-0000-0000002D0000}"/>
    <cellStyle name="40% - Accent6 2 2 2 2 7" xfId="11525" xr:uid="{00000000-0005-0000-0000-0000012D0000}"/>
    <cellStyle name="40% - Accent6 2 2 2 2 7 2" xfId="11526" xr:uid="{00000000-0005-0000-0000-0000022D0000}"/>
    <cellStyle name="40% - Accent6 2 2 2 2 8" xfId="11527" xr:uid="{00000000-0005-0000-0000-0000032D0000}"/>
    <cellStyle name="40% - Accent6 2 2 2 3" xfId="11528" xr:uid="{00000000-0005-0000-0000-0000042D0000}"/>
    <cellStyle name="40% - Accent6 2 2 2 3 2" xfId="11529" xr:uid="{00000000-0005-0000-0000-0000052D0000}"/>
    <cellStyle name="40% - Accent6 2 2 2 3 2 2" xfId="11530" xr:uid="{00000000-0005-0000-0000-0000062D0000}"/>
    <cellStyle name="40% - Accent6 2 2 2 3 2 2 2" xfId="11531" xr:uid="{00000000-0005-0000-0000-0000072D0000}"/>
    <cellStyle name="40% - Accent6 2 2 2 3 2 2 2 2" xfId="11532" xr:uid="{00000000-0005-0000-0000-0000082D0000}"/>
    <cellStyle name="40% - Accent6 2 2 2 3 2 2 2 2 2" xfId="11533" xr:uid="{00000000-0005-0000-0000-0000092D0000}"/>
    <cellStyle name="40% - Accent6 2 2 2 3 2 2 2 2 2 2" xfId="11534" xr:uid="{00000000-0005-0000-0000-00000A2D0000}"/>
    <cellStyle name="40% - Accent6 2 2 2 3 2 2 2 2 3" xfId="11535" xr:uid="{00000000-0005-0000-0000-00000B2D0000}"/>
    <cellStyle name="40% - Accent6 2 2 2 3 2 2 2 3" xfId="11536" xr:uid="{00000000-0005-0000-0000-00000C2D0000}"/>
    <cellStyle name="40% - Accent6 2 2 2 3 2 2 2 3 2" xfId="11537" xr:uid="{00000000-0005-0000-0000-00000D2D0000}"/>
    <cellStyle name="40% - Accent6 2 2 2 3 2 2 2 4" xfId="11538" xr:uid="{00000000-0005-0000-0000-00000E2D0000}"/>
    <cellStyle name="40% - Accent6 2 2 2 3 2 2 3" xfId="11539" xr:uid="{00000000-0005-0000-0000-00000F2D0000}"/>
    <cellStyle name="40% - Accent6 2 2 2 3 2 2 3 2" xfId="11540" xr:uid="{00000000-0005-0000-0000-0000102D0000}"/>
    <cellStyle name="40% - Accent6 2 2 2 3 2 2 3 2 2" xfId="11541" xr:uid="{00000000-0005-0000-0000-0000112D0000}"/>
    <cellStyle name="40% - Accent6 2 2 2 3 2 2 3 3" xfId="11542" xr:uid="{00000000-0005-0000-0000-0000122D0000}"/>
    <cellStyle name="40% - Accent6 2 2 2 3 2 2 4" xfId="11543" xr:uid="{00000000-0005-0000-0000-0000132D0000}"/>
    <cellStyle name="40% - Accent6 2 2 2 3 2 2 4 2" xfId="11544" xr:uid="{00000000-0005-0000-0000-0000142D0000}"/>
    <cellStyle name="40% - Accent6 2 2 2 3 2 2 5" xfId="11545" xr:uid="{00000000-0005-0000-0000-0000152D0000}"/>
    <cellStyle name="40% - Accent6 2 2 2 3 2 3" xfId="11546" xr:uid="{00000000-0005-0000-0000-0000162D0000}"/>
    <cellStyle name="40% - Accent6 2 2 2 3 2 3 2" xfId="11547" xr:uid="{00000000-0005-0000-0000-0000172D0000}"/>
    <cellStyle name="40% - Accent6 2 2 2 3 2 3 2 2" xfId="11548" xr:uid="{00000000-0005-0000-0000-0000182D0000}"/>
    <cellStyle name="40% - Accent6 2 2 2 3 2 3 2 2 2" xfId="11549" xr:uid="{00000000-0005-0000-0000-0000192D0000}"/>
    <cellStyle name="40% - Accent6 2 2 2 3 2 3 2 3" xfId="11550" xr:uid="{00000000-0005-0000-0000-00001A2D0000}"/>
    <cellStyle name="40% - Accent6 2 2 2 3 2 3 3" xfId="11551" xr:uid="{00000000-0005-0000-0000-00001B2D0000}"/>
    <cellStyle name="40% - Accent6 2 2 2 3 2 3 3 2" xfId="11552" xr:uid="{00000000-0005-0000-0000-00001C2D0000}"/>
    <cellStyle name="40% - Accent6 2 2 2 3 2 3 4" xfId="11553" xr:uid="{00000000-0005-0000-0000-00001D2D0000}"/>
    <cellStyle name="40% - Accent6 2 2 2 3 2 4" xfId="11554" xr:uid="{00000000-0005-0000-0000-00001E2D0000}"/>
    <cellStyle name="40% - Accent6 2 2 2 3 2 4 2" xfId="11555" xr:uid="{00000000-0005-0000-0000-00001F2D0000}"/>
    <cellStyle name="40% - Accent6 2 2 2 3 2 4 2 2" xfId="11556" xr:uid="{00000000-0005-0000-0000-0000202D0000}"/>
    <cellStyle name="40% - Accent6 2 2 2 3 2 4 3" xfId="11557" xr:uid="{00000000-0005-0000-0000-0000212D0000}"/>
    <cellStyle name="40% - Accent6 2 2 2 3 2 5" xfId="11558" xr:uid="{00000000-0005-0000-0000-0000222D0000}"/>
    <cellStyle name="40% - Accent6 2 2 2 3 2 5 2" xfId="11559" xr:uid="{00000000-0005-0000-0000-0000232D0000}"/>
    <cellStyle name="40% - Accent6 2 2 2 3 2 6" xfId="11560" xr:uid="{00000000-0005-0000-0000-0000242D0000}"/>
    <cellStyle name="40% - Accent6 2 2 2 3 3" xfId="11561" xr:uid="{00000000-0005-0000-0000-0000252D0000}"/>
    <cellStyle name="40% - Accent6 2 2 2 3 3 2" xfId="11562" xr:uid="{00000000-0005-0000-0000-0000262D0000}"/>
    <cellStyle name="40% - Accent6 2 2 2 3 3 2 2" xfId="11563" xr:uid="{00000000-0005-0000-0000-0000272D0000}"/>
    <cellStyle name="40% - Accent6 2 2 2 3 3 2 2 2" xfId="11564" xr:uid="{00000000-0005-0000-0000-0000282D0000}"/>
    <cellStyle name="40% - Accent6 2 2 2 3 3 2 2 2 2" xfId="11565" xr:uid="{00000000-0005-0000-0000-0000292D0000}"/>
    <cellStyle name="40% - Accent6 2 2 2 3 3 2 2 3" xfId="11566" xr:uid="{00000000-0005-0000-0000-00002A2D0000}"/>
    <cellStyle name="40% - Accent6 2 2 2 3 3 2 3" xfId="11567" xr:uid="{00000000-0005-0000-0000-00002B2D0000}"/>
    <cellStyle name="40% - Accent6 2 2 2 3 3 2 3 2" xfId="11568" xr:uid="{00000000-0005-0000-0000-00002C2D0000}"/>
    <cellStyle name="40% - Accent6 2 2 2 3 3 2 4" xfId="11569" xr:uid="{00000000-0005-0000-0000-00002D2D0000}"/>
    <cellStyle name="40% - Accent6 2 2 2 3 3 3" xfId="11570" xr:uid="{00000000-0005-0000-0000-00002E2D0000}"/>
    <cellStyle name="40% - Accent6 2 2 2 3 3 3 2" xfId="11571" xr:uid="{00000000-0005-0000-0000-00002F2D0000}"/>
    <cellStyle name="40% - Accent6 2 2 2 3 3 3 2 2" xfId="11572" xr:uid="{00000000-0005-0000-0000-0000302D0000}"/>
    <cellStyle name="40% - Accent6 2 2 2 3 3 3 3" xfId="11573" xr:uid="{00000000-0005-0000-0000-0000312D0000}"/>
    <cellStyle name="40% - Accent6 2 2 2 3 3 4" xfId="11574" xr:uid="{00000000-0005-0000-0000-0000322D0000}"/>
    <cellStyle name="40% - Accent6 2 2 2 3 3 4 2" xfId="11575" xr:uid="{00000000-0005-0000-0000-0000332D0000}"/>
    <cellStyle name="40% - Accent6 2 2 2 3 3 5" xfId="11576" xr:uid="{00000000-0005-0000-0000-0000342D0000}"/>
    <cellStyle name="40% - Accent6 2 2 2 3 4" xfId="11577" xr:uid="{00000000-0005-0000-0000-0000352D0000}"/>
    <cellStyle name="40% - Accent6 2 2 2 3 4 2" xfId="11578" xr:uid="{00000000-0005-0000-0000-0000362D0000}"/>
    <cellStyle name="40% - Accent6 2 2 2 3 4 2 2" xfId="11579" xr:uid="{00000000-0005-0000-0000-0000372D0000}"/>
    <cellStyle name="40% - Accent6 2 2 2 3 4 2 2 2" xfId="11580" xr:uid="{00000000-0005-0000-0000-0000382D0000}"/>
    <cellStyle name="40% - Accent6 2 2 2 3 4 2 3" xfId="11581" xr:uid="{00000000-0005-0000-0000-0000392D0000}"/>
    <cellStyle name="40% - Accent6 2 2 2 3 4 3" xfId="11582" xr:uid="{00000000-0005-0000-0000-00003A2D0000}"/>
    <cellStyle name="40% - Accent6 2 2 2 3 4 3 2" xfId="11583" xr:uid="{00000000-0005-0000-0000-00003B2D0000}"/>
    <cellStyle name="40% - Accent6 2 2 2 3 4 4" xfId="11584" xr:uid="{00000000-0005-0000-0000-00003C2D0000}"/>
    <cellStyle name="40% - Accent6 2 2 2 3 5" xfId="11585" xr:uid="{00000000-0005-0000-0000-00003D2D0000}"/>
    <cellStyle name="40% - Accent6 2 2 2 3 5 2" xfId="11586" xr:uid="{00000000-0005-0000-0000-00003E2D0000}"/>
    <cellStyle name="40% - Accent6 2 2 2 3 5 2 2" xfId="11587" xr:uid="{00000000-0005-0000-0000-00003F2D0000}"/>
    <cellStyle name="40% - Accent6 2 2 2 3 5 3" xfId="11588" xr:uid="{00000000-0005-0000-0000-0000402D0000}"/>
    <cellStyle name="40% - Accent6 2 2 2 3 6" xfId="11589" xr:uid="{00000000-0005-0000-0000-0000412D0000}"/>
    <cellStyle name="40% - Accent6 2 2 2 3 6 2" xfId="11590" xr:uid="{00000000-0005-0000-0000-0000422D0000}"/>
    <cellStyle name="40% - Accent6 2 2 2 3 7" xfId="11591" xr:uid="{00000000-0005-0000-0000-0000432D0000}"/>
    <cellStyle name="40% - Accent6 2 2 2 4" xfId="11592" xr:uid="{00000000-0005-0000-0000-0000442D0000}"/>
    <cellStyle name="40% - Accent6 2 2 2 4 2" xfId="11593" xr:uid="{00000000-0005-0000-0000-0000452D0000}"/>
    <cellStyle name="40% - Accent6 2 2 2 4 2 2" xfId="11594" xr:uid="{00000000-0005-0000-0000-0000462D0000}"/>
    <cellStyle name="40% - Accent6 2 2 2 4 2 2 2" xfId="11595" xr:uid="{00000000-0005-0000-0000-0000472D0000}"/>
    <cellStyle name="40% - Accent6 2 2 2 4 2 2 2 2" xfId="11596" xr:uid="{00000000-0005-0000-0000-0000482D0000}"/>
    <cellStyle name="40% - Accent6 2 2 2 4 2 2 2 2 2" xfId="11597" xr:uid="{00000000-0005-0000-0000-0000492D0000}"/>
    <cellStyle name="40% - Accent6 2 2 2 4 2 2 2 3" xfId="11598" xr:uid="{00000000-0005-0000-0000-00004A2D0000}"/>
    <cellStyle name="40% - Accent6 2 2 2 4 2 2 3" xfId="11599" xr:uid="{00000000-0005-0000-0000-00004B2D0000}"/>
    <cellStyle name="40% - Accent6 2 2 2 4 2 2 3 2" xfId="11600" xr:uid="{00000000-0005-0000-0000-00004C2D0000}"/>
    <cellStyle name="40% - Accent6 2 2 2 4 2 2 4" xfId="11601" xr:uid="{00000000-0005-0000-0000-00004D2D0000}"/>
    <cellStyle name="40% - Accent6 2 2 2 4 2 3" xfId="11602" xr:uid="{00000000-0005-0000-0000-00004E2D0000}"/>
    <cellStyle name="40% - Accent6 2 2 2 4 2 3 2" xfId="11603" xr:uid="{00000000-0005-0000-0000-00004F2D0000}"/>
    <cellStyle name="40% - Accent6 2 2 2 4 2 3 2 2" xfId="11604" xr:uid="{00000000-0005-0000-0000-0000502D0000}"/>
    <cellStyle name="40% - Accent6 2 2 2 4 2 3 3" xfId="11605" xr:uid="{00000000-0005-0000-0000-0000512D0000}"/>
    <cellStyle name="40% - Accent6 2 2 2 4 2 4" xfId="11606" xr:uid="{00000000-0005-0000-0000-0000522D0000}"/>
    <cellStyle name="40% - Accent6 2 2 2 4 2 4 2" xfId="11607" xr:uid="{00000000-0005-0000-0000-0000532D0000}"/>
    <cellStyle name="40% - Accent6 2 2 2 4 2 5" xfId="11608" xr:uid="{00000000-0005-0000-0000-0000542D0000}"/>
    <cellStyle name="40% - Accent6 2 2 2 4 3" xfId="11609" xr:uid="{00000000-0005-0000-0000-0000552D0000}"/>
    <cellStyle name="40% - Accent6 2 2 2 4 3 2" xfId="11610" xr:uid="{00000000-0005-0000-0000-0000562D0000}"/>
    <cellStyle name="40% - Accent6 2 2 2 4 3 2 2" xfId="11611" xr:uid="{00000000-0005-0000-0000-0000572D0000}"/>
    <cellStyle name="40% - Accent6 2 2 2 4 3 2 2 2" xfId="11612" xr:uid="{00000000-0005-0000-0000-0000582D0000}"/>
    <cellStyle name="40% - Accent6 2 2 2 4 3 2 3" xfId="11613" xr:uid="{00000000-0005-0000-0000-0000592D0000}"/>
    <cellStyle name="40% - Accent6 2 2 2 4 3 3" xfId="11614" xr:uid="{00000000-0005-0000-0000-00005A2D0000}"/>
    <cellStyle name="40% - Accent6 2 2 2 4 3 3 2" xfId="11615" xr:uid="{00000000-0005-0000-0000-00005B2D0000}"/>
    <cellStyle name="40% - Accent6 2 2 2 4 3 4" xfId="11616" xr:uid="{00000000-0005-0000-0000-00005C2D0000}"/>
    <cellStyle name="40% - Accent6 2 2 2 4 4" xfId="11617" xr:uid="{00000000-0005-0000-0000-00005D2D0000}"/>
    <cellStyle name="40% - Accent6 2 2 2 4 4 2" xfId="11618" xr:uid="{00000000-0005-0000-0000-00005E2D0000}"/>
    <cellStyle name="40% - Accent6 2 2 2 4 4 2 2" xfId="11619" xr:uid="{00000000-0005-0000-0000-00005F2D0000}"/>
    <cellStyle name="40% - Accent6 2 2 2 4 4 3" xfId="11620" xr:uid="{00000000-0005-0000-0000-0000602D0000}"/>
    <cellStyle name="40% - Accent6 2 2 2 4 5" xfId="11621" xr:uid="{00000000-0005-0000-0000-0000612D0000}"/>
    <cellStyle name="40% - Accent6 2 2 2 4 5 2" xfId="11622" xr:uid="{00000000-0005-0000-0000-0000622D0000}"/>
    <cellStyle name="40% - Accent6 2 2 2 4 6" xfId="11623" xr:uid="{00000000-0005-0000-0000-0000632D0000}"/>
    <cellStyle name="40% - Accent6 2 2 2 5" xfId="11624" xr:uid="{00000000-0005-0000-0000-0000642D0000}"/>
    <cellStyle name="40% - Accent6 2 2 2 5 2" xfId="11625" xr:uid="{00000000-0005-0000-0000-0000652D0000}"/>
    <cellStyle name="40% - Accent6 2 2 2 5 2 2" xfId="11626" xr:uid="{00000000-0005-0000-0000-0000662D0000}"/>
    <cellStyle name="40% - Accent6 2 2 2 5 2 2 2" xfId="11627" xr:uid="{00000000-0005-0000-0000-0000672D0000}"/>
    <cellStyle name="40% - Accent6 2 2 2 5 2 2 2 2" xfId="11628" xr:uid="{00000000-0005-0000-0000-0000682D0000}"/>
    <cellStyle name="40% - Accent6 2 2 2 5 2 2 3" xfId="11629" xr:uid="{00000000-0005-0000-0000-0000692D0000}"/>
    <cellStyle name="40% - Accent6 2 2 2 5 2 3" xfId="11630" xr:uid="{00000000-0005-0000-0000-00006A2D0000}"/>
    <cellStyle name="40% - Accent6 2 2 2 5 2 3 2" xfId="11631" xr:uid="{00000000-0005-0000-0000-00006B2D0000}"/>
    <cellStyle name="40% - Accent6 2 2 2 5 2 4" xfId="11632" xr:uid="{00000000-0005-0000-0000-00006C2D0000}"/>
    <cellStyle name="40% - Accent6 2 2 2 5 3" xfId="11633" xr:uid="{00000000-0005-0000-0000-00006D2D0000}"/>
    <cellStyle name="40% - Accent6 2 2 2 5 3 2" xfId="11634" xr:uid="{00000000-0005-0000-0000-00006E2D0000}"/>
    <cellStyle name="40% - Accent6 2 2 2 5 3 2 2" xfId="11635" xr:uid="{00000000-0005-0000-0000-00006F2D0000}"/>
    <cellStyle name="40% - Accent6 2 2 2 5 3 3" xfId="11636" xr:uid="{00000000-0005-0000-0000-0000702D0000}"/>
    <cellStyle name="40% - Accent6 2 2 2 5 4" xfId="11637" xr:uid="{00000000-0005-0000-0000-0000712D0000}"/>
    <cellStyle name="40% - Accent6 2 2 2 5 4 2" xfId="11638" xr:uid="{00000000-0005-0000-0000-0000722D0000}"/>
    <cellStyle name="40% - Accent6 2 2 2 5 5" xfId="11639" xr:uid="{00000000-0005-0000-0000-0000732D0000}"/>
    <cellStyle name="40% - Accent6 2 2 2 6" xfId="11640" xr:uid="{00000000-0005-0000-0000-0000742D0000}"/>
    <cellStyle name="40% - Accent6 2 2 2 6 2" xfId="11641" xr:uid="{00000000-0005-0000-0000-0000752D0000}"/>
    <cellStyle name="40% - Accent6 2 2 2 6 2 2" xfId="11642" xr:uid="{00000000-0005-0000-0000-0000762D0000}"/>
    <cellStyle name="40% - Accent6 2 2 2 6 2 2 2" xfId="11643" xr:uid="{00000000-0005-0000-0000-0000772D0000}"/>
    <cellStyle name="40% - Accent6 2 2 2 6 2 3" xfId="11644" xr:uid="{00000000-0005-0000-0000-0000782D0000}"/>
    <cellStyle name="40% - Accent6 2 2 2 6 3" xfId="11645" xr:uid="{00000000-0005-0000-0000-0000792D0000}"/>
    <cellStyle name="40% - Accent6 2 2 2 6 3 2" xfId="11646" xr:uid="{00000000-0005-0000-0000-00007A2D0000}"/>
    <cellStyle name="40% - Accent6 2 2 2 6 4" xfId="11647" xr:uid="{00000000-0005-0000-0000-00007B2D0000}"/>
    <cellStyle name="40% - Accent6 2 2 2 7" xfId="11648" xr:uid="{00000000-0005-0000-0000-00007C2D0000}"/>
    <cellStyle name="40% - Accent6 2 2 2 7 2" xfId="11649" xr:uid="{00000000-0005-0000-0000-00007D2D0000}"/>
    <cellStyle name="40% - Accent6 2 2 2 7 2 2" xfId="11650" xr:uid="{00000000-0005-0000-0000-00007E2D0000}"/>
    <cellStyle name="40% - Accent6 2 2 2 7 3" xfId="11651" xr:uid="{00000000-0005-0000-0000-00007F2D0000}"/>
    <cellStyle name="40% - Accent6 2 2 2 8" xfId="11652" xr:uid="{00000000-0005-0000-0000-0000802D0000}"/>
    <cellStyle name="40% - Accent6 2 2 2 8 2" xfId="11653" xr:uid="{00000000-0005-0000-0000-0000812D0000}"/>
    <cellStyle name="40% - Accent6 2 2 2 9" xfId="11654" xr:uid="{00000000-0005-0000-0000-0000822D0000}"/>
    <cellStyle name="40% - Accent6 2 2 3" xfId="11655" xr:uid="{00000000-0005-0000-0000-0000832D0000}"/>
    <cellStyle name="40% - Accent6 2 2 3 2" xfId="11656" xr:uid="{00000000-0005-0000-0000-0000842D0000}"/>
    <cellStyle name="40% - Accent6 2 2 3 2 2" xfId="11657" xr:uid="{00000000-0005-0000-0000-0000852D0000}"/>
    <cellStyle name="40% - Accent6 2 2 3 2 2 2" xfId="11658" xr:uid="{00000000-0005-0000-0000-0000862D0000}"/>
    <cellStyle name="40% - Accent6 2 2 3 2 2 2 2" xfId="11659" xr:uid="{00000000-0005-0000-0000-0000872D0000}"/>
    <cellStyle name="40% - Accent6 2 2 3 2 2 2 2 2" xfId="11660" xr:uid="{00000000-0005-0000-0000-0000882D0000}"/>
    <cellStyle name="40% - Accent6 2 2 3 2 2 2 2 2 2" xfId="11661" xr:uid="{00000000-0005-0000-0000-0000892D0000}"/>
    <cellStyle name="40% - Accent6 2 2 3 2 2 2 2 2 2 2" xfId="11662" xr:uid="{00000000-0005-0000-0000-00008A2D0000}"/>
    <cellStyle name="40% - Accent6 2 2 3 2 2 2 2 2 3" xfId="11663" xr:uid="{00000000-0005-0000-0000-00008B2D0000}"/>
    <cellStyle name="40% - Accent6 2 2 3 2 2 2 2 3" xfId="11664" xr:uid="{00000000-0005-0000-0000-00008C2D0000}"/>
    <cellStyle name="40% - Accent6 2 2 3 2 2 2 2 3 2" xfId="11665" xr:uid="{00000000-0005-0000-0000-00008D2D0000}"/>
    <cellStyle name="40% - Accent6 2 2 3 2 2 2 2 4" xfId="11666" xr:uid="{00000000-0005-0000-0000-00008E2D0000}"/>
    <cellStyle name="40% - Accent6 2 2 3 2 2 2 3" xfId="11667" xr:uid="{00000000-0005-0000-0000-00008F2D0000}"/>
    <cellStyle name="40% - Accent6 2 2 3 2 2 2 3 2" xfId="11668" xr:uid="{00000000-0005-0000-0000-0000902D0000}"/>
    <cellStyle name="40% - Accent6 2 2 3 2 2 2 3 2 2" xfId="11669" xr:uid="{00000000-0005-0000-0000-0000912D0000}"/>
    <cellStyle name="40% - Accent6 2 2 3 2 2 2 3 3" xfId="11670" xr:uid="{00000000-0005-0000-0000-0000922D0000}"/>
    <cellStyle name="40% - Accent6 2 2 3 2 2 2 4" xfId="11671" xr:uid="{00000000-0005-0000-0000-0000932D0000}"/>
    <cellStyle name="40% - Accent6 2 2 3 2 2 2 4 2" xfId="11672" xr:uid="{00000000-0005-0000-0000-0000942D0000}"/>
    <cellStyle name="40% - Accent6 2 2 3 2 2 2 5" xfId="11673" xr:uid="{00000000-0005-0000-0000-0000952D0000}"/>
    <cellStyle name="40% - Accent6 2 2 3 2 2 3" xfId="11674" xr:uid="{00000000-0005-0000-0000-0000962D0000}"/>
    <cellStyle name="40% - Accent6 2 2 3 2 2 3 2" xfId="11675" xr:uid="{00000000-0005-0000-0000-0000972D0000}"/>
    <cellStyle name="40% - Accent6 2 2 3 2 2 3 2 2" xfId="11676" xr:uid="{00000000-0005-0000-0000-0000982D0000}"/>
    <cellStyle name="40% - Accent6 2 2 3 2 2 3 2 2 2" xfId="11677" xr:uid="{00000000-0005-0000-0000-0000992D0000}"/>
    <cellStyle name="40% - Accent6 2 2 3 2 2 3 2 3" xfId="11678" xr:uid="{00000000-0005-0000-0000-00009A2D0000}"/>
    <cellStyle name="40% - Accent6 2 2 3 2 2 3 3" xfId="11679" xr:uid="{00000000-0005-0000-0000-00009B2D0000}"/>
    <cellStyle name="40% - Accent6 2 2 3 2 2 3 3 2" xfId="11680" xr:uid="{00000000-0005-0000-0000-00009C2D0000}"/>
    <cellStyle name="40% - Accent6 2 2 3 2 2 3 4" xfId="11681" xr:uid="{00000000-0005-0000-0000-00009D2D0000}"/>
    <cellStyle name="40% - Accent6 2 2 3 2 2 4" xfId="11682" xr:uid="{00000000-0005-0000-0000-00009E2D0000}"/>
    <cellStyle name="40% - Accent6 2 2 3 2 2 4 2" xfId="11683" xr:uid="{00000000-0005-0000-0000-00009F2D0000}"/>
    <cellStyle name="40% - Accent6 2 2 3 2 2 4 2 2" xfId="11684" xr:uid="{00000000-0005-0000-0000-0000A02D0000}"/>
    <cellStyle name="40% - Accent6 2 2 3 2 2 4 3" xfId="11685" xr:uid="{00000000-0005-0000-0000-0000A12D0000}"/>
    <cellStyle name="40% - Accent6 2 2 3 2 2 5" xfId="11686" xr:uid="{00000000-0005-0000-0000-0000A22D0000}"/>
    <cellStyle name="40% - Accent6 2 2 3 2 2 5 2" xfId="11687" xr:uid="{00000000-0005-0000-0000-0000A32D0000}"/>
    <cellStyle name="40% - Accent6 2 2 3 2 2 6" xfId="11688" xr:uid="{00000000-0005-0000-0000-0000A42D0000}"/>
    <cellStyle name="40% - Accent6 2 2 3 2 3" xfId="11689" xr:uid="{00000000-0005-0000-0000-0000A52D0000}"/>
    <cellStyle name="40% - Accent6 2 2 3 2 3 2" xfId="11690" xr:uid="{00000000-0005-0000-0000-0000A62D0000}"/>
    <cellStyle name="40% - Accent6 2 2 3 2 3 2 2" xfId="11691" xr:uid="{00000000-0005-0000-0000-0000A72D0000}"/>
    <cellStyle name="40% - Accent6 2 2 3 2 3 2 2 2" xfId="11692" xr:uid="{00000000-0005-0000-0000-0000A82D0000}"/>
    <cellStyle name="40% - Accent6 2 2 3 2 3 2 2 2 2" xfId="11693" xr:uid="{00000000-0005-0000-0000-0000A92D0000}"/>
    <cellStyle name="40% - Accent6 2 2 3 2 3 2 2 3" xfId="11694" xr:uid="{00000000-0005-0000-0000-0000AA2D0000}"/>
    <cellStyle name="40% - Accent6 2 2 3 2 3 2 3" xfId="11695" xr:uid="{00000000-0005-0000-0000-0000AB2D0000}"/>
    <cellStyle name="40% - Accent6 2 2 3 2 3 2 3 2" xfId="11696" xr:uid="{00000000-0005-0000-0000-0000AC2D0000}"/>
    <cellStyle name="40% - Accent6 2 2 3 2 3 2 4" xfId="11697" xr:uid="{00000000-0005-0000-0000-0000AD2D0000}"/>
    <cellStyle name="40% - Accent6 2 2 3 2 3 3" xfId="11698" xr:uid="{00000000-0005-0000-0000-0000AE2D0000}"/>
    <cellStyle name="40% - Accent6 2 2 3 2 3 3 2" xfId="11699" xr:uid="{00000000-0005-0000-0000-0000AF2D0000}"/>
    <cellStyle name="40% - Accent6 2 2 3 2 3 3 2 2" xfId="11700" xr:uid="{00000000-0005-0000-0000-0000B02D0000}"/>
    <cellStyle name="40% - Accent6 2 2 3 2 3 3 3" xfId="11701" xr:uid="{00000000-0005-0000-0000-0000B12D0000}"/>
    <cellStyle name="40% - Accent6 2 2 3 2 3 4" xfId="11702" xr:uid="{00000000-0005-0000-0000-0000B22D0000}"/>
    <cellStyle name="40% - Accent6 2 2 3 2 3 4 2" xfId="11703" xr:uid="{00000000-0005-0000-0000-0000B32D0000}"/>
    <cellStyle name="40% - Accent6 2 2 3 2 3 5" xfId="11704" xr:uid="{00000000-0005-0000-0000-0000B42D0000}"/>
    <cellStyle name="40% - Accent6 2 2 3 2 4" xfId="11705" xr:uid="{00000000-0005-0000-0000-0000B52D0000}"/>
    <cellStyle name="40% - Accent6 2 2 3 2 4 2" xfId="11706" xr:uid="{00000000-0005-0000-0000-0000B62D0000}"/>
    <cellStyle name="40% - Accent6 2 2 3 2 4 2 2" xfId="11707" xr:uid="{00000000-0005-0000-0000-0000B72D0000}"/>
    <cellStyle name="40% - Accent6 2 2 3 2 4 2 2 2" xfId="11708" xr:uid="{00000000-0005-0000-0000-0000B82D0000}"/>
    <cellStyle name="40% - Accent6 2 2 3 2 4 2 3" xfId="11709" xr:uid="{00000000-0005-0000-0000-0000B92D0000}"/>
    <cellStyle name="40% - Accent6 2 2 3 2 4 3" xfId="11710" xr:uid="{00000000-0005-0000-0000-0000BA2D0000}"/>
    <cellStyle name="40% - Accent6 2 2 3 2 4 3 2" xfId="11711" xr:uid="{00000000-0005-0000-0000-0000BB2D0000}"/>
    <cellStyle name="40% - Accent6 2 2 3 2 4 4" xfId="11712" xr:uid="{00000000-0005-0000-0000-0000BC2D0000}"/>
    <cellStyle name="40% - Accent6 2 2 3 2 5" xfId="11713" xr:uid="{00000000-0005-0000-0000-0000BD2D0000}"/>
    <cellStyle name="40% - Accent6 2 2 3 2 5 2" xfId="11714" xr:uid="{00000000-0005-0000-0000-0000BE2D0000}"/>
    <cellStyle name="40% - Accent6 2 2 3 2 5 2 2" xfId="11715" xr:uid="{00000000-0005-0000-0000-0000BF2D0000}"/>
    <cellStyle name="40% - Accent6 2 2 3 2 5 3" xfId="11716" xr:uid="{00000000-0005-0000-0000-0000C02D0000}"/>
    <cellStyle name="40% - Accent6 2 2 3 2 6" xfId="11717" xr:uid="{00000000-0005-0000-0000-0000C12D0000}"/>
    <cellStyle name="40% - Accent6 2 2 3 2 6 2" xfId="11718" xr:uid="{00000000-0005-0000-0000-0000C22D0000}"/>
    <cellStyle name="40% - Accent6 2 2 3 2 7" xfId="11719" xr:uid="{00000000-0005-0000-0000-0000C32D0000}"/>
    <cellStyle name="40% - Accent6 2 2 3 3" xfId="11720" xr:uid="{00000000-0005-0000-0000-0000C42D0000}"/>
    <cellStyle name="40% - Accent6 2 2 3 3 2" xfId="11721" xr:uid="{00000000-0005-0000-0000-0000C52D0000}"/>
    <cellStyle name="40% - Accent6 2 2 3 3 2 2" xfId="11722" xr:uid="{00000000-0005-0000-0000-0000C62D0000}"/>
    <cellStyle name="40% - Accent6 2 2 3 3 2 2 2" xfId="11723" xr:uid="{00000000-0005-0000-0000-0000C72D0000}"/>
    <cellStyle name="40% - Accent6 2 2 3 3 2 2 2 2" xfId="11724" xr:uid="{00000000-0005-0000-0000-0000C82D0000}"/>
    <cellStyle name="40% - Accent6 2 2 3 3 2 2 2 2 2" xfId="11725" xr:uid="{00000000-0005-0000-0000-0000C92D0000}"/>
    <cellStyle name="40% - Accent6 2 2 3 3 2 2 2 3" xfId="11726" xr:uid="{00000000-0005-0000-0000-0000CA2D0000}"/>
    <cellStyle name="40% - Accent6 2 2 3 3 2 2 3" xfId="11727" xr:uid="{00000000-0005-0000-0000-0000CB2D0000}"/>
    <cellStyle name="40% - Accent6 2 2 3 3 2 2 3 2" xfId="11728" xr:uid="{00000000-0005-0000-0000-0000CC2D0000}"/>
    <cellStyle name="40% - Accent6 2 2 3 3 2 2 4" xfId="11729" xr:uid="{00000000-0005-0000-0000-0000CD2D0000}"/>
    <cellStyle name="40% - Accent6 2 2 3 3 2 3" xfId="11730" xr:uid="{00000000-0005-0000-0000-0000CE2D0000}"/>
    <cellStyle name="40% - Accent6 2 2 3 3 2 3 2" xfId="11731" xr:uid="{00000000-0005-0000-0000-0000CF2D0000}"/>
    <cellStyle name="40% - Accent6 2 2 3 3 2 3 2 2" xfId="11732" xr:uid="{00000000-0005-0000-0000-0000D02D0000}"/>
    <cellStyle name="40% - Accent6 2 2 3 3 2 3 3" xfId="11733" xr:uid="{00000000-0005-0000-0000-0000D12D0000}"/>
    <cellStyle name="40% - Accent6 2 2 3 3 2 4" xfId="11734" xr:uid="{00000000-0005-0000-0000-0000D22D0000}"/>
    <cellStyle name="40% - Accent6 2 2 3 3 2 4 2" xfId="11735" xr:uid="{00000000-0005-0000-0000-0000D32D0000}"/>
    <cellStyle name="40% - Accent6 2 2 3 3 2 5" xfId="11736" xr:uid="{00000000-0005-0000-0000-0000D42D0000}"/>
    <cellStyle name="40% - Accent6 2 2 3 3 3" xfId="11737" xr:uid="{00000000-0005-0000-0000-0000D52D0000}"/>
    <cellStyle name="40% - Accent6 2 2 3 3 3 2" xfId="11738" xr:uid="{00000000-0005-0000-0000-0000D62D0000}"/>
    <cellStyle name="40% - Accent6 2 2 3 3 3 2 2" xfId="11739" xr:uid="{00000000-0005-0000-0000-0000D72D0000}"/>
    <cellStyle name="40% - Accent6 2 2 3 3 3 2 2 2" xfId="11740" xr:uid="{00000000-0005-0000-0000-0000D82D0000}"/>
    <cellStyle name="40% - Accent6 2 2 3 3 3 2 3" xfId="11741" xr:uid="{00000000-0005-0000-0000-0000D92D0000}"/>
    <cellStyle name="40% - Accent6 2 2 3 3 3 3" xfId="11742" xr:uid="{00000000-0005-0000-0000-0000DA2D0000}"/>
    <cellStyle name="40% - Accent6 2 2 3 3 3 3 2" xfId="11743" xr:uid="{00000000-0005-0000-0000-0000DB2D0000}"/>
    <cellStyle name="40% - Accent6 2 2 3 3 3 4" xfId="11744" xr:uid="{00000000-0005-0000-0000-0000DC2D0000}"/>
    <cellStyle name="40% - Accent6 2 2 3 3 4" xfId="11745" xr:uid="{00000000-0005-0000-0000-0000DD2D0000}"/>
    <cellStyle name="40% - Accent6 2 2 3 3 4 2" xfId="11746" xr:uid="{00000000-0005-0000-0000-0000DE2D0000}"/>
    <cellStyle name="40% - Accent6 2 2 3 3 4 2 2" xfId="11747" xr:uid="{00000000-0005-0000-0000-0000DF2D0000}"/>
    <cellStyle name="40% - Accent6 2 2 3 3 4 3" xfId="11748" xr:uid="{00000000-0005-0000-0000-0000E02D0000}"/>
    <cellStyle name="40% - Accent6 2 2 3 3 5" xfId="11749" xr:uid="{00000000-0005-0000-0000-0000E12D0000}"/>
    <cellStyle name="40% - Accent6 2 2 3 3 5 2" xfId="11750" xr:uid="{00000000-0005-0000-0000-0000E22D0000}"/>
    <cellStyle name="40% - Accent6 2 2 3 3 6" xfId="11751" xr:uid="{00000000-0005-0000-0000-0000E32D0000}"/>
    <cellStyle name="40% - Accent6 2 2 3 4" xfId="11752" xr:uid="{00000000-0005-0000-0000-0000E42D0000}"/>
    <cellStyle name="40% - Accent6 2 2 3 4 2" xfId="11753" xr:uid="{00000000-0005-0000-0000-0000E52D0000}"/>
    <cellStyle name="40% - Accent6 2 2 3 4 2 2" xfId="11754" xr:uid="{00000000-0005-0000-0000-0000E62D0000}"/>
    <cellStyle name="40% - Accent6 2 2 3 4 2 2 2" xfId="11755" xr:uid="{00000000-0005-0000-0000-0000E72D0000}"/>
    <cellStyle name="40% - Accent6 2 2 3 4 2 2 2 2" xfId="11756" xr:uid="{00000000-0005-0000-0000-0000E82D0000}"/>
    <cellStyle name="40% - Accent6 2 2 3 4 2 2 3" xfId="11757" xr:uid="{00000000-0005-0000-0000-0000E92D0000}"/>
    <cellStyle name="40% - Accent6 2 2 3 4 2 3" xfId="11758" xr:uid="{00000000-0005-0000-0000-0000EA2D0000}"/>
    <cellStyle name="40% - Accent6 2 2 3 4 2 3 2" xfId="11759" xr:uid="{00000000-0005-0000-0000-0000EB2D0000}"/>
    <cellStyle name="40% - Accent6 2 2 3 4 2 4" xfId="11760" xr:uid="{00000000-0005-0000-0000-0000EC2D0000}"/>
    <cellStyle name="40% - Accent6 2 2 3 4 3" xfId="11761" xr:uid="{00000000-0005-0000-0000-0000ED2D0000}"/>
    <cellStyle name="40% - Accent6 2 2 3 4 3 2" xfId="11762" xr:uid="{00000000-0005-0000-0000-0000EE2D0000}"/>
    <cellStyle name="40% - Accent6 2 2 3 4 3 2 2" xfId="11763" xr:uid="{00000000-0005-0000-0000-0000EF2D0000}"/>
    <cellStyle name="40% - Accent6 2 2 3 4 3 3" xfId="11764" xr:uid="{00000000-0005-0000-0000-0000F02D0000}"/>
    <cellStyle name="40% - Accent6 2 2 3 4 4" xfId="11765" xr:uid="{00000000-0005-0000-0000-0000F12D0000}"/>
    <cellStyle name="40% - Accent6 2 2 3 4 4 2" xfId="11766" xr:uid="{00000000-0005-0000-0000-0000F22D0000}"/>
    <cellStyle name="40% - Accent6 2 2 3 4 5" xfId="11767" xr:uid="{00000000-0005-0000-0000-0000F32D0000}"/>
    <cellStyle name="40% - Accent6 2 2 3 5" xfId="11768" xr:uid="{00000000-0005-0000-0000-0000F42D0000}"/>
    <cellStyle name="40% - Accent6 2 2 3 5 2" xfId="11769" xr:uid="{00000000-0005-0000-0000-0000F52D0000}"/>
    <cellStyle name="40% - Accent6 2 2 3 5 2 2" xfId="11770" xr:uid="{00000000-0005-0000-0000-0000F62D0000}"/>
    <cellStyle name="40% - Accent6 2 2 3 5 2 2 2" xfId="11771" xr:uid="{00000000-0005-0000-0000-0000F72D0000}"/>
    <cellStyle name="40% - Accent6 2 2 3 5 2 3" xfId="11772" xr:uid="{00000000-0005-0000-0000-0000F82D0000}"/>
    <cellStyle name="40% - Accent6 2 2 3 5 3" xfId="11773" xr:uid="{00000000-0005-0000-0000-0000F92D0000}"/>
    <cellStyle name="40% - Accent6 2 2 3 5 3 2" xfId="11774" xr:uid="{00000000-0005-0000-0000-0000FA2D0000}"/>
    <cellStyle name="40% - Accent6 2 2 3 5 4" xfId="11775" xr:uid="{00000000-0005-0000-0000-0000FB2D0000}"/>
    <cellStyle name="40% - Accent6 2 2 3 6" xfId="11776" xr:uid="{00000000-0005-0000-0000-0000FC2D0000}"/>
    <cellStyle name="40% - Accent6 2 2 3 6 2" xfId="11777" xr:uid="{00000000-0005-0000-0000-0000FD2D0000}"/>
    <cellStyle name="40% - Accent6 2 2 3 6 2 2" xfId="11778" xr:uid="{00000000-0005-0000-0000-0000FE2D0000}"/>
    <cellStyle name="40% - Accent6 2 2 3 6 3" xfId="11779" xr:uid="{00000000-0005-0000-0000-0000FF2D0000}"/>
    <cellStyle name="40% - Accent6 2 2 3 7" xfId="11780" xr:uid="{00000000-0005-0000-0000-0000002E0000}"/>
    <cellStyle name="40% - Accent6 2 2 3 7 2" xfId="11781" xr:uid="{00000000-0005-0000-0000-0000012E0000}"/>
    <cellStyle name="40% - Accent6 2 2 3 8" xfId="11782" xr:uid="{00000000-0005-0000-0000-0000022E0000}"/>
    <cellStyle name="40% - Accent6 2 2 4" xfId="11783" xr:uid="{00000000-0005-0000-0000-0000032E0000}"/>
    <cellStyle name="40% - Accent6 2 2 4 2" xfId="11784" xr:uid="{00000000-0005-0000-0000-0000042E0000}"/>
    <cellStyle name="40% - Accent6 2 2 4 2 2" xfId="11785" xr:uid="{00000000-0005-0000-0000-0000052E0000}"/>
    <cellStyle name="40% - Accent6 2 2 4 2 2 2" xfId="11786" xr:uid="{00000000-0005-0000-0000-0000062E0000}"/>
    <cellStyle name="40% - Accent6 2 2 4 2 2 2 2" xfId="11787" xr:uid="{00000000-0005-0000-0000-0000072E0000}"/>
    <cellStyle name="40% - Accent6 2 2 4 2 2 2 2 2" xfId="11788" xr:uid="{00000000-0005-0000-0000-0000082E0000}"/>
    <cellStyle name="40% - Accent6 2 2 4 2 2 2 2 2 2" xfId="11789" xr:uid="{00000000-0005-0000-0000-0000092E0000}"/>
    <cellStyle name="40% - Accent6 2 2 4 2 2 2 2 3" xfId="11790" xr:uid="{00000000-0005-0000-0000-00000A2E0000}"/>
    <cellStyle name="40% - Accent6 2 2 4 2 2 2 3" xfId="11791" xr:uid="{00000000-0005-0000-0000-00000B2E0000}"/>
    <cellStyle name="40% - Accent6 2 2 4 2 2 2 3 2" xfId="11792" xr:uid="{00000000-0005-0000-0000-00000C2E0000}"/>
    <cellStyle name="40% - Accent6 2 2 4 2 2 2 4" xfId="11793" xr:uid="{00000000-0005-0000-0000-00000D2E0000}"/>
    <cellStyle name="40% - Accent6 2 2 4 2 2 3" xfId="11794" xr:uid="{00000000-0005-0000-0000-00000E2E0000}"/>
    <cellStyle name="40% - Accent6 2 2 4 2 2 3 2" xfId="11795" xr:uid="{00000000-0005-0000-0000-00000F2E0000}"/>
    <cellStyle name="40% - Accent6 2 2 4 2 2 3 2 2" xfId="11796" xr:uid="{00000000-0005-0000-0000-0000102E0000}"/>
    <cellStyle name="40% - Accent6 2 2 4 2 2 3 3" xfId="11797" xr:uid="{00000000-0005-0000-0000-0000112E0000}"/>
    <cellStyle name="40% - Accent6 2 2 4 2 2 4" xfId="11798" xr:uid="{00000000-0005-0000-0000-0000122E0000}"/>
    <cellStyle name="40% - Accent6 2 2 4 2 2 4 2" xfId="11799" xr:uid="{00000000-0005-0000-0000-0000132E0000}"/>
    <cellStyle name="40% - Accent6 2 2 4 2 2 5" xfId="11800" xr:uid="{00000000-0005-0000-0000-0000142E0000}"/>
    <cellStyle name="40% - Accent6 2 2 4 2 3" xfId="11801" xr:uid="{00000000-0005-0000-0000-0000152E0000}"/>
    <cellStyle name="40% - Accent6 2 2 4 2 3 2" xfId="11802" xr:uid="{00000000-0005-0000-0000-0000162E0000}"/>
    <cellStyle name="40% - Accent6 2 2 4 2 3 2 2" xfId="11803" xr:uid="{00000000-0005-0000-0000-0000172E0000}"/>
    <cellStyle name="40% - Accent6 2 2 4 2 3 2 2 2" xfId="11804" xr:uid="{00000000-0005-0000-0000-0000182E0000}"/>
    <cellStyle name="40% - Accent6 2 2 4 2 3 2 3" xfId="11805" xr:uid="{00000000-0005-0000-0000-0000192E0000}"/>
    <cellStyle name="40% - Accent6 2 2 4 2 3 3" xfId="11806" xr:uid="{00000000-0005-0000-0000-00001A2E0000}"/>
    <cellStyle name="40% - Accent6 2 2 4 2 3 3 2" xfId="11807" xr:uid="{00000000-0005-0000-0000-00001B2E0000}"/>
    <cellStyle name="40% - Accent6 2 2 4 2 3 4" xfId="11808" xr:uid="{00000000-0005-0000-0000-00001C2E0000}"/>
    <cellStyle name="40% - Accent6 2 2 4 2 4" xfId="11809" xr:uid="{00000000-0005-0000-0000-00001D2E0000}"/>
    <cellStyle name="40% - Accent6 2 2 4 2 4 2" xfId="11810" xr:uid="{00000000-0005-0000-0000-00001E2E0000}"/>
    <cellStyle name="40% - Accent6 2 2 4 2 4 2 2" xfId="11811" xr:uid="{00000000-0005-0000-0000-00001F2E0000}"/>
    <cellStyle name="40% - Accent6 2 2 4 2 4 3" xfId="11812" xr:uid="{00000000-0005-0000-0000-0000202E0000}"/>
    <cellStyle name="40% - Accent6 2 2 4 2 5" xfId="11813" xr:uid="{00000000-0005-0000-0000-0000212E0000}"/>
    <cellStyle name="40% - Accent6 2 2 4 2 5 2" xfId="11814" xr:uid="{00000000-0005-0000-0000-0000222E0000}"/>
    <cellStyle name="40% - Accent6 2 2 4 2 6" xfId="11815" xr:uid="{00000000-0005-0000-0000-0000232E0000}"/>
    <cellStyle name="40% - Accent6 2 2 4 3" xfId="11816" xr:uid="{00000000-0005-0000-0000-0000242E0000}"/>
    <cellStyle name="40% - Accent6 2 2 4 3 2" xfId="11817" xr:uid="{00000000-0005-0000-0000-0000252E0000}"/>
    <cellStyle name="40% - Accent6 2 2 4 3 2 2" xfId="11818" xr:uid="{00000000-0005-0000-0000-0000262E0000}"/>
    <cellStyle name="40% - Accent6 2 2 4 3 2 2 2" xfId="11819" xr:uid="{00000000-0005-0000-0000-0000272E0000}"/>
    <cellStyle name="40% - Accent6 2 2 4 3 2 2 2 2" xfId="11820" xr:uid="{00000000-0005-0000-0000-0000282E0000}"/>
    <cellStyle name="40% - Accent6 2 2 4 3 2 2 3" xfId="11821" xr:uid="{00000000-0005-0000-0000-0000292E0000}"/>
    <cellStyle name="40% - Accent6 2 2 4 3 2 3" xfId="11822" xr:uid="{00000000-0005-0000-0000-00002A2E0000}"/>
    <cellStyle name="40% - Accent6 2 2 4 3 2 3 2" xfId="11823" xr:uid="{00000000-0005-0000-0000-00002B2E0000}"/>
    <cellStyle name="40% - Accent6 2 2 4 3 2 4" xfId="11824" xr:uid="{00000000-0005-0000-0000-00002C2E0000}"/>
    <cellStyle name="40% - Accent6 2 2 4 3 3" xfId="11825" xr:uid="{00000000-0005-0000-0000-00002D2E0000}"/>
    <cellStyle name="40% - Accent6 2 2 4 3 3 2" xfId="11826" xr:uid="{00000000-0005-0000-0000-00002E2E0000}"/>
    <cellStyle name="40% - Accent6 2 2 4 3 3 2 2" xfId="11827" xr:uid="{00000000-0005-0000-0000-00002F2E0000}"/>
    <cellStyle name="40% - Accent6 2 2 4 3 3 3" xfId="11828" xr:uid="{00000000-0005-0000-0000-0000302E0000}"/>
    <cellStyle name="40% - Accent6 2 2 4 3 4" xfId="11829" xr:uid="{00000000-0005-0000-0000-0000312E0000}"/>
    <cellStyle name="40% - Accent6 2 2 4 3 4 2" xfId="11830" xr:uid="{00000000-0005-0000-0000-0000322E0000}"/>
    <cellStyle name="40% - Accent6 2 2 4 3 5" xfId="11831" xr:uid="{00000000-0005-0000-0000-0000332E0000}"/>
    <cellStyle name="40% - Accent6 2 2 4 4" xfId="11832" xr:uid="{00000000-0005-0000-0000-0000342E0000}"/>
    <cellStyle name="40% - Accent6 2 2 4 4 2" xfId="11833" xr:uid="{00000000-0005-0000-0000-0000352E0000}"/>
    <cellStyle name="40% - Accent6 2 2 4 4 2 2" xfId="11834" xr:uid="{00000000-0005-0000-0000-0000362E0000}"/>
    <cellStyle name="40% - Accent6 2 2 4 4 2 2 2" xfId="11835" xr:uid="{00000000-0005-0000-0000-0000372E0000}"/>
    <cellStyle name="40% - Accent6 2 2 4 4 2 3" xfId="11836" xr:uid="{00000000-0005-0000-0000-0000382E0000}"/>
    <cellStyle name="40% - Accent6 2 2 4 4 3" xfId="11837" xr:uid="{00000000-0005-0000-0000-0000392E0000}"/>
    <cellStyle name="40% - Accent6 2 2 4 4 3 2" xfId="11838" xr:uid="{00000000-0005-0000-0000-00003A2E0000}"/>
    <cellStyle name="40% - Accent6 2 2 4 4 4" xfId="11839" xr:uid="{00000000-0005-0000-0000-00003B2E0000}"/>
    <cellStyle name="40% - Accent6 2 2 4 5" xfId="11840" xr:uid="{00000000-0005-0000-0000-00003C2E0000}"/>
    <cellStyle name="40% - Accent6 2 2 4 5 2" xfId="11841" xr:uid="{00000000-0005-0000-0000-00003D2E0000}"/>
    <cellStyle name="40% - Accent6 2 2 4 5 2 2" xfId="11842" xr:uid="{00000000-0005-0000-0000-00003E2E0000}"/>
    <cellStyle name="40% - Accent6 2 2 4 5 3" xfId="11843" xr:uid="{00000000-0005-0000-0000-00003F2E0000}"/>
    <cellStyle name="40% - Accent6 2 2 4 6" xfId="11844" xr:uid="{00000000-0005-0000-0000-0000402E0000}"/>
    <cellStyle name="40% - Accent6 2 2 4 6 2" xfId="11845" xr:uid="{00000000-0005-0000-0000-0000412E0000}"/>
    <cellStyle name="40% - Accent6 2 2 4 7" xfId="11846" xr:uid="{00000000-0005-0000-0000-0000422E0000}"/>
    <cellStyle name="40% - Accent6 2 2 5" xfId="11847" xr:uid="{00000000-0005-0000-0000-0000432E0000}"/>
    <cellStyle name="40% - Accent6 2 2 5 2" xfId="11848" xr:uid="{00000000-0005-0000-0000-0000442E0000}"/>
    <cellStyle name="40% - Accent6 2 2 5 2 2" xfId="11849" xr:uid="{00000000-0005-0000-0000-0000452E0000}"/>
    <cellStyle name="40% - Accent6 2 2 5 2 2 2" xfId="11850" xr:uid="{00000000-0005-0000-0000-0000462E0000}"/>
    <cellStyle name="40% - Accent6 2 2 5 2 2 2 2" xfId="11851" xr:uid="{00000000-0005-0000-0000-0000472E0000}"/>
    <cellStyle name="40% - Accent6 2 2 5 2 2 2 2 2" xfId="11852" xr:uid="{00000000-0005-0000-0000-0000482E0000}"/>
    <cellStyle name="40% - Accent6 2 2 5 2 2 2 3" xfId="11853" xr:uid="{00000000-0005-0000-0000-0000492E0000}"/>
    <cellStyle name="40% - Accent6 2 2 5 2 2 3" xfId="11854" xr:uid="{00000000-0005-0000-0000-00004A2E0000}"/>
    <cellStyle name="40% - Accent6 2 2 5 2 2 3 2" xfId="11855" xr:uid="{00000000-0005-0000-0000-00004B2E0000}"/>
    <cellStyle name="40% - Accent6 2 2 5 2 2 4" xfId="11856" xr:uid="{00000000-0005-0000-0000-00004C2E0000}"/>
    <cellStyle name="40% - Accent6 2 2 5 2 3" xfId="11857" xr:uid="{00000000-0005-0000-0000-00004D2E0000}"/>
    <cellStyle name="40% - Accent6 2 2 5 2 3 2" xfId="11858" xr:uid="{00000000-0005-0000-0000-00004E2E0000}"/>
    <cellStyle name="40% - Accent6 2 2 5 2 3 2 2" xfId="11859" xr:uid="{00000000-0005-0000-0000-00004F2E0000}"/>
    <cellStyle name="40% - Accent6 2 2 5 2 3 3" xfId="11860" xr:uid="{00000000-0005-0000-0000-0000502E0000}"/>
    <cellStyle name="40% - Accent6 2 2 5 2 4" xfId="11861" xr:uid="{00000000-0005-0000-0000-0000512E0000}"/>
    <cellStyle name="40% - Accent6 2 2 5 2 4 2" xfId="11862" xr:uid="{00000000-0005-0000-0000-0000522E0000}"/>
    <cellStyle name="40% - Accent6 2 2 5 2 5" xfId="11863" xr:uid="{00000000-0005-0000-0000-0000532E0000}"/>
    <cellStyle name="40% - Accent6 2 2 5 3" xfId="11864" xr:uid="{00000000-0005-0000-0000-0000542E0000}"/>
    <cellStyle name="40% - Accent6 2 2 5 3 2" xfId="11865" xr:uid="{00000000-0005-0000-0000-0000552E0000}"/>
    <cellStyle name="40% - Accent6 2 2 5 3 2 2" xfId="11866" xr:uid="{00000000-0005-0000-0000-0000562E0000}"/>
    <cellStyle name="40% - Accent6 2 2 5 3 2 2 2" xfId="11867" xr:uid="{00000000-0005-0000-0000-0000572E0000}"/>
    <cellStyle name="40% - Accent6 2 2 5 3 2 3" xfId="11868" xr:uid="{00000000-0005-0000-0000-0000582E0000}"/>
    <cellStyle name="40% - Accent6 2 2 5 3 3" xfId="11869" xr:uid="{00000000-0005-0000-0000-0000592E0000}"/>
    <cellStyle name="40% - Accent6 2 2 5 3 3 2" xfId="11870" xr:uid="{00000000-0005-0000-0000-00005A2E0000}"/>
    <cellStyle name="40% - Accent6 2 2 5 3 4" xfId="11871" xr:uid="{00000000-0005-0000-0000-00005B2E0000}"/>
    <cellStyle name="40% - Accent6 2 2 5 4" xfId="11872" xr:uid="{00000000-0005-0000-0000-00005C2E0000}"/>
    <cellStyle name="40% - Accent6 2 2 5 4 2" xfId="11873" xr:uid="{00000000-0005-0000-0000-00005D2E0000}"/>
    <cellStyle name="40% - Accent6 2 2 5 4 2 2" xfId="11874" xr:uid="{00000000-0005-0000-0000-00005E2E0000}"/>
    <cellStyle name="40% - Accent6 2 2 5 4 3" xfId="11875" xr:uid="{00000000-0005-0000-0000-00005F2E0000}"/>
    <cellStyle name="40% - Accent6 2 2 5 5" xfId="11876" xr:uid="{00000000-0005-0000-0000-0000602E0000}"/>
    <cellStyle name="40% - Accent6 2 2 5 5 2" xfId="11877" xr:uid="{00000000-0005-0000-0000-0000612E0000}"/>
    <cellStyle name="40% - Accent6 2 2 5 6" xfId="11878" xr:uid="{00000000-0005-0000-0000-0000622E0000}"/>
    <cellStyle name="40% - Accent6 2 2 6" xfId="11879" xr:uid="{00000000-0005-0000-0000-0000632E0000}"/>
    <cellStyle name="40% - Accent6 2 2 6 2" xfId="11880" xr:uid="{00000000-0005-0000-0000-0000642E0000}"/>
    <cellStyle name="40% - Accent6 2 2 6 2 2" xfId="11881" xr:uid="{00000000-0005-0000-0000-0000652E0000}"/>
    <cellStyle name="40% - Accent6 2 2 6 2 2 2" xfId="11882" xr:uid="{00000000-0005-0000-0000-0000662E0000}"/>
    <cellStyle name="40% - Accent6 2 2 6 2 2 2 2" xfId="11883" xr:uid="{00000000-0005-0000-0000-0000672E0000}"/>
    <cellStyle name="40% - Accent6 2 2 6 2 2 3" xfId="11884" xr:uid="{00000000-0005-0000-0000-0000682E0000}"/>
    <cellStyle name="40% - Accent6 2 2 6 2 3" xfId="11885" xr:uid="{00000000-0005-0000-0000-0000692E0000}"/>
    <cellStyle name="40% - Accent6 2 2 6 2 3 2" xfId="11886" xr:uid="{00000000-0005-0000-0000-00006A2E0000}"/>
    <cellStyle name="40% - Accent6 2 2 6 2 4" xfId="11887" xr:uid="{00000000-0005-0000-0000-00006B2E0000}"/>
    <cellStyle name="40% - Accent6 2 2 6 3" xfId="11888" xr:uid="{00000000-0005-0000-0000-00006C2E0000}"/>
    <cellStyle name="40% - Accent6 2 2 6 3 2" xfId="11889" xr:uid="{00000000-0005-0000-0000-00006D2E0000}"/>
    <cellStyle name="40% - Accent6 2 2 6 3 2 2" xfId="11890" xr:uid="{00000000-0005-0000-0000-00006E2E0000}"/>
    <cellStyle name="40% - Accent6 2 2 6 3 3" xfId="11891" xr:uid="{00000000-0005-0000-0000-00006F2E0000}"/>
    <cellStyle name="40% - Accent6 2 2 6 4" xfId="11892" xr:uid="{00000000-0005-0000-0000-0000702E0000}"/>
    <cellStyle name="40% - Accent6 2 2 6 4 2" xfId="11893" xr:uid="{00000000-0005-0000-0000-0000712E0000}"/>
    <cellStyle name="40% - Accent6 2 2 6 5" xfId="11894" xr:uid="{00000000-0005-0000-0000-0000722E0000}"/>
    <cellStyle name="40% - Accent6 2 2 7" xfId="11895" xr:uid="{00000000-0005-0000-0000-0000732E0000}"/>
    <cellStyle name="40% - Accent6 2 2 7 2" xfId="11896" xr:uid="{00000000-0005-0000-0000-0000742E0000}"/>
    <cellStyle name="40% - Accent6 2 2 7 2 2" xfId="11897" xr:uid="{00000000-0005-0000-0000-0000752E0000}"/>
    <cellStyle name="40% - Accent6 2 2 7 2 2 2" xfId="11898" xr:uid="{00000000-0005-0000-0000-0000762E0000}"/>
    <cellStyle name="40% - Accent6 2 2 7 2 3" xfId="11899" xr:uid="{00000000-0005-0000-0000-0000772E0000}"/>
    <cellStyle name="40% - Accent6 2 2 7 3" xfId="11900" xr:uid="{00000000-0005-0000-0000-0000782E0000}"/>
    <cellStyle name="40% - Accent6 2 2 7 3 2" xfId="11901" xr:uid="{00000000-0005-0000-0000-0000792E0000}"/>
    <cellStyle name="40% - Accent6 2 2 7 4" xfId="11902" xr:uid="{00000000-0005-0000-0000-00007A2E0000}"/>
    <cellStyle name="40% - Accent6 2 2 8" xfId="11903" xr:uid="{00000000-0005-0000-0000-00007B2E0000}"/>
    <cellStyle name="40% - Accent6 2 2 8 2" xfId="11904" xr:uid="{00000000-0005-0000-0000-00007C2E0000}"/>
    <cellStyle name="40% - Accent6 2 2 8 2 2" xfId="11905" xr:uid="{00000000-0005-0000-0000-00007D2E0000}"/>
    <cellStyle name="40% - Accent6 2 2 8 3" xfId="11906" xr:uid="{00000000-0005-0000-0000-00007E2E0000}"/>
    <cellStyle name="40% - Accent6 2 2 9" xfId="11907" xr:uid="{00000000-0005-0000-0000-00007F2E0000}"/>
    <cellStyle name="40% - Accent6 2 2 9 2" xfId="11908" xr:uid="{00000000-0005-0000-0000-0000802E0000}"/>
    <cellStyle name="40% - Accent6 2 3" xfId="11909" xr:uid="{00000000-0005-0000-0000-0000812E0000}"/>
    <cellStyle name="40% - Accent6 2 3 2" xfId="11910" xr:uid="{00000000-0005-0000-0000-0000822E0000}"/>
    <cellStyle name="40% - Accent6 2 3 2 2" xfId="11911" xr:uid="{00000000-0005-0000-0000-0000832E0000}"/>
    <cellStyle name="40% - Accent6 2 3 2 2 2" xfId="11912" xr:uid="{00000000-0005-0000-0000-0000842E0000}"/>
    <cellStyle name="40% - Accent6 2 3 2 2 2 2" xfId="11913" xr:uid="{00000000-0005-0000-0000-0000852E0000}"/>
    <cellStyle name="40% - Accent6 2 3 2 2 2 2 2" xfId="11914" xr:uid="{00000000-0005-0000-0000-0000862E0000}"/>
    <cellStyle name="40% - Accent6 2 3 2 2 2 2 2 2" xfId="11915" xr:uid="{00000000-0005-0000-0000-0000872E0000}"/>
    <cellStyle name="40% - Accent6 2 3 2 2 2 2 2 2 2" xfId="11916" xr:uid="{00000000-0005-0000-0000-0000882E0000}"/>
    <cellStyle name="40% - Accent6 2 3 2 2 2 2 2 2 2 2" xfId="11917" xr:uid="{00000000-0005-0000-0000-0000892E0000}"/>
    <cellStyle name="40% - Accent6 2 3 2 2 2 2 2 2 3" xfId="11918" xr:uid="{00000000-0005-0000-0000-00008A2E0000}"/>
    <cellStyle name="40% - Accent6 2 3 2 2 2 2 2 3" xfId="11919" xr:uid="{00000000-0005-0000-0000-00008B2E0000}"/>
    <cellStyle name="40% - Accent6 2 3 2 2 2 2 2 3 2" xfId="11920" xr:uid="{00000000-0005-0000-0000-00008C2E0000}"/>
    <cellStyle name="40% - Accent6 2 3 2 2 2 2 2 4" xfId="11921" xr:uid="{00000000-0005-0000-0000-00008D2E0000}"/>
    <cellStyle name="40% - Accent6 2 3 2 2 2 2 3" xfId="11922" xr:uid="{00000000-0005-0000-0000-00008E2E0000}"/>
    <cellStyle name="40% - Accent6 2 3 2 2 2 2 3 2" xfId="11923" xr:uid="{00000000-0005-0000-0000-00008F2E0000}"/>
    <cellStyle name="40% - Accent6 2 3 2 2 2 2 3 2 2" xfId="11924" xr:uid="{00000000-0005-0000-0000-0000902E0000}"/>
    <cellStyle name="40% - Accent6 2 3 2 2 2 2 3 3" xfId="11925" xr:uid="{00000000-0005-0000-0000-0000912E0000}"/>
    <cellStyle name="40% - Accent6 2 3 2 2 2 2 4" xfId="11926" xr:uid="{00000000-0005-0000-0000-0000922E0000}"/>
    <cellStyle name="40% - Accent6 2 3 2 2 2 2 4 2" xfId="11927" xr:uid="{00000000-0005-0000-0000-0000932E0000}"/>
    <cellStyle name="40% - Accent6 2 3 2 2 2 2 5" xfId="11928" xr:uid="{00000000-0005-0000-0000-0000942E0000}"/>
    <cellStyle name="40% - Accent6 2 3 2 2 2 3" xfId="11929" xr:uid="{00000000-0005-0000-0000-0000952E0000}"/>
    <cellStyle name="40% - Accent6 2 3 2 2 2 3 2" xfId="11930" xr:uid="{00000000-0005-0000-0000-0000962E0000}"/>
    <cellStyle name="40% - Accent6 2 3 2 2 2 3 2 2" xfId="11931" xr:uid="{00000000-0005-0000-0000-0000972E0000}"/>
    <cellStyle name="40% - Accent6 2 3 2 2 2 3 2 2 2" xfId="11932" xr:uid="{00000000-0005-0000-0000-0000982E0000}"/>
    <cellStyle name="40% - Accent6 2 3 2 2 2 3 2 3" xfId="11933" xr:uid="{00000000-0005-0000-0000-0000992E0000}"/>
    <cellStyle name="40% - Accent6 2 3 2 2 2 3 3" xfId="11934" xr:uid="{00000000-0005-0000-0000-00009A2E0000}"/>
    <cellStyle name="40% - Accent6 2 3 2 2 2 3 3 2" xfId="11935" xr:uid="{00000000-0005-0000-0000-00009B2E0000}"/>
    <cellStyle name="40% - Accent6 2 3 2 2 2 3 4" xfId="11936" xr:uid="{00000000-0005-0000-0000-00009C2E0000}"/>
    <cellStyle name="40% - Accent6 2 3 2 2 2 4" xfId="11937" xr:uid="{00000000-0005-0000-0000-00009D2E0000}"/>
    <cellStyle name="40% - Accent6 2 3 2 2 2 4 2" xfId="11938" xr:uid="{00000000-0005-0000-0000-00009E2E0000}"/>
    <cellStyle name="40% - Accent6 2 3 2 2 2 4 2 2" xfId="11939" xr:uid="{00000000-0005-0000-0000-00009F2E0000}"/>
    <cellStyle name="40% - Accent6 2 3 2 2 2 4 3" xfId="11940" xr:uid="{00000000-0005-0000-0000-0000A02E0000}"/>
    <cellStyle name="40% - Accent6 2 3 2 2 2 5" xfId="11941" xr:uid="{00000000-0005-0000-0000-0000A12E0000}"/>
    <cellStyle name="40% - Accent6 2 3 2 2 2 5 2" xfId="11942" xr:uid="{00000000-0005-0000-0000-0000A22E0000}"/>
    <cellStyle name="40% - Accent6 2 3 2 2 2 6" xfId="11943" xr:uid="{00000000-0005-0000-0000-0000A32E0000}"/>
    <cellStyle name="40% - Accent6 2 3 2 2 3" xfId="11944" xr:uid="{00000000-0005-0000-0000-0000A42E0000}"/>
    <cellStyle name="40% - Accent6 2 3 2 2 3 2" xfId="11945" xr:uid="{00000000-0005-0000-0000-0000A52E0000}"/>
    <cellStyle name="40% - Accent6 2 3 2 2 3 2 2" xfId="11946" xr:uid="{00000000-0005-0000-0000-0000A62E0000}"/>
    <cellStyle name="40% - Accent6 2 3 2 2 3 2 2 2" xfId="11947" xr:uid="{00000000-0005-0000-0000-0000A72E0000}"/>
    <cellStyle name="40% - Accent6 2 3 2 2 3 2 2 2 2" xfId="11948" xr:uid="{00000000-0005-0000-0000-0000A82E0000}"/>
    <cellStyle name="40% - Accent6 2 3 2 2 3 2 2 3" xfId="11949" xr:uid="{00000000-0005-0000-0000-0000A92E0000}"/>
    <cellStyle name="40% - Accent6 2 3 2 2 3 2 3" xfId="11950" xr:uid="{00000000-0005-0000-0000-0000AA2E0000}"/>
    <cellStyle name="40% - Accent6 2 3 2 2 3 2 3 2" xfId="11951" xr:uid="{00000000-0005-0000-0000-0000AB2E0000}"/>
    <cellStyle name="40% - Accent6 2 3 2 2 3 2 4" xfId="11952" xr:uid="{00000000-0005-0000-0000-0000AC2E0000}"/>
    <cellStyle name="40% - Accent6 2 3 2 2 3 3" xfId="11953" xr:uid="{00000000-0005-0000-0000-0000AD2E0000}"/>
    <cellStyle name="40% - Accent6 2 3 2 2 3 3 2" xfId="11954" xr:uid="{00000000-0005-0000-0000-0000AE2E0000}"/>
    <cellStyle name="40% - Accent6 2 3 2 2 3 3 2 2" xfId="11955" xr:uid="{00000000-0005-0000-0000-0000AF2E0000}"/>
    <cellStyle name="40% - Accent6 2 3 2 2 3 3 3" xfId="11956" xr:uid="{00000000-0005-0000-0000-0000B02E0000}"/>
    <cellStyle name="40% - Accent6 2 3 2 2 3 4" xfId="11957" xr:uid="{00000000-0005-0000-0000-0000B12E0000}"/>
    <cellStyle name="40% - Accent6 2 3 2 2 3 4 2" xfId="11958" xr:uid="{00000000-0005-0000-0000-0000B22E0000}"/>
    <cellStyle name="40% - Accent6 2 3 2 2 3 5" xfId="11959" xr:uid="{00000000-0005-0000-0000-0000B32E0000}"/>
    <cellStyle name="40% - Accent6 2 3 2 2 4" xfId="11960" xr:uid="{00000000-0005-0000-0000-0000B42E0000}"/>
    <cellStyle name="40% - Accent6 2 3 2 2 4 2" xfId="11961" xr:uid="{00000000-0005-0000-0000-0000B52E0000}"/>
    <cellStyle name="40% - Accent6 2 3 2 2 4 2 2" xfId="11962" xr:uid="{00000000-0005-0000-0000-0000B62E0000}"/>
    <cellStyle name="40% - Accent6 2 3 2 2 4 2 2 2" xfId="11963" xr:uid="{00000000-0005-0000-0000-0000B72E0000}"/>
    <cellStyle name="40% - Accent6 2 3 2 2 4 2 3" xfId="11964" xr:uid="{00000000-0005-0000-0000-0000B82E0000}"/>
    <cellStyle name="40% - Accent6 2 3 2 2 4 3" xfId="11965" xr:uid="{00000000-0005-0000-0000-0000B92E0000}"/>
    <cellStyle name="40% - Accent6 2 3 2 2 4 3 2" xfId="11966" xr:uid="{00000000-0005-0000-0000-0000BA2E0000}"/>
    <cellStyle name="40% - Accent6 2 3 2 2 4 4" xfId="11967" xr:uid="{00000000-0005-0000-0000-0000BB2E0000}"/>
    <cellStyle name="40% - Accent6 2 3 2 2 5" xfId="11968" xr:uid="{00000000-0005-0000-0000-0000BC2E0000}"/>
    <cellStyle name="40% - Accent6 2 3 2 2 5 2" xfId="11969" xr:uid="{00000000-0005-0000-0000-0000BD2E0000}"/>
    <cellStyle name="40% - Accent6 2 3 2 2 5 2 2" xfId="11970" xr:uid="{00000000-0005-0000-0000-0000BE2E0000}"/>
    <cellStyle name="40% - Accent6 2 3 2 2 5 3" xfId="11971" xr:uid="{00000000-0005-0000-0000-0000BF2E0000}"/>
    <cellStyle name="40% - Accent6 2 3 2 2 6" xfId="11972" xr:uid="{00000000-0005-0000-0000-0000C02E0000}"/>
    <cellStyle name="40% - Accent6 2 3 2 2 6 2" xfId="11973" xr:uid="{00000000-0005-0000-0000-0000C12E0000}"/>
    <cellStyle name="40% - Accent6 2 3 2 2 7" xfId="11974" xr:uid="{00000000-0005-0000-0000-0000C22E0000}"/>
    <cellStyle name="40% - Accent6 2 3 2 3" xfId="11975" xr:uid="{00000000-0005-0000-0000-0000C32E0000}"/>
    <cellStyle name="40% - Accent6 2 3 2 3 2" xfId="11976" xr:uid="{00000000-0005-0000-0000-0000C42E0000}"/>
    <cellStyle name="40% - Accent6 2 3 2 3 2 2" xfId="11977" xr:uid="{00000000-0005-0000-0000-0000C52E0000}"/>
    <cellStyle name="40% - Accent6 2 3 2 3 2 2 2" xfId="11978" xr:uid="{00000000-0005-0000-0000-0000C62E0000}"/>
    <cellStyle name="40% - Accent6 2 3 2 3 2 2 2 2" xfId="11979" xr:uid="{00000000-0005-0000-0000-0000C72E0000}"/>
    <cellStyle name="40% - Accent6 2 3 2 3 2 2 2 2 2" xfId="11980" xr:uid="{00000000-0005-0000-0000-0000C82E0000}"/>
    <cellStyle name="40% - Accent6 2 3 2 3 2 2 2 3" xfId="11981" xr:uid="{00000000-0005-0000-0000-0000C92E0000}"/>
    <cellStyle name="40% - Accent6 2 3 2 3 2 2 3" xfId="11982" xr:uid="{00000000-0005-0000-0000-0000CA2E0000}"/>
    <cellStyle name="40% - Accent6 2 3 2 3 2 2 3 2" xfId="11983" xr:uid="{00000000-0005-0000-0000-0000CB2E0000}"/>
    <cellStyle name="40% - Accent6 2 3 2 3 2 2 4" xfId="11984" xr:uid="{00000000-0005-0000-0000-0000CC2E0000}"/>
    <cellStyle name="40% - Accent6 2 3 2 3 2 3" xfId="11985" xr:uid="{00000000-0005-0000-0000-0000CD2E0000}"/>
    <cellStyle name="40% - Accent6 2 3 2 3 2 3 2" xfId="11986" xr:uid="{00000000-0005-0000-0000-0000CE2E0000}"/>
    <cellStyle name="40% - Accent6 2 3 2 3 2 3 2 2" xfId="11987" xr:uid="{00000000-0005-0000-0000-0000CF2E0000}"/>
    <cellStyle name="40% - Accent6 2 3 2 3 2 3 3" xfId="11988" xr:uid="{00000000-0005-0000-0000-0000D02E0000}"/>
    <cellStyle name="40% - Accent6 2 3 2 3 2 4" xfId="11989" xr:uid="{00000000-0005-0000-0000-0000D12E0000}"/>
    <cellStyle name="40% - Accent6 2 3 2 3 2 4 2" xfId="11990" xr:uid="{00000000-0005-0000-0000-0000D22E0000}"/>
    <cellStyle name="40% - Accent6 2 3 2 3 2 5" xfId="11991" xr:uid="{00000000-0005-0000-0000-0000D32E0000}"/>
    <cellStyle name="40% - Accent6 2 3 2 3 3" xfId="11992" xr:uid="{00000000-0005-0000-0000-0000D42E0000}"/>
    <cellStyle name="40% - Accent6 2 3 2 3 3 2" xfId="11993" xr:uid="{00000000-0005-0000-0000-0000D52E0000}"/>
    <cellStyle name="40% - Accent6 2 3 2 3 3 2 2" xfId="11994" xr:uid="{00000000-0005-0000-0000-0000D62E0000}"/>
    <cellStyle name="40% - Accent6 2 3 2 3 3 2 2 2" xfId="11995" xr:uid="{00000000-0005-0000-0000-0000D72E0000}"/>
    <cellStyle name="40% - Accent6 2 3 2 3 3 2 3" xfId="11996" xr:uid="{00000000-0005-0000-0000-0000D82E0000}"/>
    <cellStyle name="40% - Accent6 2 3 2 3 3 3" xfId="11997" xr:uid="{00000000-0005-0000-0000-0000D92E0000}"/>
    <cellStyle name="40% - Accent6 2 3 2 3 3 3 2" xfId="11998" xr:uid="{00000000-0005-0000-0000-0000DA2E0000}"/>
    <cellStyle name="40% - Accent6 2 3 2 3 3 4" xfId="11999" xr:uid="{00000000-0005-0000-0000-0000DB2E0000}"/>
    <cellStyle name="40% - Accent6 2 3 2 3 4" xfId="12000" xr:uid="{00000000-0005-0000-0000-0000DC2E0000}"/>
    <cellStyle name="40% - Accent6 2 3 2 3 4 2" xfId="12001" xr:uid="{00000000-0005-0000-0000-0000DD2E0000}"/>
    <cellStyle name="40% - Accent6 2 3 2 3 4 2 2" xfId="12002" xr:uid="{00000000-0005-0000-0000-0000DE2E0000}"/>
    <cellStyle name="40% - Accent6 2 3 2 3 4 3" xfId="12003" xr:uid="{00000000-0005-0000-0000-0000DF2E0000}"/>
    <cellStyle name="40% - Accent6 2 3 2 3 5" xfId="12004" xr:uid="{00000000-0005-0000-0000-0000E02E0000}"/>
    <cellStyle name="40% - Accent6 2 3 2 3 5 2" xfId="12005" xr:uid="{00000000-0005-0000-0000-0000E12E0000}"/>
    <cellStyle name="40% - Accent6 2 3 2 3 6" xfId="12006" xr:uid="{00000000-0005-0000-0000-0000E22E0000}"/>
    <cellStyle name="40% - Accent6 2 3 2 4" xfId="12007" xr:uid="{00000000-0005-0000-0000-0000E32E0000}"/>
    <cellStyle name="40% - Accent6 2 3 2 4 2" xfId="12008" xr:uid="{00000000-0005-0000-0000-0000E42E0000}"/>
    <cellStyle name="40% - Accent6 2 3 2 4 2 2" xfId="12009" xr:uid="{00000000-0005-0000-0000-0000E52E0000}"/>
    <cellStyle name="40% - Accent6 2 3 2 4 2 2 2" xfId="12010" xr:uid="{00000000-0005-0000-0000-0000E62E0000}"/>
    <cellStyle name="40% - Accent6 2 3 2 4 2 2 2 2" xfId="12011" xr:uid="{00000000-0005-0000-0000-0000E72E0000}"/>
    <cellStyle name="40% - Accent6 2 3 2 4 2 2 3" xfId="12012" xr:uid="{00000000-0005-0000-0000-0000E82E0000}"/>
    <cellStyle name="40% - Accent6 2 3 2 4 2 3" xfId="12013" xr:uid="{00000000-0005-0000-0000-0000E92E0000}"/>
    <cellStyle name="40% - Accent6 2 3 2 4 2 3 2" xfId="12014" xr:uid="{00000000-0005-0000-0000-0000EA2E0000}"/>
    <cellStyle name="40% - Accent6 2 3 2 4 2 4" xfId="12015" xr:uid="{00000000-0005-0000-0000-0000EB2E0000}"/>
    <cellStyle name="40% - Accent6 2 3 2 4 3" xfId="12016" xr:uid="{00000000-0005-0000-0000-0000EC2E0000}"/>
    <cellStyle name="40% - Accent6 2 3 2 4 3 2" xfId="12017" xr:uid="{00000000-0005-0000-0000-0000ED2E0000}"/>
    <cellStyle name="40% - Accent6 2 3 2 4 3 2 2" xfId="12018" xr:uid="{00000000-0005-0000-0000-0000EE2E0000}"/>
    <cellStyle name="40% - Accent6 2 3 2 4 3 3" xfId="12019" xr:uid="{00000000-0005-0000-0000-0000EF2E0000}"/>
    <cellStyle name="40% - Accent6 2 3 2 4 4" xfId="12020" xr:uid="{00000000-0005-0000-0000-0000F02E0000}"/>
    <cellStyle name="40% - Accent6 2 3 2 4 4 2" xfId="12021" xr:uid="{00000000-0005-0000-0000-0000F12E0000}"/>
    <cellStyle name="40% - Accent6 2 3 2 4 5" xfId="12022" xr:uid="{00000000-0005-0000-0000-0000F22E0000}"/>
    <cellStyle name="40% - Accent6 2 3 2 5" xfId="12023" xr:uid="{00000000-0005-0000-0000-0000F32E0000}"/>
    <cellStyle name="40% - Accent6 2 3 2 5 2" xfId="12024" xr:uid="{00000000-0005-0000-0000-0000F42E0000}"/>
    <cellStyle name="40% - Accent6 2 3 2 5 2 2" xfId="12025" xr:uid="{00000000-0005-0000-0000-0000F52E0000}"/>
    <cellStyle name="40% - Accent6 2 3 2 5 2 2 2" xfId="12026" xr:uid="{00000000-0005-0000-0000-0000F62E0000}"/>
    <cellStyle name="40% - Accent6 2 3 2 5 2 3" xfId="12027" xr:uid="{00000000-0005-0000-0000-0000F72E0000}"/>
    <cellStyle name="40% - Accent6 2 3 2 5 3" xfId="12028" xr:uid="{00000000-0005-0000-0000-0000F82E0000}"/>
    <cellStyle name="40% - Accent6 2 3 2 5 3 2" xfId="12029" xr:uid="{00000000-0005-0000-0000-0000F92E0000}"/>
    <cellStyle name="40% - Accent6 2 3 2 5 4" xfId="12030" xr:uid="{00000000-0005-0000-0000-0000FA2E0000}"/>
    <cellStyle name="40% - Accent6 2 3 2 6" xfId="12031" xr:uid="{00000000-0005-0000-0000-0000FB2E0000}"/>
    <cellStyle name="40% - Accent6 2 3 2 6 2" xfId="12032" xr:uid="{00000000-0005-0000-0000-0000FC2E0000}"/>
    <cellStyle name="40% - Accent6 2 3 2 6 2 2" xfId="12033" xr:uid="{00000000-0005-0000-0000-0000FD2E0000}"/>
    <cellStyle name="40% - Accent6 2 3 2 6 3" xfId="12034" xr:uid="{00000000-0005-0000-0000-0000FE2E0000}"/>
    <cellStyle name="40% - Accent6 2 3 2 7" xfId="12035" xr:uid="{00000000-0005-0000-0000-0000FF2E0000}"/>
    <cellStyle name="40% - Accent6 2 3 2 7 2" xfId="12036" xr:uid="{00000000-0005-0000-0000-0000002F0000}"/>
    <cellStyle name="40% - Accent6 2 3 2 8" xfId="12037" xr:uid="{00000000-0005-0000-0000-0000012F0000}"/>
    <cellStyle name="40% - Accent6 2 3 3" xfId="12038" xr:uid="{00000000-0005-0000-0000-0000022F0000}"/>
    <cellStyle name="40% - Accent6 2 3 3 2" xfId="12039" xr:uid="{00000000-0005-0000-0000-0000032F0000}"/>
    <cellStyle name="40% - Accent6 2 3 3 2 2" xfId="12040" xr:uid="{00000000-0005-0000-0000-0000042F0000}"/>
    <cellStyle name="40% - Accent6 2 3 3 2 2 2" xfId="12041" xr:uid="{00000000-0005-0000-0000-0000052F0000}"/>
    <cellStyle name="40% - Accent6 2 3 3 2 2 2 2" xfId="12042" xr:uid="{00000000-0005-0000-0000-0000062F0000}"/>
    <cellStyle name="40% - Accent6 2 3 3 2 2 2 2 2" xfId="12043" xr:uid="{00000000-0005-0000-0000-0000072F0000}"/>
    <cellStyle name="40% - Accent6 2 3 3 2 2 2 2 2 2" xfId="12044" xr:uid="{00000000-0005-0000-0000-0000082F0000}"/>
    <cellStyle name="40% - Accent6 2 3 3 2 2 2 2 3" xfId="12045" xr:uid="{00000000-0005-0000-0000-0000092F0000}"/>
    <cellStyle name="40% - Accent6 2 3 3 2 2 2 3" xfId="12046" xr:uid="{00000000-0005-0000-0000-00000A2F0000}"/>
    <cellStyle name="40% - Accent6 2 3 3 2 2 2 3 2" xfId="12047" xr:uid="{00000000-0005-0000-0000-00000B2F0000}"/>
    <cellStyle name="40% - Accent6 2 3 3 2 2 2 4" xfId="12048" xr:uid="{00000000-0005-0000-0000-00000C2F0000}"/>
    <cellStyle name="40% - Accent6 2 3 3 2 2 3" xfId="12049" xr:uid="{00000000-0005-0000-0000-00000D2F0000}"/>
    <cellStyle name="40% - Accent6 2 3 3 2 2 3 2" xfId="12050" xr:uid="{00000000-0005-0000-0000-00000E2F0000}"/>
    <cellStyle name="40% - Accent6 2 3 3 2 2 3 2 2" xfId="12051" xr:uid="{00000000-0005-0000-0000-00000F2F0000}"/>
    <cellStyle name="40% - Accent6 2 3 3 2 2 3 3" xfId="12052" xr:uid="{00000000-0005-0000-0000-0000102F0000}"/>
    <cellStyle name="40% - Accent6 2 3 3 2 2 4" xfId="12053" xr:uid="{00000000-0005-0000-0000-0000112F0000}"/>
    <cellStyle name="40% - Accent6 2 3 3 2 2 4 2" xfId="12054" xr:uid="{00000000-0005-0000-0000-0000122F0000}"/>
    <cellStyle name="40% - Accent6 2 3 3 2 2 5" xfId="12055" xr:uid="{00000000-0005-0000-0000-0000132F0000}"/>
    <cellStyle name="40% - Accent6 2 3 3 2 3" xfId="12056" xr:uid="{00000000-0005-0000-0000-0000142F0000}"/>
    <cellStyle name="40% - Accent6 2 3 3 2 3 2" xfId="12057" xr:uid="{00000000-0005-0000-0000-0000152F0000}"/>
    <cellStyle name="40% - Accent6 2 3 3 2 3 2 2" xfId="12058" xr:uid="{00000000-0005-0000-0000-0000162F0000}"/>
    <cellStyle name="40% - Accent6 2 3 3 2 3 2 2 2" xfId="12059" xr:uid="{00000000-0005-0000-0000-0000172F0000}"/>
    <cellStyle name="40% - Accent6 2 3 3 2 3 2 3" xfId="12060" xr:uid="{00000000-0005-0000-0000-0000182F0000}"/>
    <cellStyle name="40% - Accent6 2 3 3 2 3 3" xfId="12061" xr:uid="{00000000-0005-0000-0000-0000192F0000}"/>
    <cellStyle name="40% - Accent6 2 3 3 2 3 3 2" xfId="12062" xr:uid="{00000000-0005-0000-0000-00001A2F0000}"/>
    <cellStyle name="40% - Accent6 2 3 3 2 3 4" xfId="12063" xr:uid="{00000000-0005-0000-0000-00001B2F0000}"/>
    <cellStyle name="40% - Accent6 2 3 3 2 4" xfId="12064" xr:uid="{00000000-0005-0000-0000-00001C2F0000}"/>
    <cellStyle name="40% - Accent6 2 3 3 2 4 2" xfId="12065" xr:uid="{00000000-0005-0000-0000-00001D2F0000}"/>
    <cellStyle name="40% - Accent6 2 3 3 2 4 2 2" xfId="12066" xr:uid="{00000000-0005-0000-0000-00001E2F0000}"/>
    <cellStyle name="40% - Accent6 2 3 3 2 4 3" xfId="12067" xr:uid="{00000000-0005-0000-0000-00001F2F0000}"/>
    <cellStyle name="40% - Accent6 2 3 3 2 5" xfId="12068" xr:uid="{00000000-0005-0000-0000-0000202F0000}"/>
    <cellStyle name="40% - Accent6 2 3 3 2 5 2" xfId="12069" xr:uid="{00000000-0005-0000-0000-0000212F0000}"/>
    <cellStyle name="40% - Accent6 2 3 3 2 6" xfId="12070" xr:uid="{00000000-0005-0000-0000-0000222F0000}"/>
    <cellStyle name="40% - Accent6 2 3 3 3" xfId="12071" xr:uid="{00000000-0005-0000-0000-0000232F0000}"/>
    <cellStyle name="40% - Accent6 2 3 3 3 2" xfId="12072" xr:uid="{00000000-0005-0000-0000-0000242F0000}"/>
    <cellStyle name="40% - Accent6 2 3 3 3 2 2" xfId="12073" xr:uid="{00000000-0005-0000-0000-0000252F0000}"/>
    <cellStyle name="40% - Accent6 2 3 3 3 2 2 2" xfId="12074" xr:uid="{00000000-0005-0000-0000-0000262F0000}"/>
    <cellStyle name="40% - Accent6 2 3 3 3 2 2 2 2" xfId="12075" xr:uid="{00000000-0005-0000-0000-0000272F0000}"/>
    <cellStyle name="40% - Accent6 2 3 3 3 2 2 3" xfId="12076" xr:uid="{00000000-0005-0000-0000-0000282F0000}"/>
    <cellStyle name="40% - Accent6 2 3 3 3 2 3" xfId="12077" xr:uid="{00000000-0005-0000-0000-0000292F0000}"/>
    <cellStyle name="40% - Accent6 2 3 3 3 2 3 2" xfId="12078" xr:uid="{00000000-0005-0000-0000-00002A2F0000}"/>
    <cellStyle name="40% - Accent6 2 3 3 3 2 4" xfId="12079" xr:uid="{00000000-0005-0000-0000-00002B2F0000}"/>
    <cellStyle name="40% - Accent6 2 3 3 3 3" xfId="12080" xr:uid="{00000000-0005-0000-0000-00002C2F0000}"/>
    <cellStyle name="40% - Accent6 2 3 3 3 3 2" xfId="12081" xr:uid="{00000000-0005-0000-0000-00002D2F0000}"/>
    <cellStyle name="40% - Accent6 2 3 3 3 3 2 2" xfId="12082" xr:uid="{00000000-0005-0000-0000-00002E2F0000}"/>
    <cellStyle name="40% - Accent6 2 3 3 3 3 3" xfId="12083" xr:uid="{00000000-0005-0000-0000-00002F2F0000}"/>
    <cellStyle name="40% - Accent6 2 3 3 3 4" xfId="12084" xr:uid="{00000000-0005-0000-0000-0000302F0000}"/>
    <cellStyle name="40% - Accent6 2 3 3 3 4 2" xfId="12085" xr:uid="{00000000-0005-0000-0000-0000312F0000}"/>
    <cellStyle name="40% - Accent6 2 3 3 3 5" xfId="12086" xr:uid="{00000000-0005-0000-0000-0000322F0000}"/>
    <cellStyle name="40% - Accent6 2 3 3 4" xfId="12087" xr:uid="{00000000-0005-0000-0000-0000332F0000}"/>
    <cellStyle name="40% - Accent6 2 3 3 4 2" xfId="12088" xr:uid="{00000000-0005-0000-0000-0000342F0000}"/>
    <cellStyle name="40% - Accent6 2 3 3 4 2 2" xfId="12089" xr:uid="{00000000-0005-0000-0000-0000352F0000}"/>
    <cellStyle name="40% - Accent6 2 3 3 4 2 2 2" xfId="12090" xr:uid="{00000000-0005-0000-0000-0000362F0000}"/>
    <cellStyle name="40% - Accent6 2 3 3 4 2 3" xfId="12091" xr:uid="{00000000-0005-0000-0000-0000372F0000}"/>
    <cellStyle name="40% - Accent6 2 3 3 4 3" xfId="12092" xr:uid="{00000000-0005-0000-0000-0000382F0000}"/>
    <cellStyle name="40% - Accent6 2 3 3 4 3 2" xfId="12093" xr:uid="{00000000-0005-0000-0000-0000392F0000}"/>
    <cellStyle name="40% - Accent6 2 3 3 4 4" xfId="12094" xr:uid="{00000000-0005-0000-0000-00003A2F0000}"/>
    <cellStyle name="40% - Accent6 2 3 3 5" xfId="12095" xr:uid="{00000000-0005-0000-0000-00003B2F0000}"/>
    <cellStyle name="40% - Accent6 2 3 3 5 2" xfId="12096" xr:uid="{00000000-0005-0000-0000-00003C2F0000}"/>
    <cellStyle name="40% - Accent6 2 3 3 5 2 2" xfId="12097" xr:uid="{00000000-0005-0000-0000-00003D2F0000}"/>
    <cellStyle name="40% - Accent6 2 3 3 5 3" xfId="12098" xr:uid="{00000000-0005-0000-0000-00003E2F0000}"/>
    <cellStyle name="40% - Accent6 2 3 3 6" xfId="12099" xr:uid="{00000000-0005-0000-0000-00003F2F0000}"/>
    <cellStyle name="40% - Accent6 2 3 3 6 2" xfId="12100" xr:uid="{00000000-0005-0000-0000-0000402F0000}"/>
    <cellStyle name="40% - Accent6 2 3 3 7" xfId="12101" xr:uid="{00000000-0005-0000-0000-0000412F0000}"/>
    <cellStyle name="40% - Accent6 2 3 4" xfId="12102" xr:uid="{00000000-0005-0000-0000-0000422F0000}"/>
    <cellStyle name="40% - Accent6 2 3 4 2" xfId="12103" xr:uid="{00000000-0005-0000-0000-0000432F0000}"/>
    <cellStyle name="40% - Accent6 2 3 4 2 2" xfId="12104" xr:uid="{00000000-0005-0000-0000-0000442F0000}"/>
    <cellStyle name="40% - Accent6 2 3 4 2 2 2" xfId="12105" xr:uid="{00000000-0005-0000-0000-0000452F0000}"/>
    <cellStyle name="40% - Accent6 2 3 4 2 2 2 2" xfId="12106" xr:uid="{00000000-0005-0000-0000-0000462F0000}"/>
    <cellStyle name="40% - Accent6 2 3 4 2 2 2 2 2" xfId="12107" xr:uid="{00000000-0005-0000-0000-0000472F0000}"/>
    <cellStyle name="40% - Accent6 2 3 4 2 2 2 3" xfId="12108" xr:uid="{00000000-0005-0000-0000-0000482F0000}"/>
    <cellStyle name="40% - Accent6 2 3 4 2 2 3" xfId="12109" xr:uid="{00000000-0005-0000-0000-0000492F0000}"/>
    <cellStyle name="40% - Accent6 2 3 4 2 2 3 2" xfId="12110" xr:uid="{00000000-0005-0000-0000-00004A2F0000}"/>
    <cellStyle name="40% - Accent6 2 3 4 2 2 4" xfId="12111" xr:uid="{00000000-0005-0000-0000-00004B2F0000}"/>
    <cellStyle name="40% - Accent6 2 3 4 2 3" xfId="12112" xr:uid="{00000000-0005-0000-0000-00004C2F0000}"/>
    <cellStyle name="40% - Accent6 2 3 4 2 3 2" xfId="12113" xr:uid="{00000000-0005-0000-0000-00004D2F0000}"/>
    <cellStyle name="40% - Accent6 2 3 4 2 3 2 2" xfId="12114" xr:uid="{00000000-0005-0000-0000-00004E2F0000}"/>
    <cellStyle name="40% - Accent6 2 3 4 2 3 3" xfId="12115" xr:uid="{00000000-0005-0000-0000-00004F2F0000}"/>
    <cellStyle name="40% - Accent6 2 3 4 2 4" xfId="12116" xr:uid="{00000000-0005-0000-0000-0000502F0000}"/>
    <cellStyle name="40% - Accent6 2 3 4 2 4 2" xfId="12117" xr:uid="{00000000-0005-0000-0000-0000512F0000}"/>
    <cellStyle name="40% - Accent6 2 3 4 2 5" xfId="12118" xr:uid="{00000000-0005-0000-0000-0000522F0000}"/>
    <cellStyle name="40% - Accent6 2 3 4 3" xfId="12119" xr:uid="{00000000-0005-0000-0000-0000532F0000}"/>
    <cellStyle name="40% - Accent6 2 3 4 3 2" xfId="12120" xr:uid="{00000000-0005-0000-0000-0000542F0000}"/>
    <cellStyle name="40% - Accent6 2 3 4 3 2 2" xfId="12121" xr:uid="{00000000-0005-0000-0000-0000552F0000}"/>
    <cellStyle name="40% - Accent6 2 3 4 3 2 2 2" xfId="12122" xr:uid="{00000000-0005-0000-0000-0000562F0000}"/>
    <cellStyle name="40% - Accent6 2 3 4 3 2 3" xfId="12123" xr:uid="{00000000-0005-0000-0000-0000572F0000}"/>
    <cellStyle name="40% - Accent6 2 3 4 3 3" xfId="12124" xr:uid="{00000000-0005-0000-0000-0000582F0000}"/>
    <cellStyle name="40% - Accent6 2 3 4 3 3 2" xfId="12125" xr:uid="{00000000-0005-0000-0000-0000592F0000}"/>
    <cellStyle name="40% - Accent6 2 3 4 3 4" xfId="12126" xr:uid="{00000000-0005-0000-0000-00005A2F0000}"/>
    <cellStyle name="40% - Accent6 2 3 4 4" xfId="12127" xr:uid="{00000000-0005-0000-0000-00005B2F0000}"/>
    <cellStyle name="40% - Accent6 2 3 4 4 2" xfId="12128" xr:uid="{00000000-0005-0000-0000-00005C2F0000}"/>
    <cellStyle name="40% - Accent6 2 3 4 4 2 2" xfId="12129" xr:uid="{00000000-0005-0000-0000-00005D2F0000}"/>
    <cellStyle name="40% - Accent6 2 3 4 4 3" xfId="12130" xr:uid="{00000000-0005-0000-0000-00005E2F0000}"/>
    <cellStyle name="40% - Accent6 2 3 4 5" xfId="12131" xr:uid="{00000000-0005-0000-0000-00005F2F0000}"/>
    <cellStyle name="40% - Accent6 2 3 4 5 2" xfId="12132" xr:uid="{00000000-0005-0000-0000-0000602F0000}"/>
    <cellStyle name="40% - Accent6 2 3 4 6" xfId="12133" xr:uid="{00000000-0005-0000-0000-0000612F0000}"/>
    <cellStyle name="40% - Accent6 2 3 5" xfId="12134" xr:uid="{00000000-0005-0000-0000-0000622F0000}"/>
    <cellStyle name="40% - Accent6 2 3 5 2" xfId="12135" xr:uid="{00000000-0005-0000-0000-0000632F0000}"/>
    <cellStyle name="40% - Accent6 2 3 5 2 2" xfId="12136" xr:uid="{00000000-0005-0000-0000-0000642F0000}"/>
    <cellStyle name="40% - Accent6 2 3 5 2 2 2" xfId="12137" xr:uid="{00000000-0005-0000-0000-0000652F0000}"/>
    <cellStyle name="40% - Accent6 2 3 5 2 2 2 2" xfId="12138" xr:uid="{00000000-0005-0000-0000-0000662F0000}"/>
    <cellStyle name="40% - Accent6 2 3 5 2 2 3" xfId="12139" xr:uid="{00000000-0005-0000-0000-0000672F0000}"/>
    <cellStyle name="40% - Accent6 2 3 5 2 3" xfId="12140" xr:uid="{00000000-0005-0000-0000-0000682F0000}"/>
    <cellStyle name="40% - Accent6 2 3 5 2 3 2" xfId="12141" xr:uid="{00000000-0005-0000-0000-0000692F0000}"/>
    <cellStyle name="40% - Accent6 2 3 5 2 4" xfId="12142" xr:uid="{00000000-0005-0000-0000-00006A2F0000}"/>
    <cellStyle name="40% - Accent6 2 3 5 3" xfId="12143" xr:uid="{00000000-0005-0000-0000-00006B2F0000}"/>
    <cellStyle name="40% - Accent6 2 3 5 3 2" xfId="12144" xr:uid="{00000000-0005-0000-0000-00006C2F0000}"/>
    <cellStyle name="40% - Accent6 2 3 5 3 2 2" xfId="12145" xr:uid="{00000000-0005-0000-0000-00006D2F0000}"/>
    <cellStyle name="40% - Accent6 2 3 5 3 3" xfId="12146" xr:uid="{00000000-0005-0000-0000-00006E2F0000}"/>
    <cellStyle name="40% - Accent6 2 3 5 4" xfId="12147" xr:uid="{00000000-0005-0000-0000-00006F2F0000}"/>
    <cellStyle name="40% - Accent6 2 3 5 4 2" xfId="12148" xr:uid="{00000000-0005-0000-0000-0000702F0000}"/>
    <cellStyle name="40% - Accent6 2 3 5 5" xfId="12149" xr:uid="{00000000-0005-0000-0000-0000712F0000}"/>
    <cellStyle name="40% - Accent6 2 3 6" xfId="12150" xr:uid="{00000000-0005-0000-0000-0000722F0000}"/>
    <cellStyle name="40% - Accent6 2 3 6 2" xfId="12151" xr:uid="{00000000-0005-0000-0000-0000732F0000}"/>
    <cellStyle name="40% - Accent6 2 3 6 2 2" xfId="12152" xr:uid="{00000000-0005-0000-0000-0000742F0000}"/>
    <cellStyle name="40% - Accent6 2 3 6 2 2 2" xfId="12153" xr:uid="{00000000-0005-0000-0000-0000752F0000}"/>
    <cellStyle name="40% - Accent6 2 3 6 2 3" xfId="12154" xr:uid="{00000000-0005-0000-0000-0000762F0000}"/>
    <cellStyle name="40% - Accent6 2 3 6 3" xfId="12155" xr:uid="{00000000-0005-0000-0000-0000772F0000}"/>
    <cellStyle name="40% - Accent6 2 3 6 3 2" xfId="12156" xr:uid="{00000000-0005-0000-0000-0000782F0000}"/>
    <cellStyle name="40% - Accent6 2 3 6 4" xfId="12157" xr:uid="{00000000-0005-0000-0000-0000792F0000}"/>
    <cellStyle name="40% - Accent6 2 3 7" xfId="12158" xr:uid="{00000000-0005-0000-0000-00007A2F0000}"/>
    <cellStyle name="40% - Accent6 2 3 7 2" xfId="12159" xr:uid="{00000000-0005-0000-0000-00007B2F0000}"/>
    <cellStyle name="40% - Accent6 2 3 7 2 2" xfId="12160" xr:uid="{00000000-0005-0000-0000-00007C2F0000}"/>
    <cellStyle name="40% - Accent6 2 3 7 3" xfId="12161" xr:uid="{00000000-0005-0000-0000-00007D2F0000}"/>
    <cellStyle name="40% - Accent6 2 3 8" xfId="12162" xr:uid="{00000000-0005-0000-0000-00007E2F0000}"/>
    <cellStyle name="40% - Accent6 2 3 8 2" xfId="12163" xr:uid="{00000000-0005-0000-0000-00007F2F0000}"/>
    <cellStyle name="40% - Accent6 2 3 9" xfId="12164" xr:uid="{00000000-0005-0000-0000-0000802F0000}"/>
    <cellStyle name="40% - Accent6 2 4" xfId="12165" xr:uid="{00000000-0005-0000-0000-0000812F0000}"/>
    <cellStyle name="40% - Accent6 2 4 2" xfId="12166" xr:uid="{00000000-0005-0000-0000-0000822F0000}"/>
    <cellStyle name="40% - Accent6 2 4 2 2" xfId="12167" xr:uid="{00000000-0005-0000-0000-0000832F0000}"/>
    <cellStyle name="40% - Accent6 2 4 2 2 2" xfId="12168" xr:uid="{00000000-0005-0000-0000-0000842F0000}"/>
    <cellStyle name="40% - Accent6 2 4 2 2 2 2" xfId="12169" xr:uid="{00000000-0005-0000-0000-0000852F0000}"/>
    <cellStyle name="40% - Accent6 2 4 2 2 2 2 2" xfId="12170" xr:uid="{00000000-0005-0000-0000-0000862F0000}"/>
    <cellStyle name="40% - Accent6 2 4 2 2 2 2 2 2" xfId="12171" xr:uid="{00000000-0005-0000-0000-0000872F0000}"/>
    <cellStyle name="40% - Accent6 2 4 2 2 2 2 2 2 2" xfId="12172" xr:uid="{00000000-0005-0000-0000-0000882F0000}"/>
    <cellStyle name="40% - Accent6 2 4 2 2 2 2 2 3" xfId="12173" xr:uid="{00000000-0005-0000-0000-0000892F0000}"/>
    <cellStyle name="40% - Accent6 2 4 2 2 2 2 3" xfId="12174" xr:uid="{00000000-0005-0000-0000-00008A2F0000}"/>
    <cellStyle name="40% - Accent6 2 4 2 2 2 2 3 2" xfId="12175" xr:uid="{00000000-0005-0000-0000-00008B2F0000}"/>
    <cellStyle name="40% - Accent6 2 4 2 2 2 2 4" xfId="12176" xr:uid="{00000000-0005-0000-0000-00008C2F0000}"/>
    <cellStyle name="40% - Accent6 2 4 2 2 2 3" xfId="12177" xr:uid="{00000000-0005-0000-0000-00008D2F0000}"/>
    <cellStyle name="40% - Accent6 2 4 2 2 2 3 2" xfId="12178" xr:uid="{00000000-0005-0000-0000-00008E2F0000}"/>
    <cellStyle name="40% - Accent6 2 4 2 2 2 3 2 2" xfId="12179" xr:uid="{00000000-0005-0000-0000-00008F2F0000}"/>
    <cellStyle name="40% - Accent6 2 4 2 2 2 3 3" xfId="12180" xr:uid="{00000000-0005-0000-0000-0000902F0000}"/>
    <cellStyle name="40% - Accent6 2 4 2 2 2 4" xfId="12181" xr:uid="{00000000-0005-0000-0000-0000912F0000}"/>
    <cellStyle name="40% - Accent6 2 4 2 2 2 4 2" xfId="12182" xr:uid="{00000000-0005-0000-0000-0000922F0000}"/>
    <cellStyle name="40% - Accent6 2 4 2 2 2 5" xfId="12183" xr:uid="{00000000-0005-0000-0000-0000932F0000}"/>
    <cellStyle name="40% - Accent6 2 4 2 2 3" xfId="12184" xr:uid="{00000000-0005-0000-0000-0000942F0000}"/>
    <cellStyle name="40% - Accent6 2 4 2 2 3 2" xfId="12185" xr:uid="{00000000-0005-0000-0000-0000952F0000}"/>
    <cellStyle name="40% - Accent6 2 4 2 2 3 2 2" xfId="12186" xr:uid="{00000000-0005-0000-0000-0000962F0000}"/>
    <cellStyle name="40% - Accent6 2 4 2 2 3 2 2 2" xfId="12187" xr:uid="{00000000-0005-0000-0000-0000972F0000}"/>
    <cellStyle name="40% - Accent6 2 4 2 2 3 2 3" xfId="12188" xr:uid="{00000000-0005-0000-0000-0000982F0000}"/>
    <cellStyle name="40% - Accent6 2 4 2 2 3 3" xfId="12189" xr:uid="{00000000-0005-0000-0000-0000992F0000}"/>
    <cellStyle name="40% - Accent6 2 4 2 2 3 3 2" xfId="12190" xr:uid="{00000000-0005-0000-0000-00009A2F0000}"/>
    <cellStyle name="40% - Accent6 2 4 2 2 3 4" xfId="12191" xr:uid="{00000000-0005-0000-0000-00009B2F0000}"/>
    <cellStyle name="40% - Accent6 2 4 2 2 4" xfId="12192" xr:uid="{00000000-0005-0000-0000-00009C2F0000}"/>
    <cellStyle name="40% - Accent6 2 4 2 2 4 2" xfId="12193" xr:uid="{00000000-0005-0000-0000-00009D2F0000}"/>
    <cellStyle name="40% - Accent6 2 4 2 2 4 2 2" xfId="12194" xr:uid="{00000000-0005-0000-0000-00009E2F0000}"/>
    <cellStyle name="40% - Accent6 2 4 2 2 4 3" xfId="12195" xr:uid="{00000000-0005-0000-0000-00009F2F0000}"/>
    <cellStyle name="40% - Accent6 2 4 2 2 5" xfId="12196" xr:uid="{00000000-0005-0000-0000-0000A02F0000}"/>
    <cellStyle name="40% - Accent6 2 4 2 2 5 2" xfId="12197" xr:uid="{00000000-0005-0000-0000-0000A12F0000}"/>
    <cellStyle name="40% - Accent6 2 4 2 2 6" xfId="12198" xr:uid="{00000000-0005-0000-0000-0000A22F0000}"/>
    <cellStyle name="40% - Accent6 2 4 2 3" xfId="12199" xr:uid="{00000000-0005-0000-0000-0000A32F0000}"/>
    <cellStyle name="40% - Accent6 2 4 2 3 2" xfId="12200" xr:uid="{00000000-0005-0000-0000-0000A42F0000}"/>
    <cellStyle name="40% - Accent6 2 4 2 3 2 2" xfId="12201" xr:uid="{00000000-0005-0000-0000-0000A52F0000}"/>
    <cellStyle name="40% - Accent6 2 4 2 3 2 2 2" xfId="12202" xr:uid="{00000000-0005-0000-0000-0000A62F0000}"/>
    <cellStyle name="40% - Accent6 2 4 2 3 2 2 2 2" xfId="12203" xr:uid="{00000000-0005-0000-0000-0000A72F0000}"/>
    <cellStyle name="40% - Accent6 2 4 2 3 2 2 3" xfId="12204" xr:uid="{00000000-0005-0000-0000-0000A82F0000}"/>
    <cellStyle name="40% - Accent6 2 4 2 3 2 3" xfId="12205" xr:uid="{00000000-0005-0000-0000-0000A92F0000}"/>
    <cellStyle name="40% - Accent6 2 4 2 3 2 3 2" xfId="12206" xr:uid="{00000000-0005-0000-0000-0000AA2F0000}"/>
    <cellStyle name="40% - Accent6 2 4 2 3 2 4" xfId="12207" xr:uid="{00000000-0005-0000-0000-0000AB2F0000}"/>
    <cellStyle name="40% - Accent6 2 4 2 3 3" xfId="12208" xr:uid="{00000000-0005-0000-0000-0000AC2F0000}"/>
    <cellStyle name="40% - Accent6 2 4 2 3 3 2" xfId="12209" xr:uid="{00000000-0005-0000-0000-0000AD2F0000}"/>
    <cellStyle name="40% - Accent6 2 4 2 3 3 2 2" xfId="12210" xr:uid="{00000000-0005-0000-0000-0000AE2F0000}"/>
    <cellStyle name="40% - Accent6 2 4 2 3 3 3" xfId="12211" xr:uid="{00000000-0005-0000-0000-0000AF2F0000}"/>
    <cellStyle name="40% - Accent6 2 4 2 3 4" xfId="12212" xr:uid="{00000000-0005-0000-0000-0000B02F0000}"/>
    <cellStyle name="40% - Accent6 2 4 2 3 4 2" xfId="12213" xr:uid="{00000000-0005-0000-0000-0000B12F0000}"/>
    <cellStyle name="40% - Accent6 2 4 2 3 5" xfId="12214" xr:uid="{00000000-0005-0000-0000-0000B22F0000}"/>
    <cellStyle name="40% - Accent6 2 4 2 4" xfId="12215" xr:uid="{00000000-0005-0000-0000-0000B32F0000}"/>
    <cellStyle name="40% - Accent6 2 4 2 4 2" xfId="12216" xr:uid="{00000000-0005-0000-0000-0000B42F0000}"/>
    <cellStyle name="40% - Accent6 2 4 2 4 2 2" xfId="12217" xr:uid="{00000000-0005-0000-0000-0000B52F0000}"/>
    <cellStyle name="40% - Accent6 2 4 2 4 2 2 2" xfId="12218" xr:uid="{00000000-0005-0000-0000-0000B62F0000}"/>
    <cellStyle name="40% - Accent6 2 4 2 4 2 3" xfId="12219" xr:uid="{00000000-0005-0000-0000-0000B72F0000}"/>
    <cellStyle name="40% - Accent6 2 4 2 4 3" xfId="12220" xr:uid="{00000000-0005-0000-0000-0000B82F0000}"/>
    <cellStyle name="40% - Accent6 2 4 2 4 3 2" xfId="12221" xr:uid="{00000000-0005-0000-0000-0000B92F0000}"/>
    <cellStyle name="40% - Accent6 2 4 2 4 4" xfId="12222" xr:uid="{00000000-0005-0000-0000-0000BA2F0000}"/>
    <cellStyle name="40% - Accent6 2 4 2 5" xfId="12223" xr:uid="{00000000-0005-0000-0000-0000BB2F0000}"/>
    <cellStyle name="40% - Accent6 2 4 2 5 2" xfId="12224" xr:uid="{00000000-0005-0000-0000-0000BC2F0000}"/>
    <cellStyle name="40% - Accent6 2 4 2 5 2 2" xfId="12225" xr:uid="{00000000-0005-0000-0000-0000BD2F0000}"/>
    <cellStyle name="40% - Accent6 2 4 2 5 3" xfId="12226" xr:uid="{00000000-0005-0000-0000-0000BE2F0000}"/>
    <cellStyle name="40% - Accent6 2 4 2 6" xfId="12227" xr:uid="{00000000-0005-0000-0000-0000BF2F0000}"/>
    <cellStyle name="40% - Accent6 2 4 2 6 2" xfId="12228" xr:uid="{00000000-0005-0000-0000-0000C02F0000}"/>
    <cellStyle name="40% - Accent6 2 4 2 7" xfId="12229" xr:uid="{00000000-0005-0000-0000-0000C12F0000}"/>
    <cellStyle name="40% - Accent6 2 4 3" xfId="12230" xr:uid="{00000000-0005-0000-0000-0000C22F0000}"/>
    <cellStyle name="40% - Accent6 2 4 3 2" xfId="12231" xr:uid="{00000000-0005-0000-0000-0000C32F0000}"/>
    <cellStyle name="40% - Accent6 2 4 3 2 2" xfId="12232" xr:uid="{00000000-0005-0000-0000-0000C42F0000}"/>
    <cellStyle name="40% - Accent6 2 4 3 2 2 2" xfId="12233" xr:uid="{00000000-0005-0000-0000-0000C52F0000}"/>
    <cellStyle name="40% - Accent6 2 4 3 2 2 2 2" xfId="12234" xr:uid="{00000000-0005-0000-0000-0000C62F0000}"/>
    <cellStyle name="40% - Accent6 2 4 3 2 2 2 2 2" xfId="12235" xr:uid="{00000000-0005-0000-0000-0000C72F0000}"/>
    <cellStyle name="40% - Accent6 2 4 3 2 2 2 3" xfId="12236" xr:uid="{00000000-0005-0000-0000-0000C82F0000}"/>
    <cellStyle name="40% - Accent6 2 4 3 2 2 3" xfId="12237" xr:uid="{00000000-0005-0000-0000-0000C92F0000}"/>
    <cellStyle name="40% - Accent6 2 4 3 2 2 3 2" xfId="12238" xr:uid="{00000000-0005-0000-0000-0000CA2F0000}"/>
    <cellStyle name="40% - Accent6 2 4 3 2 2 4" xfId="12239" xr:uid="{00000000-0005-0000-0000-0000CB2F0000}"/>
    <cellStyle name="40% - Accent6 2 4 3 2 3" xfId="12240" xr:uid="{00000000-0005-0000-0000-0000CC2F0000}"/>
    <cellStyle name="40% - Accent6 2 4 3 2 3 2" xfId="12241" xr:uid="{00000000-0005-0000-0000-0000CD2F0000}"/>
    <cellStyle name="40% - Accent6 2 4 3 2 3 2 2" xfId="12242" xr:uid="{00000000-0005-0000-0000-0000CE2F0000}"/>
    <cellStyle name="40% - Accent6 2 4 3 2 3 3" xfId="12243" xr:uid="{00000000-0005-0000-0000-0000CF2F0000}"/>
    <cellStyle name="40% - Accent6 2 4 3 2 4" xfId="12244" xr:uid="{00000000-0005-0000-0000-0000D02F0000}"/>
    <cellStyle name="40% - Accent6 2 4 3 2 4 2" xfId="12245" xr:uid="{00000000-0005-0000-0000-0000D12F0000}"/>
    <cellStyle name="40% - Accent6 2 4 3 2 5" xfId="12246" xr:uid="{00000000-0005-0000-0000-0000D22F0000}"/>
    <cellStyle name="40% - Accent6 2 4 3 3" xfId="12247" xr:uid="{00000000-0005-0000-0000-0000D32F0000}"/>
    <cellStyle name="40% - Accent6 2 4 3 3 2" xfId="12248" xr:uid="{00000000-0005-0000-0000-0000D42F0000}"/>
    <cellStyle name="40% - Accent6 2 4 3 3 2 2" xfId="12249" xr:uid="{00000000-0005-0000-0000-0000D52F0000}"/>
    <cellStyle name="40% - Accent6 2 4 3 3 2 2 2" xfId="12250" xr:uid="{00000000-0005-0000-0000-0000D62F0000}"/>
    <cellStyle name="40% - Accent6 2 4 3 3 2 3" xfId="12251" xr:uid="{00000000-0005-0000-0000-0000D72F0000}"/>
    <cellStyle name="40% - Accent6 2 4 3 3 3" xfId="12252" xr:uid="{00000000-0005-0000-0000-0000D82F0000}"/>
    <cellStyle name="40% - Accent6 2 4 3 3 3 2" xfId="12253" xr:uid="{00000000-0005-0000-0000-0000D92F0000}"/>
    <cellStyle name="40% - Accent6 2 4 3 3 4" xfId="12254" xr:uid="{00000000-0005-0000-0000-0000DA2F0000}"/>
    <cellStyle name="40% - Accent6 2 4 3 4" xfId="12255" xr:uid="{00000000-0005-0000-0000-0000DB2F0000}"/>
    <cellStyle name="40% - Accent6 2 4 3 4 2" xfId="12256" xr:uid="{00000000-0005-0000-0000-0000DC2F0000}"/>
    <cellStyle name="40% - Accent6 2 4 3 4 2 2" xfId="12257" xr:uid="{00000000-0005-0000-0000-0000DD2F0000}"/>
    <cellStyle name="40% - Accent6 2 4 3 4 3" xfId="12258" xr:uid="{00000000-0005-0000-0000-0000DE2F0000}"/>
    <cellStyle name="40% - Accent6 2 4 3 5" xfId="12259" xr:uid="{00000000-0005-0000-0000-0000DF2F0000}"/>
    <cellStyle name="40% - Accent6 2 4 3 5 2" xfId="12260" xr:uid="{00000000-0005-0000-0000-0000E02F0000}"/>
    <cellStyle name="40% - Accent6 2 4 3 6" xfId="12261" xr:uid="{00000000-0005-0000-0000-0000E12F0000}"/>
    <cellStyle name="40% - Accent6 2 4 4" xfId="12262" xr:uid="{00000000-0005-0000-0000-0000E22F0000}"/>
    <cellStyle name="40% - Accent6 2 4 4 2" xfId="12263" xr:uid="{00000000-0005-0000-0000-0000E32F0000}"/>
    <cellStyle name="40% - Accent6 2 4 4 2 2" xfId="12264" xr:uid="{00000000-0005-0000-0000-0000E42F0000}"/>
    <cellStyle name="40% - Accent6 2 4 4 2 2 2" xfId="12265" xr:uid="{00000000-0005-0000-0000-0000E52F0000}"/>
    <cellStyle name="40% - Accent6 2 4 4 2 2 2 2" xfId="12266" xr:uid="{00000000-0005-0000-0000-0000E62F0000}"/>
    <cellStyle name="40% - Accent6 2 4 4 2 2 3" xfId="12267" xr:uid="{00000000-0005-0000-0000-0000E72F0000}"/>
    <cellStyle name="40% - Accent6 2 4 4 2 3" xfId="12268" xr:uid="{00000000-0005-0000-0000-0000E82F0000}"/>
    <cellStyle name="40% - Accent6 2 4 4 2 3 2" xfId="12269" xr:uid="{00000000-0005-0000-0000-0000E92F0000}"/>
    <cellStyle name="40% - Accent6 2 4 4 2 4" xfId="12270" xr:uid="{00000000-0005-0000-0000-0000EA2F0000}"/>
    <cellStyle name="40% - Accent6 2 4 4 3" xfId="12271" xr:uid="{00000000-0005-0000-0000-0000EB2F0000}"/>
    <cellStyle name="40% - Accent6 2 4 4 3 2" xfId="12272" xr:uid="{00000000-0005-0000-0000-0000EC2F0000}"/>
    <cellStyle name="40% - Accent6 2 4 4 3 2 2" xfId="12273" xr:uid="{00000000-0005-0000-0000-0000ED2F0000}"/>
    <cellStyle name="40% - Accent6 2 4 4 3 3" xfId="12274" xr:uid="{00000000-0005-0000-0000-0000EE2F0000}"/>
    <cellStyle name="40% - Accent6 2 4 4 4" xfId="12275" xr:uid="{00000000-0005-0000-0000-0000EF2F0000}"/>
    <cellStyle name="40% - Accent6 2 4 4 4 2" xfId="12276" xr:uid="{00000000-0005-0000-0000-0000F02F0000}"/>
    <cellStyle name="40% - Accent6 2 4 4 5" xfId="12277" xr:uid="{00000000-0005-0000-0000-0000F12F0000}"/>
    <cellStyle name="40% - Accent6 2 4 5" xfId="12278" xr:uid="{00000000-0005-0000-0000-0000F22F0000}"/>
    <cellStyle name="40% - Accent6 2 4 5 2" xfId="12279" xr:uid="{00000000-0005-0000-0000-0000F32F0000}"/>
    <cellStyle name="40% - Accent6 2 4 5 2 2" xfId="12280" xr:uid="{00000000-0005-0000-0000-0000F42F0000}"/>
    <cellStyle name="40% - Accent6 2 4 5 2 2 2" xfId="12281" xr:uid="{00000000-0005-0000-0000-0000F52F0000}"/>
    <cellStyle name="40% - Accent6 2 4 5 2 3" xfId="12282" xr:uid="{00000000-0005-0000-0000-0000F62F0000}"/>
    <cellStyle name="40% - Accent6 2 4 5 3" xfId="12283" xr:uid="{00000000-0005-0000-0000-0000F72F0000}"/>
    <cellStyle name="40% - Accent6 2 4 5 3 2" xfId="12284" xr:uid="{00000000-0005-0000-0000-0000F82F0000}"/>
    <cellStyle name="40% - Accent6 2 4 5 4" xfId="12285" xr:uid="{00000000-0005-0000-0000-0000F92F0000}"/>
    <cellStyle name="40% - Accent6 2 4 6" xfId="12286" xr:uid="{00000000-0005-0000-0000-0000FA2F0000}"/>
    <cellStyle name="40% - Accent6 2 4 6 2" xfId="12287" xr:uid="{00000000-0005-0000-0000-0000FB2F0000}"/>
    <cellStyle name="40% - Accent6 2 4 6 2 2" xfId="12288" xr:uid="{00000000-0005-0000-0000-0000FC2F0000}"/>
    <cellStyle name="40% - Accent6 2 4 6 3" xfId="12289" xr:uid="{00000000-0005-0000-0000-0000FD2F0000}"/>
    <cellStyle name="40% - Accent6 2 4 7" xfId="12290" xr:uid="{00000000-0005-0000-0000-0000FE2F0000}"/>
    <cellStyle name="40% - Accent6 2 4 7 2" xfId="12291" xr:uid="{00000000-0005-0000-0000-0000FF2F0000}"/>
    <cellStyle name="40% - Accent6 2 4 8" xfId="12292" xr:uid="{00000000-0005-0000-0000-000000300000}"/>
    <cellStyle name="40% - Accent6 2 5" xfId="12293" xr:uid="{00000000-0005-0000-0000-000001300000}"/>
    <cellStyle name="40% - Accent6 2 5 2" xfId="12294" xr:uid="{00000000-0005-0000-0000-000002300000}"/>
    <cellStyle name="40% - Accent6 2 5 2 2" xfId="12295" xr:uid="{00000000-0005-0000-0000-000003300000}"/>
    <cellStyle name="40% - Accent6 2 5 2 2 2" xfId="12296" xr:uid="{00000000-0005-0000-0000-000004300000}"/>
    <cellStyle name="40% - Accent6 2 5 2 2 2 2" xfId="12297" xr:uid="{00000000-0005-0000-0000-000005300000}"/>
    <cellStyle name="40% - Accent6 2 5 2 2 2 2 2" xfId="12298" xr:uid="{00000000-0005-0000-0000-000006300000}"/>
    <cellStyle name="40% - Accent6 2 5 2 2 2 2 2 2" xfId="12299" xr:uid="{00000000-0005-0000-0000-000007300000}"/>
    <cellStyle name="40% - Accent6 2 5 2 2 2 2 3" xfId="12300" xr:uid="{00000000-0005-0000-0000-000008300000}"/>
    <cellStyle name="40% - Accent6 2 5 2 2 2 3" xfId="12301" xr:uid="{00000000-0005-0000-0000-000009300000}"/>
    <cellStyle name="40% - Accent6 2 5 2 2 2 3 2" xfId="12302" xr:uid="{00000000-0005-0000-0000-00000A300000}"/>
    <cellStyle name="40% - Accent6 2 5 2 2 2 4" xfId="12303" xr:uid="{00000000-0005-0000-0000-00000B300000}"/>
    <cellStyle name="40% - Accent6 2 5 2 2 3" xfId="12304" xr:uid="{00000000-0005-0000-0000-00000C300000}"/>
    <cellStyle name="40% - Accent6 2 5 2 2 3 2" xfId="12305" xr:uid="{00000000-0005-0000-0000-00000D300000}"/>
    <cellStyle name="40% - Accent6 2 5 2 2 3 2 2" xfId="12306" xr:uid="{00000000-0005-0000-0000-00000E300000}"/>
    <cellStyle name="40% - Accent6 2 5 2 2 3 3" xfId="12307" xr:uid="{00000000-0005-0000-0000-00000F300000}"/>
    <cellStyle name="40% - Accent6 2 5 2 2 4" xfId="12308" xr:uid="{00000000-0005-0000-0000-000010300000}"/>
    <cellStyle name="40% - Accent6 2 5 2 2 4 2" xfId="12309" xr:uid="{00000000-0005-0000-0000-000011300000}"/>
    <cellStyle name="40% - Accent6 2 5 2 2 5" xfId="12310" xr:uid="{00000000-0005-0000-0000-000012300000}"/>
    <cellStyle name="40% - Accent6 2 5 2 3" xfId="12311" xr:uid="{00000000-0005-0000-0000-000013300000}"/>
    <cellStyle name="40% - Accent6 2 5 2 3 2" xfId="12312" xr:uid="{00000000-0005-0000-0000-000014300000}"/>
    <cellStyle name="40% - Accent6 2 5 2 3 2 2" xfId="12313" xr:uid="{00000000-0005-0000-0000-000015300000}"/>
    <cellStyle name="40% - Accent6 2 5 2 3 2 2 2" xfId="12314" xr:uid="{00000000-0005-0000-0000-000016300000}"/>
    <cellStyle name="40% - Accent6 2 5 2 3 2 3" xfId="12315" xr:uid="{00000000-0005-0000-0000-000017300000}"/>
    <cellStyle name="40% - Accent6 2 5 2 3 3" xfId="12316" xr:uid="{00000000-0005-0000-0000-000018300000}"/>
    <cellStyle name="40% - Accent6 2 5 2 3 3 2" xfId="12317" xr:uid="{00000000-0005-0000-0000-000019300000}"/>
    <cellStyle name="40% - Accent6 2 5 2 3 4" xfId="12318" xr:uid="{00000000-0005-0000-0000-00001A300000}"/>
    <cellStyle name="40% - Accent6 2 5 2 4" xfId="12319" xr:uid="{00000000-0005-0000-0000-00001B300000}"/>
    <cellStyle name="40% - Accent6 2 5 2 4 2" xfId="12320" xr:uid="{00000000-0005-0000-0000-00001C300000}"/>
    <cellStyle name="40% - Accent6 2 5 2 4 2 2" xfId="12321" xr:uid="{00000000-0005-0000-0000-00001D300000}"/>
    <cellStyle name="40% - Accent6 2 5 2 4 3" xfId="12322" xr:uid="{00000000-0005-0000-0000-00001E300000}"/>
    <cellStyle name="40% - Accent6 2 5 2 5" xfId="12323" xr:uid="{00000000-0005-0000-0000-00001F300000}"/>
    <cellStyle name="40% - Accent6 2 5 2 5 2" xfId="12324" xr:uid="{00000000-0005-0000-0000-000020300000}"/>
    <cellStyle name="40% - Accent6 2 5 2 6" xfId="12325" xr:uid="{00000000-0005-0000-0000-000021300000}"/>
    <cellStyle name="40% - Accent6 2 5 3" xfId="12326" xr:uid="{00000000-0005-0000-0000-000022300000}"/>
    <cellStyle name="40% - Accent6 2 5 3 2" xfId="12327" xr:uid="{00000000-0005-0000-0000-000023300000}"/>
    <cellStyle name="40% - Accent6 2 5 3 2 2" xfId="12328" xr:uid="{00000000-0005-0000-0000-000024300000}"/>
    <cellStyle name="40% - Accent6 2 5 3 2 2 2" xfId="12329" xr:uid="{00000000-0005-0000-0000-000025300000}"/>
    <cellStyle name="40% - Accent6 2 5 3 2 2 2 2" xfId="12330" xr:uid="{00000000-0005-0000-0000-000026300000}"/>
    <cellStyle name="40% - Accent6 2 5 3 2 2 3" xfId="12331" xr:uid="{00000000-0005-0000-0000-000027300000}"/>
    <cellStyle name="40% - Accent6 2 5 3 2 3" xfId="12332" xr:uid="{00000000-0005-0000-0000-000028300000}"/>
    <cellStyle name="40% - Accent6 2 5 3 2 3 2" xfId="12333" xr:uid="{00000000-0005-0000-0000-000029300000}"/>
    <cellStyle name="40% - Accent6 2 5 3 2 4" xfId="12334" xr:uid="{00000000-0005-0000-0000-00002A300000}"/>
    <cellStyle name="40% - Accent6 2 5 3 3" xfId="12335" xr:uid="{00000000-0005-0000-0000-00002B300000}"/>
    <cellStyle name="40% - Accent6 2 5 3 3 2" xfId="12336" xr:uid="{00000000-0005-0000-0000-00002C300000}"/>
    <cellStyle name="40% - Accent6 2 5 3 3 2 2" xfId="12337" xr:uid="{00000000-0005-0000-0000-00002D300000}"/>
    <cellStyle name="40% - Accent6 2 5 3 3 3" xfId="12338" xr:uid="{00000000-0005-0000-0000-00002E300000}"/>
    <cellStyle name="40% - Accent6 2 5 3 4" xfId="12339" xr:uid="{00000000-0005-0000-0000-00002F300000}"/>
    <cellStyle name="40% - Accent6 2 5 3 4 2" xfId="12340" xr:uid="{00000000-0005-0000-0000-000030300000}"/>
    <cellStyle name="40% - Accent6 2 5 3 5" xfId="12341" xr:uid="{00000000-0005-0000-0000-000031300000}"/>
    <cellStyle name="40% - Accent6 2 5 4" xfId="12342" xr:uid="{00000000-0005-0000-0000-000032300000}"/>
    <cellStyle name="40% - Accent6 2 5 4 2" xfId="12343" xr:uid="{00000000-0005-0000-0000-000033300000}"/>
    <cellStyle name="40% - Accent6 2 5 4 2 2" xfId="12344" xr:uid="{00000000-0005-0000-0000-000034300000}"/>
    <cellStyle name="40% - Accent6 2 5 4 2 2 2" xfId="12345" xr:uid="{00000000-0005-0000-0000-000035300000}"/>
    <cellStyle name="40% - Accent6 2 5 4 2 3" xfId="12346" xr:uid="{00000000-0005-0000-0000-000036300000}"/>
    <cellStyle name="40% - Accent6 2 5 4 3" xfId="12347" xr:uid="{00000000-0005-0000-0000-000037300000}"/>
    <cellStyle name="40% - Accent6 2 5 4 3 2" xfId="12348" xr:uid="{00000000-0005-0000-0000-000038300000}"/>
    <cellStyle name="40% - Accent6 2 5 4 4" xfId="12349" xr:uid="{00000000-0005-0000-0000-000039300000}"/>
    <cellStyle name="40% - Accent6 2 5 5" xfId="12350" xr:uid="{00000000-0005-0000-0000-00003A300000}"/>
    <cellStyle name="40% - Accent6 2 5 5 2" xfId="12351" xr:uid="{00000000-0005-0000-0000-00003B300000}"/>
    <cellStyle name="40% - Accent6 2 5 5 2 2" xfId="12352" xr:uid="{00000000-0005-0000-0000-00003C300000}"/>
    <cellStyle name="40% - Accent6 2 5 5 3" xfId="12353" xr:uid="{00000000-0005-0000-0000-00003D300000}"/>
    <cellStyle name="40% - Accent6 2 5 6" xfId="12354" xr:uid="{00000000-0005-0000-0000-00003E300000}"/>
    <cellStyle name="40% - Accent6 2 5 6 2" xfId="12355" xr:uid="{00000000-0005-0000-0000-00003F300000}"/>
    <cellStyle name="40% - Accent6 2 5 7" xfId="12356" xr:uid="{00000000-0005-0000-0000-000040300000}"/>
    <cellStyle name="40% - Accent6 2 6" xfId="12357" xr:uid="{00000000-0005-0000-0000-000041300000}"/>
    <cellStyle name="40% - Accent6 2 6 2" xfId="12358" xr:uid="{00000000-0005-0000-0000-000042300000}"/>
    <cellStyle name="40% - Accent6 2 6 2 2" xfId="12359" xr:uid="{00000000-0005-0000-0000-000043300000}"/>
    <cellStyle name="40% - Accent6 2 6 2 2 2" xfId="12360" xr:uid="{00000000-0005-0000-0000-000044300000}"/>
    <cellStyle name="40% - Accent6 2 6 2 2 2 2" xfId="12361" xr:uid="{00000000-0005-0000-0000-000045300000}"/>
    <cellStyle name="40% - Accent6 2 6 2 2 2 2 2" xfId="12362" xr:uid="{00000000-0005-0000-0000-000046300000}"/>
    <cellStyle name="40% - Accent6 2 6 2 2 2 3" xfId="12363" xr:uid="{00000000-0005-0000-0000-000047300000}"/>
    <cellStyle name="40% - Accent6 2 6 2 2 3" xfId="12364" xr:uid="{00000000-0005-0000-0000-000048300000}"/>
    <cellStyle name="40% - Accent6 2 6 2 2 3 2" xfId="12365" xr:uid="{00000000-0005-0000-0000-000049300000}"/>
    <cellStyle name="40% - Accent6 2 6 2 2 4" xfId="12366" xr:uid="{00000000-0005-0000-0000-00004A300000}"/>
    <cellStyle name="40% - Accent6 2 6 2 3" xfId="12367" xr:uid="{00000000-0005-0000-0000-00004B300000}"/>
    <cellStyle name="40% - Accent6 2 6 2 3 2" xfId="12368" xr:uid="{00000000-0005-0000-0000-00004C300000}"/>
    <cellStyle name="40% - Accent6 2 6 2 3 2 2" xfId="12369" xr:uid="{00000000-0005-0000-0000-00004D300000}"/>
    <cellStyle name="40% - Accent6 2 6 2 3 3" xfId="12370" xr:uid="{00000000-0005-0000-0000-00004E300000}"/>
    <cellStyle name="40% - Accent6 2 6 2 4" xfId="12371" xr:uid="{00000000-0005-0000-0000-00004F300000}"/>
    <cellStyle name="40% - Accent6 2 6 2 4 2" xfId="12372" xr:uid="{00000000-0005-0000-0000-000050300000}"/>
    <cellStyle name="40% - Accent6 2 6 2 5" xfId="12373" xr:uid="{00000000-0005-0000-0000-000051300000}"/>
    <cellStyle name="40% - Accent6 2 6 3" xfId="12374" xr:uid="{00000000-0005-0000-0000-000052300000}"/>
    <cellStyle name="40% - Accent6 2 6 3 2" xfId="12375" xr:uid="{00000000-0005-0000-0000-000053300000}"/>
    <cellStyle name="40% - Accent6 2 6 3 2 2" xfId="12376" xr:uid="{00000000-0005-0000-0000-000054300000}"/>
    <cellStyle name="40% - Accent6 2 6 3 2 2 2" xfId="12377" xr:uid="{00000000-0005-0000-0000-000055300000}"/>
    <cellStyle name="40% - Accent6 2 6 3 2 3" xfId="12378" xr:uid="{00000000-0005-0000-0000-000056300000}"/>
    <cellStyle name="40% - Accent6 2 6 3 3" xfId="12379" xr:uid="{00000000-0005-0000-0000-000057300000}"/>
    <cellStyle name="40% - Accent6 2 6 3 3 2" xfId="12380" xr:uid="{00000000-0005-0000-0000-000058300000}"/>
    <cellStyle name="40% - Accent6 2 6 3 4" xfId="12381" xr:uid="{00000000-0005-0000-0000-000059300000}"/>
    <cellStyle name="40% - Accent6 2 6 4" xfId="12382" xr:uid="{00000000-0005-0000-0000-00005A300000}"/>
    <cellStyle name="40% - Accent6 2 6 4 2" xfId="12383" xr:uid="{00000000-0005-0000-0000-00005B300000}"/>
    <cellStyle name="40% - Accent6 2 6 4 2 2" xfId="12384" xr:uid="{00000000-0005-0000-0000-00005C300000}"/>
    <cellStyle name="40% - Accent6 2 6 4 3" xfId="12385" xr:uid="{00000000-0005-0000-0000-00005D300000}"/>
    <cellStyle name="40% - Accent6 2 6 5" xfId="12386" xr:uid="{00000000-0005-0000-0000-00005E300000}"/>
    <cellStyle name="40% - Accent6 2 6 5 2" xfId="12387" xr:uid="{00000000-0005-0000-0000-00005F300000}"/>
    <cellStyle name="40% - Accent6 2 6 6" xfId="12388" xr:uid="{00000000-0005-0000-0000-000060300000}"/>
    <cellStyle name="40% - Accent6 2 7" xfId="12389" xr:uid="{00000000-0005-0000-0000-000061300000}"/>
    <cellStyle name="40% - Accent6 2 7 2" xfId="12390" xr:uid="{00000000-0005-0000-0000-000062300000}"/>
    <cellStyle name="40% - Accent6 2 7 2 2" xfId="12391" xr:uid="{00000000-0005-0000-0000-000063300000}"/>
    <cellStyle name="40% - Accent6 2 7 2 2 2" xfId="12392" xr:uid="{00000000-0005-0000-0000-000064300000}"/>
    <cellStyle name="40% - Accent6 2 7 2 2 2 2" xfId="12393" xr:uid="{00000000-0005-0000-0000-000065300000}"/>
    <cellStyle name="40% - Accent6 2 7 2 2 3" xfId="12394" xr:uid="{00000000-0005-0000-0000-000066300000}"/>
    <cellStyle name="40% - Accent6 2 7 2 3" xfId="12395" xr:uid="{00000000-0005-0000-0000-000067300000}"/>
    <cellStyle name="40% - Accent6 2 7 2 3 2" xfId="12396" xr:uid="{00000000-0005-0000-0000-000068300000}"/>
    <cellStyle name="40% - Accent6 2 7 2 4" xfId="12397" xr:uid="{00000000-0005-0000-0000-000069300000}"/>
    <cellStyle name="40% - Accent6 2 7 3" xfId="12398" xr:uid="{00000000-0005-0000-0000-00006A300000}"/>
    <cellStyle name="40% - Accent6 2 7 3 2" xfId="12399" xr:uid="{00000000-0005-0000-0000-00006B300000}"/>
    <cellStyle name="40% - Accent6 2 7 3 2 2" xfId="12400" xr:uid="{00000000-0005-0000-0000-00006C300000}"/>
    <cellStyle name="40% - Accent6 2 7 3 3" xfId="12401" xr:uid="{00000000-0005-0000-0000-00006D300000}"/>
    <cellStyle name="40% - Accent6 2 7 4" xfId="12402" xr:uid="{00000000-0005-0000-0000-00006E300000}"/>
    <cellStyle name="40% - Accent6 2 7 4 2" xfId="12403" xr:uid="{00000000-0005-0000-0000-00006F300000}"/>
    <cellStyle name="40% - Accent6 2 7 5" xfId="12404" xr:uid="{00000000-0005-0000-0000-000070300000}"/>
    <cellStyle name="40% - Accent6 2 8" xfId="12405" xr:uid="{00000000-0005-0000-0000-000071300000}"/>
    <cellStyle name="40% - Accent6 2 8 2" xfId="12406" xr:uid="{00000000-0005-0000-0000-000072300000}"/>
    <cellStyle name="40% - Accent6 2 8 2 2" xfId="12407" xr:uid="{00000000-0005-0000-0000-000073300000}"/>
    <cellStyle name="40% - Accent6 2 8 2 2 2" xfId="12408" xr:uid="{00000000-0005-0000-0000-000074300000}"/>
    <cellStyle name="40% - Accent6 2 8 2 3" xfId="12409" xr:uid="{00000000-0005-0000-0000-000075300000}"/>
    <cellStyle name="40% - Accent6 2 8 3" xfId="12410" xr:uid="{00000000-0005-0000-0000-000076300000}"/>
    <cellStyle name="40% - Accent6 2 8 3 2" xfId="12411" xr:uid="{00000000-0005-0000-0000-000077300000}"/>
    <cellStyle name="40% - Accent6 2 8 4" xfId="12412" xr:uid="{00000000-0005-0000-0000-000078300000}"/>
    <cellStyle name="40% - Accent6 2 9" xfId="12413" xr:uid="{00000000-0005-0000-0000-000079300000}"/>
    <cellStyle name="40% - Accent6 2 9 2" xfId="12414" xr:uid="{00000000-0005-0000-0000-00007A300000}"/>
    <cellStyle name="40% - Accent6 2 9 2 2" xfId="12415" xr:uid="{00000000-0005-0000-0000-00007B300000}"/>
    <cellStyle name="40% - Accent6 2 9 3" xfId="12416" xr:uid="{00000000-0005-0000-0000-00007C300000}"/>
    <cellStyle name="40% - Accent6 3" xfId="12417" xr:uid="{00000000-0005-0000-0000-00007D300000}"/>
    <cellStyle name="40% - Accent6 4" xfId="12418" xr:uid="{00000000-0005-0000-0000-00007E300000}"/>
    <cellStyle name="40% - Accent6 5" xfId="12419" xr:uid="{00000000-0005-0000-0000-00007F300000}"/>
    <cellStyle name="40% - Accent6 6" xfId="12420" xr:uid="{00000000-0005-0000-0000-000080300000}"/>
    <cellStyle name="40% - Accent6 7" xfId="12421" xr:uid="{00000000-0005-0000-0000-000081300000}"/>
    <cellStyle name="40% - Accent6 8" xfId="12422" xr:uid="{00000000-0005-0000-0000-000082300000}"/>
    <cellStyle name="40% - Accent6 9" xfId="12423" xr:uid="{00000000-0005-0000-0000-000083300000}"/>
    <cellStyle name="60% - Accent1 10" xfId="12424" xr:uid="{00000000-0005-0000-0000-000084300000}"/>
    <cellStyle name="60% - Accent1 11" xfId="12425" xr:uid="{00000000-0005-0000-0000-000085300000}"/>
    <cellStyle name="60% - Accent1 12" xfId="12426" xr:uid="{00000000-0005-0000-0000-000086300000}"/>
    <cellStyle name="60% - Accent1 13" xfId="12427" xr:uid="{00000000-0005-0000-0000-000087300000}"/>
    <cellStyle name="60% - Accent1 2" xfId="12428" xr:uid="{00000000-0005-0000-0000-000088300000}"/>
    <cellStyle name="60% - Accent1 3" xfId="12429" xr:uid="{00000000-0005-0000-0000-000089300000}"/>
    <cellStyle name="60% - Accent1 4" xfId="12430" xr:uid="{00000000-0005-0000-0000-00008A300000}"/>
    <cellStyle name="60% - Accent1 5" xfId="12431" xr:uid="{00000000-0005-0000-0000-00008B300000}"/>
    <cellStyle name="60% - Accent1 6" xfId="12432" xr:uid="{00000000-0005-0000-0000-00008C300000}"/>
    <cellStyle name="60% - Accent1 7" xfId="12433" xr:uid="{00000000-0005-0000-0000-00008D300000}"/>
    <cellStyle name="60% - Accent1 8" xfId="12434" xr:uid="{00000000-0005-0000-0000-00008E300000}"/>
    <cellStyle name="60% - Accent1 9" xfId="12435" xr:uid="{00000000-0005-0000-0000-00008F300000}"/>
    <cellStyle name="60% - Accent2 10" xfId="12436" xr:uid="{00000000-0005-0000-0000-000090300000}"/>
    <cellStyle name="60% - Accent2 11" xfId="12437" xr:uid="{00000000-0005-0000-0000-000091300000}"/>
    <cellStyle name="60% - Accent2 12" xfId="12438" xr:uid="{00000000-0005-0000-0000-000092300000}"/>
    <cellStyle name="60% - Accent2 13" xfId="12439" xr:uid="{00000000-0005-0000-0000-000093300000}"/>
    <cellStyle name="60% - Accent2 2" xfId="12440" xr:uid="{00000000-0005-0000-0000-000094300000}"/>
    <cellStyle name="60% - Accent2 3" xfId="12441" xr:uid="{00000000-0005-0000-0000-000095300000}"/>
    <cellStyle name="60% - Accent2 4" xfId="12442" xr:uid="{00000000-0005-0000-0000-000096300000}"/>
    <cellStyle name="60% - Accent2 5" xfId="12443" xr:uid="{00000000-0005-0000-0000-000097300000}"/>
    <cellStyle name="60% - Accent2 6" xfId="12444" xr:uid="{00000000-0005-0000-0000-000098300000}"/>
    <cellStyle name="60% - Accent2 7" xfId="12445" xr:uid="{00000000-0005-0000-0000-000099300000}"/>
    <cellStyle name="60% - Accent2 8" xfId="12446" xr:uid="{00000000-0005-0000-0000-00009A300000}"/>
    <cellStyle name="60% - Accent2 9" xfId="12447" xr:uid="{00000000-0005-0000-0000-00009B300000}"/>
    <cellStyle name="60% - Accent3 10" xfId="12448" xr:uid="{00000000-0005-0000-0000-00009C300000}"/>
    <cellStyle name="60% - Accent3 11" xfId="12449" xr:uid="{00000000-0005-0000-0000-00009D300000}"/>
    <cellStyle name="60% - Accent3 12" xfId="12450" xr:uid="{00000000-0005-0000-0000-00009E300000}"/>
    <cellStyle name="60% - Accent3 13" xfId="12451" xr:uid="{00000000-0005-0000-0000-00009F300000}"/>
    <cellStyle name="60% - Accent3 2" xfId="12452" xr:uid="{00000000-0005-0000-0000-0000A0300000}"/>
    <cellStyle name="60% - Accent3 3" xfId="12453" xr:uid="{00000000-0005-0000-0000-0000A1300000}"/>
    <cellStyle name="60% - Accent3 4" xfId="12454" xr:uid="{00000000-0005-0000-0000-0000A2300000}"/>
    <cellStyle name="60% - Accent3 5" xfId="12455" xr:uid="{00000000-0005-0000-0000-0000A3300000}"/>
    <cellStyle name="60% - Accent3 6" xfId="12456" xr:uid="{00000000-0005-0000-0000-0000A4300000}"/>
    <cellStyle name="60% - Accent3 7" xfId="12457" xr:uid="{00000000-0005-0000-0000-0000A5300000}"/>
    <cellStyle name="60% - Accent3 8" xfId="12458" xr:uid="{00000000-0005-0000-0000-0000A6300000}"/>
    <cellStyle name="60% - Accent3 9" xfId="12459" xr:uid="{00000000-0005-0000-0000-0000A7300000}"/>
    <cellStyle name="60% - Accent4 10" xfId="12460" xr:uid="{00000000-0005-0000-0000-0000A8300000}"/>
    <cellStyle name="60% - Accent4 11" xfId="12461" xr:uid="{00000000-0005-0000-0000-0000A9300000}"/>
    <cellStyle name="60% - Accent4 12" xfId="12462" xr:uid="{00000000-0005-0000-0000-0000AA300000}"/>
    <cellStyle name="60% - Accent4 13" xfId="12463" xr:uid="{00000000-0005-0000-0000-0000AB300000}"/>
    <cellStyle name="60% - Accent4 2" xfId="12464" xr:uid="{00000000-0005-0000-0000-0000AC300000}"/>
    <cellStyle name="60% - Accent4 3" xfId="12465" xr:uid="{00000000-0005-0000-0000-0000AD300000}"/>
    <cellStyle name="60% - Accent4 4" xfId="12466" xr:uid="{00000000-0005-0000-0000-0000AE300000}"/>
    <cellStyle name="60% - Accent4 5" xfId="12467" xr:uid="{00000000-0005-0000-0000-0000AF300000}"/>
    <cellStyle name="60% - Accent4 6" xfId="12468" xr:uid="{00000000-0005-0000-0000-0000B0300000}"/>
    <cellStyle name="60% - Accent4 7" xfId="12469" xr:uid="{00000000-0005-0000-0000-0000B1300000}"/>
    <cellStyle name="60% - Accent4 8" xfId="12470" xr:uid="{00000000-0005-0000-0000-0000B2300000}"/>
    <cellStyle name="60% - Accent4 9" xfId="12471" xr:uid="{00000000-0005-0000-0000-0000B3300000}"/>
    <cellStyle name="60% - Accent5 10" xfId="12472" xr:uid="{00000000-0005-0000-0000-0000B4300000}"/>
    <cellStyle name="60% - Accent5 11" xfId="12473" xr:uid="{00000000-0005-0000-0000-0000B5300000}"/>
    <cellStyle name="60% - Accent5 12" xfId="12474" xr:uid="{00000000-0005-0000-0000-0000B6300000}"/>
    <cellStyle name="60% - Accent5 13" xfId="12475" xr:uid="{00000000-0005-0000-0000-0000B7300000}"/>
    <cellStyle name="60% - Accent5 2" xfId="12476" xr:uid="{00000000-0005-0000-0000-0000B8300000}"/>
    <cellStyle name="60% - Accent5 3" xfId="12477" xr:uid="{00000000-0005-0000-0000-0000B9300000}"/>
    <cellStyle name="60% - Accent5 4" xfId="12478" xr:uid="{00000000-0005-0000-0000-0000BA300000}"/>
    <cellStyle name="60% - Accent5 5" xfId="12479" xr:uid="{00000000-0005-0000-0000-0000BB300000}"/>
    <cellStyle name="60% - Accent5 6" xfId="12480" xr:uid="{00000000-0005-0000-0000-0000BC300000}"/>
    <cellStyle name="60% - Accent5 7" xfId="12481" xr:uid="{00000000-0005-0000-0000-0000BD300000}"/>
    <cellStyle name="60% - Accent5 8" xfId="12482" xr:uid="{00000000-0005-0000-0000-0000BE300000}"/>
    <cellStyle name="60% - Accent5 9" xfId="12483" xr:uid="{00000000-0005-0000-0000-0000BF300000}"/>
    <cellStyle name="60% - Accent6 10" xfId="12484" xr:uid="{00000000-0005-0000-0000-0000C0300000}"/>
    <cellStyle name="60% - Accent6 11" xfId="12485" xr:uid="{00000000-0005-0000-0000-0000C1300000}"/>
    <cellStyle name="60% - Accent6 12" xfId="12486" xr:uid="{00000000-0005-0000-0000-0000C2300000}"/>
    <cellStyle name="60% - Accent6 13" xfId="12487" xr:uid="{00000000-0005-0000-0000-0000C3300000}"/>
    <cellStyle name="60% - Accent6 2" xfId="12488" xr:uid="{00000000-0005-0000-0000-0000C4300000}"/>
    <cellStyle name="60% - Accent6 3" xfId="12489" xr:uid="{00000000-0005-0000-0000-0000C5300000}"/>
    <cellStyle name="60% - Accent6 4" xfId="12490" xr:uid="{00000000-0005-0000-0000-0000C6300000}"/>
    <cellStyle name="60% - Accent6 5" xfId="12491" xr:uid="{00000000-0005-0000-0000-0000C7300000}"/>
    <cellStyle name="60% - Accent6 6" xfId="12492" xr:uid="{00000000-0005-0000-0000-0000C8300000}"/>
    <cellStyle name="60% - Accent6 7" xfId="12493" xr:uid="{00000000-0005-0000-0000-0000C9300000}"/>
    <cellStyle name="60% - Accent6 8" xfId="12494" xr:uid="{00000000-0005-0000-0000-0000CA300000}"/>
    <cellStyle name="60% - Accent6 9" xfId="12495" xr:uid="{00000000-0005-0000-0000-0000CB300000}"/>
    <cellStyle name="Accent1 10" xfId="12496" xr:uid="{00000000-0005-0000-0000-0000CC300000}"/>
    <cellStyle name="Accent1 11" xfId="12497" xr:uid="{00000000-0005-0000-0000-0000CD300000}"/>
    <cellStyle name="Accent1 12" xfId="12498" xr:uid="{00000000-0005-0000-0000-0000CE300000}"/>
    <cellStyle name="Accent1 13" xfId="12499" xr:uid="{00000000-0005-0000-0000-0000CF300000}"/>
    <cellStyle name="Accent1 2" xfId="12500" xr:uid="{00000000-0005-0000-0000-0000D0300000}"/>
    <cellStyle name="Accent1 3" xfId="12501" xr:uid="{00000000-0005-0000-0000-0000D1300000}"/>
    <cellStyle name="Accent1 4" xfId="12502" xr:uid="{00000000-0005-0000-0000-0000D2300000}"/>
    <cellStyle name="Accent1 5" xfId="12503" xr:uid="{00000000-0005-0000-0000-0000D3300000}"/>
    <cellStyle name="Accent1 6" xfId="12504" xr:uid="{00000000-0005-0000-0000-0000D4300000}"/>
    <cellStyle name="Accent1 7" xfId="12505" xr:uid="{00000000-0005-0000-0000-0000D5300000}"/>
    <cellStyle name="Accent1 8" xfId="12506" xr:uid="{00000000-0005-0000-0000-0000D6300000}"/>
    <cellStyle name="Accent1 9" xfId="12507" xr:uid="{00000000-0005-0000-0000-0000D7300000}"/>
    <cellStyle name="Accent2 10" xfId="12508" xr:uid="{00000000-0005-0000-0000-0000D8300000}"/>
    <cellStyle name="Accent2 11" xfId="12509" xr:uid="{00000000-0005-0000-0000-0000D9300000}"/>
    <cellStyle name="Accent2 12" xfId="12510" xr:uid="{00000000-0005-0000-0000-0000DA300000}"/>
    <cellStyle name="Accent2 13" xfId="12511" xr:uid="{00000000-0005-0000-0000-0000DB300000}"/>
    <cellStyle name="Accent2 2" xfId="12512" xr:uid="{00000000-0005-0000-0000-0000DC300000}"/>
    <cellStyle name="Accent2 3" xfId="12513" xr:uid="{00000000-0005-0000-0000-0000DD300000}"/>
    <cellStyle name="Accent2 4" xfId="12514" xr:uid="{00000000-0005-0000-0000-0000DE300000}"/>
    <cellStyle name="Accent2 5" xfId="12515" xr:uid="{00000000-0005-0000-0000-0000DF300000}"/>
    <cellStyle name="Accent2 6" xfId="12516" xr:uid="{00000000-0005-0000-0000-0000E0300000}"/>
    <cellStyle name="Accent2 7" xfId="12517" xr:uid="{00000000-0005-0000-0000-0000E1300000}"/>
    <cellStyle name="Accent2 8" xfId="12518" xr:uid="{00000000-0005-0000-0000-0000E2300000}"/>
    <cellStyle name="Accent2 9" xfId="12519" xr:uid="{00000000-0005-0000-0000-0000E3300000}"/>
    <cellStyle name="Accent3 10" xfId="12520" xr:uid="{00000000-0005-0000-0000-0000E4300000}"/>
    <cellStyle name="Accent3 11" xfId="12521" xr:uid="{00000000-0005-0000-0000-0000E5300000}"/>
    <cellStyle name="Accent3 12" xfId="12522" xr:uid="{00000000-0005-0000-0000-0000E6300000}"/>
    <cellStyle name="Accent3 13" xfId="12523" xr:uid="{00000000-0005-0000-0000-0000E7300000}"/>
    <cellStyle name="Accent3 2" xfId="12524" xr:uid="{00000000-0005-0000-0000-0000E8300000}"/>
    <cellStyle name="Accent3 3" xfId="12525" xr:uid="{00000000-0005-0000-0000-0000E9300000}"/>
    <cellStyle name="Accent3 4" xfId="12526" xr:uid="{00000000-0005-0000-0000-0000EA300000}"/>
    <cellStyle name="Accent3 5" xfId="12527" xr:uid="{00000000-0005-0000-0000-0000EB300000}"/>
    <cellStyle name="Accent3 6" xfId="12528" xr:uid="{00000000-0005-0000-0000-0000EC300000}"/>
    <cellStyle name="Accent3 7" xfId="12529" xr:uid="{00000000-0005-0000-0000-0000ED300000}"/>
    <cellStyle name="Accent3 8" xfId="12530" xr:uid="{00000000-0005-0000-0000-0000EE300000}"/>
    <cellStyle name="Accent3 9" xfId="12531" xr:uid="{00000000-0005-0000-0000-0000EF300000}"/>
    <cellStyle name="Accent4 10" xfId="12532" xr:uid="{00000000-0005-0000-0000-0000F0300000}"/>
    <cellStyle name="Accent4 11" xfId="12533" xr:uid="{00000000-0005-0000-0000-0000F1300000}"/>
    <cellStyle name="Accent4 12" xfId="12534" xr:uid="{00000000-0005-0000-0000-0000F2300000}"/>
    <cellStyle name="Accent4 13" xfId="12535" xr:uid="{00000000-0005-0000-0000-0000F3300000}"/>
    <cellStyle name="Accent4 2" xfId="12536" xr:uid="{00000000-0005-0000-0000-0000F4300000}"/>
    <cellStyle name="Accent4 3" xfId="12537" xr:uid="{00000000-0005-0000-0000-0000F5300000}"/>
    <cellStyle name="Accent4 4" xfId="12538" xr:uid="{00000000-0005-0000-0000-0000F6300000}"/>
    <cellStyle name="Accent4 5" xfId="12539" xr:uid="{00000000-0005-0000-0000-0000F7300000}"/>
    <cellStyle name="Accent4 6" xfId="12540" xr:uid="{00000000-0005-0000-0000-0000F8300000}"/>
    <cellStyle name="Accent4 7" xfId="12541" xr:uid="{00000000-0005-0000-0000-0000F9300000}"/>
    <cellStyle name="Accent4 8" xfId="12542" xr:uid="{00000000-0005-0000-0000-0000FA300000}"/>
    <cellStyle name="Accent4 9" xfId="12543" xr:uid="{00000000-0005-0000-0000-0000FB300000}"/>
    <cellStyle name="Accent5 10" xfId="12544" xr:uid="{00000000-0005-0000-0000-0000FC300000}"/>
    <cellStyle name="Accent5 11" xfId="12545" xr:uid="{00000000-0005-0000-0000-0000FD300000}"/>
    <cellStyle name="Accent5 12" xfId="12546" xr:uid="{00000000-0005-0000-0000-0000FE300000}"/>
    <cellStyle name="Accent5 13" xfId="12547" xr:uid="{00000000-0005-0000-0000-0000FF300000}"/>
    <cellStyle name="Accent5 2" xfId="12548" xr:uid="{00000000-0005-0000-0000-000000310000}"/>
    <cellStyle name="Accent5 3" xfId="12549" xr:uid="{00000000-0005-0000-0000-000001310000}"/>
    <cellStyle name="Accent5 4" xfId="12550" xr:uid="{00000000-0005-0000-0000-000002310000}"/>
    <cellStyle name="Accent5 5" xfId="12551" xr:uid="{00000000-0005-0000-0000-000003310000}"/>
    <cellStyle name="Accent5 6" xfId="12552" xr:uid="{00000000-0005-0000-0000-000004310000}"/>
    <cellStyle name="Accent5 7" xfId="12553" xr:uid="{00000000-0005-0000-0000-000005310000}"/>
    <cellStyle name="Accent5 8" xfId="12554" xr:uid="{00000000-0005-0000-0000-000006310000}"/>
    <cellStyle name="Accent5 9" xfId="12555" xr:uid="{00000000-0005-0000-0000-000007310000}"/>
    <cellStyle name="Accent6 10" xfId="12556" xr:uid="{00000000-0005-0000-0000-000008310000}"/>
    <cellStyle name="Accent6 11" xfId="12557" xr:uid="{00000000-0005-0000-0000-000009310000}"/>
    <cellStyle name="Accent6 12" xfId="12558" xr:uid="{00000000-0005-0000-0000-00000A310000}"/>
    <cellStyle name="Accent6 13" xfId="12559" xr:uid="{00000000-0005-0000-0000-00000B310000}"/>
    <cellStyle name="Accent6 2" xfId="12560" xr:uid="{00000000-0005-0000-0000-00000C310000}"/>
    <cellStyle name="Accent6 3" xfId="12561" xr:uid="{00000000-0005-0000-0000-00000D310000}"/>
    <cellStyle name="Accent6 4" xfId="12562" xr:uid="{00000000-0005-0000-0000-00000E310000}"/>
    <cellStyle name="Accent6 5" xfId="12563" xr:uid="{00000000-0005-0000-0000-00000F310000}"/>
    <cellStyle name="Accent6 6" xfId="12564" xr:uid="{00000000-0005-0000-0000-000010310000}"/>
    <cellStyle name="Accent6 7" xfId="12565" xr:uid="{00000000-0005-0000-0000-000011310000}"/>
    <cellStyle name="Accent6 8" xfId="12566" xr:uid="{00000000-0005-0000-0000-000012310000}"/>
    <cellStyle name="Accent6 9" xfId="12567" xr:uid="{00000000-0005-0000-0000-000013310000}"/>
    <cellStyle name="Bad 10" xfId="12568" xr:uid="{00000000-0005-0000-0000-000014310000}"/>
    <cellStyle name="Bad 11" xfId="12569" xr:uid="{00000000-0005-0000-0000-000015310000}"/>
    <cellStyle name="Bad 12" xfId="12570" xr:uid="{00000000-0005-0000-0000-000016310000}"/>
    <cellStyle name="Bad 13" xfId="12571" xr:uid="{00000000-0005-0000-0000-000017310000}"/>
    <cellStyle name="Bad 2" xfId="12572" xr:uid="{00000000-0005-0000-0000-000018310000}"/>
    <cellStyle name="Bad 3" xfId="12573" xr:uid="{00000000-0005-0000-0000-000019310000}"/>
    <cellStyle name="Bad 4" xfId="12574" xr:uid="{00000000-0005-0000-0000-00001A310000}"/>
    <cellStyle name="Bad 5" xfId="12575" xr:uid="{00000000-0005-0000-0000-00001B310000}"/>
    <cellStyle name="Bad 6" xfId="12576" xr:uid="{00000000-0005-0000-0000-00001C310000}"/>
    <cellStyle name="Bad 7" xfId="12577" xr:uid="{00000000-0005-0000-0000-00001D310000}"/>
    <cellStyle name="Bad 8" xfId="12578" xr:uid="{00000000-0005-0000-0000-00001E310000}"/>
    <cellStyle name="Bad 9" xfId="12579" xr:uid="{00000000-0005-0000-0000-00001F310000}"/>
    <cellStyle name="Calculation 10" xfId="12580" xr:uid="{00000000-0005-0000-0000-000020310000}"/>
    <cellStyle name="Calculation 11" xfId="12581" xr:uid="{00000000-0005-0000-0000-000021310000}"/>
    <cellStyle name="Calculation 12" xfId="12582" xr:uid="{00000000-0005-0000-0000-000022310000}"/>
    <cellStyle name="Calculation 13" xfId="12583" xr:uid="{00000000-0005-0000-0000-000023310000}"/>
    <cellStyle name="Calculation 2" xfId="12584" xr:uid="{00000000-0005-0000-0000-000024310000}"/>
    <cellStyle name="Calculation 3" xfId="12585" xr:uid="{00000000-0005-0000-0000-000025310000}"/>
    <cellStyle name="Calculation 4" xfId="12586" xr:uid="{00000000-0005-0000-0000-000026310000}"/>
    <cellStyle name="Calculation 5" xfId="12587" xr:uid="{00000000-0005-0000-0000-000027310000}"/>
    <cellStyle name="Calculation 6" xfId="12588" xr:uid="{00000000-0005-0000-0000-000028310000}"/>
    <cellStyle name="Calculation 7" xfId="12589" xr:uid="{00000000-0005-0000-0000-000029310000}"/>
    <cellStyle name="Calculation 8" xfId="12590" xr:uid="{00000000-0005-0000-0000-00002A310000}"/>
    <cellStyle name="Calculation 9" xfId="12591" xr:uid="{00000000-0005-0000-0000-00002B310000}"/>
    <cellStyle name="Check Cell 10" xfId="12592" xr:uid="{00000000-0005-0000-0000-00002C310000}"/>
    <cellStyle name="Check Cell 11" xfId="12593" xr:uid="{00000000-0005-0000-0000-00002D310000}"/>
    <cellStyle name="Check Cell 12" xfId="12594" xr:uid="{00000000-0005-0000-0000-00002E310000}"/>
    <cellStyle name="Check Cell 13" xfId="12595" xr:uid="{00000000-0005-0000-0000-00002F310000}"/>
    <cellStyle name="Check Cell 2" xfId="12596" xr:uid="{00000000-0005-0000-0000-000030310000}"/>
    <cellStyle name="Check Cell 3" xfId="12597" xr:uid="{00000000-0005-0000-0000-000031310000}"/>
    <cellStyle name="Check Cell 4" xfId="12598" xr:uid="{00000000-0005-0000-0000-000032310000}"/>
    <cellStyle name="Check Cell 5" xfId="12599" xr:uid="{00000000-0005-0000-0000-000033310000}"/>
    <cellStyle name="Check Cell 6" xfId="12600" xr:uid="{00000000-0005-0000-0000-000034310000}"/>
    <cellStyle name="Check Cell 7" xfId="12601" xr:uid="{00000000-0005-0000-0000-000035310000}"/>
    <cellStyle name="Check Cell 8" xfId="12602" xr:uid="{00000000-0005-0000-0000-000036310000}"/>
    <cellStyle name="Check Cell 9" xfId="12603" xr:uid="{00000000-0005-0000-0000-000037310000}"/>
    <cellStyle name="Comma" xfId="17072" builtinId="3"/>
    <cellStyle name="Comma 2" xfId="12604" xr:uid="{00000000-0005-0000-0000-000039310000}"/>
    <cellStyle name="Comma 2 2" xfId="12605" xr:uid="{00000000-0005-0000-0000-00003A310000}"/>
    <cellStyle name="Comma 2 3" xfId="12606" xr:uid="{00000000-0005-0000-0000-00003B310000}"/>
    <cellStyle name="Comma 3" xfId="12607" xr:uid="{00000000-0005-0000-0000-00003C310000}"/>
    <cellStyle name="Comma 3 2" xfId="12608" xr:uid="{00000000-0005-0000-0000-00003D310000}"/>
    <cellStyle name="Comma 4" xfId="12609" xr:uid="{00000000-0005-0000-0000-00003E310000}"/>
    <cellStyle name="Currency" xfId="17074" builtinId="4"/>
    <cellStyle name="Currency 10" xfId="12610" xr:uid="{00000000-0005-0000-0000-00003F310000}"/>
    <cellStyle name="Currency 11" xfId="12611" xr:uid="{00000000-0005-0000-0000-000040310000}"/>
    <cellStyle name="Currency 12" xfId="12612" xr:uid="{00000000-0005-0000-0000-000041310000}"/>
    <cellStyle name="Currency 13" xfId="12613" xr:uid="{00000000-0005-0000-0000-000042310000}"/>
    <cellStyle name="Currency 14" xfId="12614" xr:uid="{00000000-0005-0000-0000-000043310000}"/>
    <cellStyle name="Currency 15" xfId="12615" xr:uid="{00000000-0005-0000-0000-000044310000}"/>
    <cellStyle name="Currency 16" xfId="12616" xr:uid="{00000000-0005-0000-0000-000045310000}"/>
    <cellStyle name="Currency 2" xfId="12617" xr:uid="{00000000-0005-0000-0000-000046310000}"/>
    <cellStyle name="Currency 2 2" xfId="12618" xr:uid="{00000000-0005-0000-0000-000047310000}"/>
    <cellStyle name="Currency 2 3" xfId="12619" xr:uid="{00000000-0005-0000-0000-000048310000}"/>
    <cellStyle name="Currency 2 4" xfId="3" xr:uid="{00000000-0005-0000-0000-000049310000}"/>
    <cellStyle name="Currency 3" xfId="12620" xr:uid="{00000000-0005-0000-0000-00004A310000}"/>
    <cellStyle name="Currency 3 2" xfId="12621" xr:uid="{00000000-0005-0000-0000-00004B310000}"/>
    <cellStyle name="Currency 3 3" xfId="12622" xr:uid="{00000000-0005-0000-0000-00004C310000}"/>
    <cellStyle name="Currency 3 4" xfId="12623" xr:uid="{00000000-0005-0000-0000-00004D310000}"/>
    <cellStyle name="Currency 4" xfId="12624" xr:uid="{00000000-0005-0000-0000-00004E310000}"/>
    <cellStyle name="Currency 4 2" xfId="12625" xr:uid="{00000000-0005-0000-0000-00004F310000}"/>
    <cellStyle name="Currency 5" xfId="12626" xr:uid="{00000000-0005-0000-0000-000050310000}"/>
    <cellStyle name="Currency 6" xfId="12627" xr:uid="{00000000-0005-0000-0000-000051310000}"/>
    <cellStyle name="Currency 7" xfId="12628" xr:uid="{00000000-0005-0000-0000-000052310000}"/>
    <cellStyle name="Currency 8" xfId="12629" xr:uid="{00000000-0005-0000-0000-000053310000}"/>
    <cellStyle name="Currency 9" xfId="12630" xr:uid="{00000000-0005-0000-0000-000054310000}"/>
    <cellStyle name="Explanatory Text 10" xfId="12631" xr:uid="{00000000-0005-0000-0000-000055310000}"/>
    <cellStyle name="Explanatory Text 11" xfId="12632" xr:uid="{00000000-0005-0000-0000-000056310000}"/>
    <cellStyle name="Explanatory Text 12" xfId="12633" xr:uid="{00000000-0005-0000-0000-000057310000}"/>
    <cellStyle name="Explanatory Text 13" xfId="12634" xr:uid="{00000000-0005-0000-0000-000058310000}"/>
    <cellStyle name="Explanatory Text 2" xfId="12635" xr:uid="{00000000-0005-0000-0000-000059310000}"/>
    <cellStyle name="Explanatory Text 3" xfId="12636" xr:uid="{00000000-0005-0000-0000-00005A310000}"/>
    <cellStyle name="Explanatory Text 4" xfId="12637" xr:uid="{00000000-0005-0000-0000-00005B310000}"/>
    <cellStyle name="Explanatory Text 5" xfId="12638" xr:uid="{00000000-0005-0000-0000-00005C310000}"/>
    <cellStyle name="Explanatory Text 6" xfId="12639" xr:uid="{00000000-0005-0000-0000-00005D310000}"/>
    <cellStyle name="Explanatory Text 7" xfId="12640" xr:uid="{00000000-0005-0000-0000-00005E310000}"/>
    <cellStyle name="Explanatory Text 8" xfId="12641" xr:uid="{00000000-0005-0000-0000-00005F310000}"/>
    <cellStyle name="Explanatory Text 9" xfId="12642" xr:uid="{00000000-0005-0000-0000-000060310000}"/>
    <cellStyle name="Good 10" xfId="12643" xr:uid="{00000000-0005-0000-0000-000061310000}"/>
    <cellStyle name="Good 11" xfId="12644" xr:uid="{00000000-0005-0000-0000-000062310000}"/>
    <cellStyle name="Good 12" xfId="12645" xr:uid="{00000000-0005-0000-0000-000063310000}"/>
    <cellStyle name="Good 13" xfId="12646" xr:uid="{00000000-0005-0000-0000-000064310000}"/>
    <cellStyle name="Good 2" xfId="12647" xr:uid="{00000000-0005-0000-0000-000065310000}"/>
    <cellStyle name="Good 3" xfId="12648" xr:uid="{00000000-0005-0000-0000-000066310000}"/>
    <cellStyle name="Good 4" xfId="12649" xr:uid="{00000000-0005-0000-0000-000067310000}"/>
    <cellStyle name="Good 5" xfId="12650" xr:uid="{00000000-0005-0000-0000-000068310000}"/>
    <cellStyle name="Good 6" xfId="12651" xr:uid="{00000000-0005-0000-0000-000069310000}"/>
    <cellStyle name="Good 7" xfId="12652" xr:uid="{00000000-0005-0000-0000-00006A310000}"/>
    <cellStyle name="Good 8" xfId="12653" xr:uid="{00000000-0005-0000-0000-00006B310000}"/>
    <cellStyle name="Good 9" xfId="12654" xr:uid="{00000000-0005-0000-0000-00006C310000}"/>
    <cellStyle name="Heading 1 10" xfId="12655" xr:uid="{00000000-0005-0000-0000-00006D310000}"/>
    <cellStyle name="Heading 1 11" xfId="12656" xr:uid="{00000000-0005-0000-0000-00006E310000}"/>
    <cellStyle name="Heading 1 12" xfId="12657" xr:uid="{00000000-0005-0000-0000-00006F310000}"/>
    <cellStyle name="Heading 1 13" xfId="12658" xr:uid="{00000000-0005-0000-0000-000070310000}"/>
    <cellStyle name="Heading 1 2" xfId="12659" xr:uid="{00000000-0005-0000-0000-000071310000}"/>
    <cellStyle name="Heading 1 3" xfId="12660" xr:uid="{00000000-0005-0000-0000-000072310000}"/>
    <cellStyle name="Heading 1 4" xfId="12661" xr:uid="{00000000-0005-0000-0000-000073310000}"/>
    <cellStyle name="Heading 1 5" xfId="12662" xr:uid="{00000000-0005-0000-0000-000074310000}"/>
    <cellStyle name="Heading 1 6" xfId="12663" xr:uid="{00000000-0005-0000-0000-000075310000}"/>
    <cellStyle name="Heading 1 7" xfId="12664" xr:uid="{00000000-0005-0000-0000-000076310000}"/>
    <cellStyle name="Heading 1 8" xfId="12665" xr:uid="{00000000-0005-0000-0000-000077310000}"/>
    <cellStyle name="Heading 1 9" xfId="12666" xr:uid="{00000000-0005-0000-0000-000078310000}"/>
    <cellStyle name="Heading 2 10" xfId="12667" xr:uid="{00000000-0005-0000-0000-000079310000}"/>
    <cellStyle name="Heading 2 11" xfId="12668" xr:uid="{00000000-0005-0000-0000-00007A310000}"/>
    <cellStyle name="Heading 2 12" xfId="12669" xr:uid="{00000000-0005-0000-0000-00007B310000}"/>
    <cellStyle name="Heading 2 13" xfId="12670" xr:uid="{00000000-0005-0000-0000-00007C310000}"/>
    <cellStyle name="Heading 2 2" xfId="12671" xr:uid="{00000000-0005-0000-0000-00007D310000}"/>
    <cellStyle name="Heading 2 3" xfId="12672" xr:uid="{00000000-0005-0000-0000-00007E310000}"/>
    <cellStyle name="Heading 2 4" xfId="12673" xr:uid="{00000000-0005-0000-0000-00007F310000}"/>
    <cellStyle name="Heading 2 5" xfId="12674" xr:uid="{00000000-0005-0000-0000-000080310000}"/>
    <cellStyle name="Heading 2 6" xfId="12675" xr:uid="{00000000-0005-0000-0000-000081310000}"/>
    <cellStyle name="Heading 2 7" xfId="12676" xr:uid="{00000000-0005-0000-0000-000082310000}"/>
    <cellStyle name="Heading 2 8" xfId="12677" xr:uid="{00000000-0005-0000-0000-000083310000}"/>
    <cellStyle name="Heading 2 9" xfId="12678" xr:uid="{00000000-0005-0000-0000-000084310000}"/>
    <cellStyle name="Heading 3 10" xfId="12679" xr:uid="{00000000-0005-0000-0000-000085310000}"/>
    <cellStyle name="Heading 3 11" xfId="12680" xr:uid="{00000000-0005-0000-0000-000086310000}"/>
    <cellStyle name="Heading 3 12" xfId="12681" xr:uid="{00000000-0005-0000-0000-000087310000}"/>
    <cellStyle name="Heading 3 13" xfId="12682" xr:uid="{00000000-0005-0000-0000-000088310000}"/>
    <cellStyle name="Heading 3 2" xfId="12683" xr:uid="{00000000-0005-0000-0000-000089310000}"/>
    <cellStyle name="Heading 3 3" xfId="12684" xr:uid="{00000000-0005-0000-0000-00008A310000}"/>
    <cellStyle name="Heading 3 4" xfId="12685" xr:uid="{00000000-0005-0000-0000-00008B310000}"/>
    <cellStyle name="Heading 3 5" xfId="12686" xr:uid="{00000000-0005-0000-0000-00008C310000}"/>
    <cellStyle name="Heading 3 6" xfId="12687" xr:uid="{00000000-0005-0000-0000-00008D310000}"/>
    <cellStyle name="Heading 3 7" xfId="12688" xr:uid="{00000000-0005-0000-0000-00008E310000}"/>
    <cellStyle name="Heading 3 8" xfId="12689" xr:uid="{00000000-0005-0000-0000-00008F310000}"/>
    <cellStyle name="Heading 3 9" xfId="12690" xr:uid="{00000000-0005-0000-0000-000090310000}"/>
    <cellStyle name="Heading 4 10" xfId="12691" xr:uid="{00000000-0005-0000-0000-000091310000}"/>
    <cellStyle name="Heading 4 11" xfId="12692" xr:uid="{00000000-0005-0000-0000-000092310000}"/>
    <cellStyle name="Heading 4 12" xfId="12693" xr:uid="{00000000-0005-0000-0000-000093310000}"/>
    <cellStyle name="Heading 4 13" xfId="12694" xr:uid="{00000000-0005-0000-0000-000094310000}"/>
    <cellStyle name="Heading 4 2" xfId="12695" xr:uid="{00000000-0005-0000-0000-000095310000}"/>
    <cellStyle name="Heading 4 3" xfId="12696" xr:uid="{00000000-0005-0000-0000-000096310000}"/>
    <cellStyle name="Heading 4 4" xfId="12697" xr:uid="{00000000-0005-0000-0000-000097310000}"/>
    <cellStyle name="Heading 4 5" xfId="12698" xr:uid="{00000000-0005-0000-0000-000098310000}"/>
    <cellStyle name="Heading 4 6" xfId="12699" xr:uid="{00000000-0005-0000-0000-000099310000}"/>
    <cellStyle name="Heading 4 7" xfId="12700" xr:uid="{00000000-0005-0000-0000-00009A310000}"/>
    <cellStyle name="Heading 4 8" xfId="12701" xr:uid="{00000000-0005-0000-0000-00009B310000}"/>
    <cellStyle name="Heading 4 9" xfId="12702" xr:uid="{00000000-0005-0000-0000-00009C310000}"/>
    <cellStyle name="Hyperlink 2" xfId="17071" xr:uid="{00000000-0005-0000-0000-00009D310000}"/>
    <cellStyle name="Input 10" xfId="12703" xr:uid="{00000000-0005-0000-0000-00009E310000}"/>
    <cellStyle name="Input 11" xfId="12704" xr:uid="{00000000-0005-0000-0000-00009F310000}"/>
    <cellStyle name="Input 12" xfId="12705" xr:uid="{00000000-0005-0000-0000-0000A0310000}"/>
    <cellStyle name="Input 13" xfId="12706" xr:uid="{00000000-0005-0000-0000-0000A1310000}"/>
    <cellStyle name="Input 2" xfId="12707" xr:uid="{00000000-0005-0000-0000-0000A2310000}"/>
    <cellStyle name="Input 3" xfId="12708" xr:uid="{00000000-0005-0000-0000-0000A3310000}"/>
    <cellStyle name="Input 4" xfId="12709" xr:uid="{00000000-0005-0000-0000-0000A4310000}"/>
    <cellStyle name="Input 5" xfId="12710" xr:uid="{00000000-0005-0000-0000-0000A5310000}"/>
    <cellStyle name="Input 6" xfId="12711" xr:uid="{00000000-0005-0000-0000-0000A6310000}"/>
    <cellStyle name="Input 7" xfId="12712" xr:uid="{00000000-0005-0000-0000-0000A7310000}"/>
    <cellStyle name="Input 8" xfId="12713" xr:uid="{00000000-0005-0000-0000-0000A8310000}"/>
    <cellStyle name="Input 9" xfId="12714" xr:uid="{00000000-0005-0000-0000-0000A9310000}"/>
    <cellStyle name="Linked Cell 10" xfId="12715" xr:uid="{00000000-0005-0000-0000-0000AA310000}"/>
    <cellStyle name="Linked Cell 11" xfId="12716" xr:uid="{00000000-0005-0000-0000-0000AB310000}"/>
    <cellStyle name="Linked Cell 12" xfId="12717" xr:uid="{00000000-0005-0000-0000-0000AC310000}"/>
    <cellStyle name="Linked Cell 13" xfId="12718" xr:uid="{00000000-0005-0000-0000-0000AD310000}"/>
    <cellStyle name="Linked Cell 2" xfId="12719" xr:uid="{00000000-0005-0000-0000-0000AE310000}"/>
    <cellStyle name="Linked Cell 3" xfId="12720" xr:uid="{00000000-0005-0000-0000-0000AF310000}"/>
    <cellStyle name="Linked Cell 4" xfId="12721" xr:uid="{00000000-0005-0000-0000-0000B0310000}"/>
    <cellStyle name="Linked Cell 5" xfId="12722" xr:uid="{00000000-0005-0000-0000-0000B1310000}"/>
    <cellStyle name="Linked Cell 6" xfId="12723" xr:uid="{00000000-0005-0000-0000-0000B2310000}"/>
    <cellStyle name="Linked Cell 7" xfId="12724" xr:uid="{00000000-0005-0000-0000-0000B3310000}"/>
    <cellStyle name="Linked Cell 8" xfId="12725" xr:uid="{00000000-0005-0000-0000-0000B4310000}"/>
    <cellStyle name="Linked Cell 9" xfId="12726" xr:uid="{00000000-0005-0000-0000-0000B5310000}"/>
    <cellStyle name="Neutral 10" xfId="12727" xr:uid="{00000000-0005-0000-0000-0000B6310000}"/>
    <cellStyle name="Neutral 11" xfId="12728" xr:uid="{00000000-0005-0000-0000-0000B7310000}"/>
    <cellStyle name="Neutral 12" xfId="12729" xr:uid="{00000000-0005-0000-0000-0000B8310000}"/>
    <cellStyle name="Neutral 13" xfId="12730" xr:uid="{00000000-0005-0000-0000-0000B9310000}"/>
    <cellStyle name="Neutral 2" xfId="12731" xr:uid="{00000000-0005-0000-0000-0000BA310000}"/>
    <cellStyle name="Neutral 3" xfId="12732" xr:uid="{00000000-0005-0000-0000-0000BB310000}"/>
    <cellStyle name="Neutral 4" xfId="12733" xr:uid="{00000000-0005-0000-0000-0000BC310000}"/>
    <cellStyle name="Neutral 5" xfId="12734" xr:uid="{00000000-0005-0000-0000-0000BD310000}"/>
    <cellStyle name="Neutral 6" xfId="12735" xr:uid="{00000000-0005-0000-0000-0000BE310000}"/>
    <cellStyle name="Neutral 7" xfId="12736" xr:uid="{00000000-0005-0000-0000-0000BF310000}"/>
    <cellStyle name="Neutral 8" xfId="12737" xr:uid="{00000000-0005-0000-0000-0000C0310000}"/>
    <cellStyle name="Neutral 9" xfId="12738" xr:uid="{00000000-0005-0000-0000-0000C1310000}"/>
    <cellStyle name="Normal" xfId="0" builtinId="0"/>
    <cellStyle name="Normal 10" xfId="2" xr:uid="{00000000-0005-0000-0000-0000C3310000}"/>
    <cellStyle name="Normal 11" xfId="12739" xr:uid="{00000000-0005-0000-0000-0000C4310000}"/>
    <cellStyle name="Normal 12" xfId="12740" xr:uid="{00000000-0005-0000-0000-0000C5310000}"/>
    <cellStyle name="Normal 13" xfId="12741" xr:uid="{00000000-0005-0000-0000-0000C6310000}"/>
    <cellStyle name="Normal 14" xfId="12742" xr:uid="{00000000-0005-0000-0000-0000C7310000}"/>
    <cellStyle name="Normal 15" xfId="12743" xr:uid="{00000000-0005-0000-0000-0000C8310000}"/>
    <cellStyle name="Normal 16" xfId="12744" xr:uid="{00000000-0005-0000-0000-0000C9310000}"/>
    <cellStyle name="Normal 17" xfId="12745" xr:uid="{00000000-0005-0000-0000-0000CA310000}"/>
    <cellStyle name="Normal 18" xfId="12746" xr:uid="{00000000-0005-0000-0000-0000CB310000}"/>
    <cellStyle name="Normal 19" xfId="12747" xr:uid="{00000000-0005-0000-0000-0000CC310000}"/>
    <cellStyle name="Normal 19 10" xfId="12748" xr:uid="{00000000-0005-0000-0000-0000CD310000}"/>
    <cellStyle name="Normal 19 2" xfId="12749" xr:uid="{00000000-0005-0000-0000-0000CE310000}"/>
    <cellStyle name="Normal 19 2 2" xfId="12750" xr:uid="{00000000-0005-0000-0000-0000CF310000}"/>
    <cellStyle name="Normal 19 2 2 2" xfId="12751" xr:uid="{00000000-0005-0000-0000-0000D0310000}"/>
    <cellStyle name="Normal 19 2 2 2 2" xfId="12752" xr:uid="{00000000-0005-0000-0000-0000D1310000}"/>
    <cellStyle name="Normal 19 2 2 2 2 2" xfId="12753" xr:uid="{00000000-0005-0000-0000-0000D2310000}"/>
    <cellStyle name="Normal 19 2 2 2 2 2 2" xfId="12754" xr:uid="{00000000-0005-0000-0000-0000D3310000}"/>
    <cellStyle name="Normal 19 2 2 2 2 2 2 2" xfId="12755" xr:uid="{00000000-0005-0000-0000-0000D4310000}"/>
    <cellStyle name="Normal 19 2 2 2 2 2 2 2 2" xfId="12756" xr:uid="{00000000-0005-0000-0000-0000D5310000}"/>
    <cellStyle name="Normal 19 2 2 2 2 2 2 2 2 2" xfId="12757" xr:uid="{00000000-0005-0000-0000-0000D6310000}"/>
    <cellStyle name="Normal 19 2 2 2 2 2 2 2 3" xfId="12758" xr:uid="{00000000-0005-0000-0000-0000D7310000}"/>
    <cellStyle name="Normal 19 2 2 2 2 2 2 3" xfId="12759" xr:uid="{00000000-0005-0000-0000-0000D8310000}"/>
    <cellStyle name="Normal 19 2 2 2 2 2 2 3 2" xfId="12760" xr:uid="{00000000-0005-0000-0000-0000D9310000}"/>
    <cellStyle name="Normal 19 2 2 2 2 2 2 4" xfId="12761" xr:uid="{00000000-0005-0000-0000-0000DA310000}"/>
    <cellStyle name="Normal 19 2 2 2 2 2 3" xfId="12762" xr:uid="{00000000-0005-0000-0000-0000DB310000}"/>
    <cellStyle name="Normal 19 2 2 2 2 2 3 2" xfId="12763" xr:uid="{00000000-0005-0000-0000-0000DC310000}"/>
    <cellStyle name="Normal 19 2 2 2 2 2 3 2 2" xfId="12764" xr:uid="{00000000-0005-0000-0000-0000DD310000}"/>
    <cellStyle name="Normal 19 2 2 2 2 2 3 3" xfId="12765" xr:uid="{00000000-0005-0000-0000-0000DE310000}"/>
    <cellStyle name="Normal 19 2 2 2 2 2 4" xfId="12766" xr:uid="{00000000-0005-0000-0000-0000DF310000}"/>
    <cellStyle name="Normal 19 2 2 2 2 2 4 2" xfId="12767" xr:uid="{00000000-0005-0000-0000-0000E0310000}"/>
    <cellStyle name="Normal 19 2 2 2 2 2 5" xfId="12768" xr:uid="{00000000-0005-0000-0000-0000E1310000}"/>
    <cellStyle name="Normal 19 2 2 2 2 3" xfId="12769" xr:uid="{00000000-0005-0000-0000-0000E2310000}"/>
    <cellStyle name="Normal 19 2 2 2 2 3 2" xfId="12770" xr:uid="{00000000-0005-0000-0000-0000E3310000}"/>
    <cellStyle name="Normal 19 2 2 2 2 3 2 2" xfId="12771" xr:uid="{00000000-0005-0000-0000-0000E4310000}"/>
    <cellStyle name="Normal 19 2 2 2 2 3 2 2 2" xfId="12772" xr:uid="{00000000-0005-0000-0000-0000E5310000}"/>
    <cellStyle name="Normal 19 2 2 2 2 3 2 3" xfId="12773" xr:uid="{00000000-0005-0000-0000-0000E6310000}"/>
    <cellStyle name="Normal 19 2 2 2 2 3 3" xfId="12774" xr:uid="{00000000-0005-0000-0000-0000E7310000}"/>
    <cellStyle name="Normal 19 2 2 2 2 3 3 2" xfId="12775" xr:uid="{00000000-0005-0000-0000-0000E8310000}"/>
    <cellStyle name="Normal 19 2 2 2 2 3 4" xfId="12776" xr:uid="{00000000-0005-0000-0000-0000E9310000}"/>
    <cellStyle name="Normal 19 2 2 2 2 4" xfId="12777" xr:uid="{00000000-0005-0000-0000-0000EA310000}"/>
    <cellStyle name="Normal 19 2 2 2 2 4 2" xfId="12778" xr:uid="{00000000-0005-0000-0000-0000EB310000}"/>
    <cellStyle name="Normal 19 2 2 2 2 4 2 2" xfId="12779" xr:uid="{00000000-0005-0000-0000-0000EC310000}"/>
    <cellStyle name="Normal 19 2 2 2 2 4 3" xfId="12780" xr:uid="{00000000-0005-0000-0000-0000ED310000}"/>
    <cellStyle name="Normal 19 2 2 2 2 5" xfId="12781" xr:uid="{00000000-0005-0000-0000-0000EE310000}"/>
    <cellStyle name="Normal 19 2 2 2 2 5 2" xfId="12782" xr:uid="{00000000-0005-0000-0000-0000EF310000}"/>
    <cellStyle name="Normal 19 2 2 2 2 6" xfId="12783" xr:uid="{00000000-0005-0000-0000-0000F0310000}"/>
    <cellStyle name="Normal 19 2 2 2 3" xfId="12784" xr:uid="{00000000-0005-0000-0000-0000F1310000}"/>
    <cellStyle name="Normal 19 2 2 2 3 2" xfId="12785" xr:uid="{00000000-0005-0000-0000-0000F2310000}"/>
    <cellStyle name="Normal 19 2 2 2 3 2 2" xfId="12786" xr:uid="{00000000-0005-0000-0000-0000F3310000}"/>
    <cellStyle name="Normal 19 2 2 2 3 2 2 2" xfId="12787" xr:uid="{00000000-0005-0000-0000-0000F4310000}"/>
    <cellStyle name="Normal 19 2 2 2 3 2 2 2 2" xfId="12788" xr:uid="{00000000-0005-0000-0000-0000F5310000}"/>
    <cellStyle name="Normal 19 2 2 2 3 2 2 3" xfId="12789" xr:uid="{00000000-0005-0000-0000-0000F6310000}"/>
    <cellStyle name="Normal 19 2 2 2 3 2 3" xfId="12790" xr:uid="{00000000-0005-0000-0000-0000F7310000}"/>
    <cellStyle name="Normal 19 2 2 2 3 2 3 2" xfId="12791" xr:uid="{00000000-0005-0000-0000-0000F8310000}"/>
    <cellStyle name="Normal 19 2 2 2 3 2 4" xfId="12792" xr:uid="{00000000-0005-0000-0000-0000F9310000}"/>
    <cellStyle name="Normal 19 2 2 2 3 3" xfId="12793" xr:uid="{00000000-0005-0000-0000-0000FA310000}"/>
    <cellStyle name="Normal 19 2 2 2 3 3 2" xfId="12794" xr:uid="{00000000-0005-0000-0000-0000FB310000}"/>
    <cellStyle name="Normal 19 2 2 2 3 3 2 2" xfId="12795" xr:uid="{00000000-0005-0000-0000-0000FC310000}"/>
    <cellStyle name="Normal 19 2 2 2 3 3 3" xfId="12796" xr:uid="{00000000-0005-0000-0000-0000FD310000}"/>
    <cellStyle name="Normal 19 2 2 2 3 4" xfId="12797" xr:uid="{00000000-0005-0000-0000-0000FE310000}"/>
    <cellStyle name="Normal 19 2 2 2 3 4 2" xfId="12798" xr:uid="{00000000-0005-0000-0000-0000FF310000}"/>
    <cellStyle name="Normal 19 2 2 2 3 5" xfId="12799" xr:uid="{00000000-0005-0000-0000-000000320000}"/>
    <cellStyle name="Normal 19 2 2 2 4" xfId="12800" xr:uid="{00000000-0005-0000-0000-000001320000}"/>
    <cellStyle name="Normal 19 2 2 2 4 2" xfId="12801" xr:uid="{00000000-0005-0000-0000-000002320000}"/>
    <cellStyle name="Normal 19 2 2 2 4 2 2" xfId="12802" xr:uid="{00000000-0005-0000-0000-000003320000}"/>
    <cellStyle name="Normal 19 2 2 2 4 2 2 2" xfId="12803" xr:uid="{00000000-0005-0000-0000-000004320000}"/>
    <cellStyle name="Normal 19 2 2 2 4 2 3" xfId="12804" xr:uid="{00000000-0005-0000-0000-000005320000}"/>
    <cellStyle name="Normal 19 2 2 2 4 3" xfId="12805" xr:uid="{00000000-0005-0000-0000-000006320000}"/>
    <cellStyle name="Normal 19 2 2 2 4 3 2" xfId="12806" xr:uid="{00000000-0005-0000-0000-000007320000}"/>
    <cellStyle name="Normal 19 2 2 2 4 4" xfId="12807" xr:uid="{00000000-0005-0000-0000-000008320000}"/>
    <cellStyle name="Normal 19 2 2 2 5" xfId="12808" xr:uid="{00000000-0005-0000-0000-000009320000}"/>
    <cellStyle name="Normal 19 2 2 2 5 2" xfId="12809" xr:uid="{00000000-0005-0000-0000-00000A320000}"/>
    <cellStyle name="Normal 19 2 2 2 5 2 2" xfId="12810" xr:uid="{00000000-0005-0000-0000-00000B320000}"/>
    <cellStyle name="Normal 19 2 2 2 5 3" xfId="12811" xr:uid="{00000000-0005-0000-0000-00000C320000}"/>
    <cellStyle name="Normal 19 2 2 2 6" xfId="12812" xr:uid="{00000000-0005-0000-0000-00000D320000}"/>
    <cellStyle name="Normal 19 2 2 2 6 2" xfId="12813" xr:uid="{00000000-0005-0000-0000-00000E320000}"/>
    <cellStyle name="Normal 19 2 2 2 7" xfId="12814" xr:uid="{00000000-0005-0000-0000-00000F320000}"/>
    <cellStyle name="Normal 19 2 2 3" xfId="12815" xr:uid="{00000000-0005-0000-0000-000010320000}"/>
    <cellStyle name="Normal 19 2 2 3 2" xfId="12816" xr:uid="{00000000-0005-0000-0000-000011320000}"/>
    <cellStyle name="Normal 19 2 2 3 2 2" xfId="12817" xr:uid="{00000000-0005-0000-0000-000012320000}"/>
    <cellStyle name="Normal 19 2 2 3 2 2 2" xfId="12818" xr:uid="{00000000-0005-0000-0000-000013320000}"/>
    <cellStyle name="Normal 19 2 2 3 2 2 2 2" xfId="12819" xr:uid="{00000000-0005-0000-0000-000014320000}"/>
    <cellStyle name="Normal 19 2 2 3 2 2 2 2 2" xfId="12820" xr:uid="{00000000-0005-0000-0000-000015320000}"/>
    <cellStyle name="Normal 19 2 2 3 2 2 2 3" xfId="12821" xr:uid="{00000000-0005-0000-0000-000016320000}"/>
    <cellStyle name="Normal 19 2 2 3 2 2 3" xfId="12822" xr:uid="{00000000-0005-0000-0000-000017320000}"/>
    <cellStyle name="Normal 19 2 2 3 2 2 3 2" xfId="12823" xr:uid="{00000000-0005-0000-0000-000018320000}"/>
    <cellStyle name="Normal 19 2 2 3 2 2 4" xfId="12824" xr:uid="{00000000-0005-0000-0000-000019320000}"/>
    <cellStyle name="Normal 19 2 2 3 2 3" xfId="12825" xr:uid="{00000000-0005-0000-0000-00001A320000}"/>
    <cellStyle name="Normal 19 2 2 3 2 3 2" xfId="12826" xr:uid="{00000000-0005-0000-0000-00001B320000}"/>
    <cellStyle name="Normal 19 2 2 3 2 3 2 2" xfId="12827" xr:uid="{00000000-0005-0000-0000-00001C320000}"/>
    <cellStyle name="Normal 19 2 2 3 2 3 3" xfId="12828" xr:uid="{00000000-0005-0000-0000-00001D320000}"/>
    <cellStyle name="Normal 19 2 2 3 2 4" xfId="12829" xr:uid="{00000000-0005-0000-0000-00001E320000}"/>
    <cellStyle name="Normal 19 2 2 3 2 4 2" xfId="12830" xr:uid="{00000000-0005-0000-0000-00001F320000}"/>
    <cellStyle name="Normal 19 2 2 3 2 5" xfId="12831" xr:uid="{00000000-0005-0000-0000-000020320000}"/>
    <cellStyle name="Normal 19 2 2 3 3" xfId="12832" xr:uid="{00000000-0005-0000-0000-000021320000}"/>
    <cellStyle name="Normal 19 2 2 3 3 2" xfId="12833" xr:uid="{00000000-0005-0000-0000-000022320000}"/>
    <cellStyle name="Normal 19 2 2 3 3 2 2" xfId="12834" xr:uid="{00000000-0005-0000-0000-000023320000}"/>
    <cellStyle name="Normal 19 2 2 3 3 2 2 2" xfId="12835" xr:uid="{00000000-0005-0000-0000-000024320000}"/>
    <cellStyle name="Normal 19 2 2 3 3 2 3" xfId="12836" xr:uid="{00000000-0005-0000-0000-000025320000}"/>
    <cellStyle name="Normal 19 2 2 3 3 3" xfId="12837" xr:uid="{00000000-0005-0000-0000-000026320000}"/>
    <cellStyle name="Normal 19 2 2 3 3 3 2" xfId="12838" xr:uid="{00000000-0005-0000-0000-000027320000}"/>
    <cellStyle name="Normal 19 2 2 3 3 4" xfId="12839" xr:uid="{00000000-0005-0000-0000-000028320000}"/>
    <cellStyle name="Normal 19 2 2 3 4" xfId="12840" xr:uid="{00000000-0005-0000-0000-000029320000}"/>
    <cellStyle name="Normal 19 2 2 3 4 2" xfId="12841" xr:uid="{00000000-0005-0000-0000-00002A320000}"/>
    <cellStyle name="Normal 19 2 2 3 4 2 2" xfId="12842" xr:uid="{00000000-0005-0000-0000-00002B320000}"/>
    <cellStyle name="Normal 19 2 2 3 4 3" xfId="12843" xr:uid="{00000000-0005-0000-0000-00002C320000}"/>
    <cellStyle name="Normal 19 2 2 3 5" xfId="12844" xr:uid="{00000000-0005-0000-0000-00002D320000}"/>
    <cellStyle name="Normal 19 2 2 3 5 2" xfId="12845" xr:uid="{00000000-0005-0000-0000-00002E320000}"/>
    <cellStyle name="Normal 19 2 2 3 6" xfId="12846" xr:uid="{00000000-0005-0000-0000-00002F320000}"/>
    <cellStyle name="Normal 19 2 2 4" xfId="12847" xr:uid="{00000000-0005-0000-0000-000030320000}"/>
    <cellStyle name="Normal 19 2 2 4 2" xfId="12848" xr:uid="{00000000-0005-0000-0000-000031320000}"/>
    <cellStyle name="Normal 19 2 2 4 2 2" xfId="12849" xr:uid="{00000000-0005-0000-0000-000032320000}"/>
    <cellStyle name="Normal 19 2 2 4 2 2 2" xfId="12850" xr:uid="{00000000-0005-0000-0000-000033320000}"/>
    <cellStyle name="Normal 19 2 2 4 2 2 2 2" xfId="12851" xr:uid="{00000000-0005-0000-0000-000034320000}"/>
    <cellStyle name="Normal 19 2 2 4 2 2 3" xfId="12852" xr:uid="{00000000-0005-0000-0000-000035320000}"/>
    <cellStyle name="Normal 19 2 2 4 2 3" xfId="12853" xr:uid="{00000000-0005-0000-0000-000036320000}"/>
    <cellStyle name="Normal 19 2 2 4 2 3 2" xfId="12854" xr:uid="{00000000-0005-0000-0000-000037320000}"/>
    <cellStyle name="Normal 19 2 2 4 2 4" xfId="12855" xr:uid="{00000000-0005-0000-0000-000038320000}"/>
    <cellStyle name="Normal 19 2 2 4 3" xfId="12856" xr:uid="{00000000-0005-0000-0000-000039320000}"/>
    <cellStyle name="Normal 19 2 2 4 3 2" xfId="12857" xr:uid="{00000000-0005-0000-0000-00003A320000}"/>
    <cellStyle name="Normal 19 2 2 4 3 2 2" xfId="12858" xr:uid="{00000000-0005-0000-0000-00003B320000}"/>
    <cellStyle name="Normal 19 2 2 4 3 3" xfId="12859" xr:uid="{00000000-0005-0000-0000-00003C320000}"/>
    <cellStyle name="Normal 19 2 2 4 4" xfId="12860" xr:uid="{00000000-0005-0000-0000-00003D320000}"/>
    <cellStyle name="Normal 19 2 2 4 4 2" xfId="12861" xr:uid="{00000000-0005-0000-0000-00003E320000}"/>
    <cellStyle name="Normal 19 2 2 4 5" xfId="12862" xr:uid="{00000000-0005-0000-0000-00003F320000}"/>
    <cellStyle name="Normal 19 2 2 5" xfId="12863" xr:uid="{00000000-0005-0000-0000-000040320000}"/>
    <cellStyle name="Normal 19 2 2 5 2" xfId="12864" xr:uid="{00000000-0005-0000-0000-000041320000}"/>
    <cellStyle name="Normal 19 2 2 5 2 2" xfId="12865" xr:uid="{00000000-0005-0000-0000-000042320000}"/>
    <cellStyle name="Normal 19 2 2 5 2 2 2" xfId="12866" xr:uid="{00000000-0005-0000-0000-000043320000}"/>
    <cellStyle name="Normal 19 2 2 5 2 3" xfId="12867" xr:uid="{00000000-0005-0000-0000-000044320000}"/>
    <cellStyle name="Normal 19 2 2 5 3" xfId="12868" xr:uid="{00000000-0005-0000-0000-000045320000}"/>
    <cellStyle name="Normal 19 2 2 5 3 2" xfId="12869" xr:uid="{00000000-0005-0000-0000-000046320000}"/>
    <cellStyle name="Normal 19 2 2 5 4" xfId="12870" xr:uid="{00000000-0005-0000-0000-000047320000}"/>
    <cellStyle name="Normal 19 2 2 6" xfId="12871" xr:uid="{00000000-0005-0000-0000-000048320000}"/>
    <cellStyle name="Normal 19 2 2 6 2" xfId="12872" xr:uid="{00000000-0005-0000-0000-000049320000}"/>
    <cellStyle name="Normal 19 2 2 6 2 2" xfId="12873" xr:uid="{00000000-0005-0000-0000-00004A320000}"/>
    <cellStyle name="Normal 19 2 2 6 3" xfId="12874" xr:uid="{00000000-0005-0000-0000-00004B320000}"/>
    <cellStyle name="Normal 19 2 2 7" xfId="12875" xr:uid="{00000000-0005-0000-0000-00004C320000}"/>
    <cellStyle name="Normal 19 2 2 7 2" xfId="12876" xr:uid="{00000000-0005-0000-0000-00004D320000}"/>
    <cellStyle name="Normal 19 2 2 8" xfId="12877" xr:uid="{00000000-0005-0000-0000-00004E320000}"/>
    <cellStyle name="Normal 19 2 3" xfId="12878" xr:uid="{00000000-0005-0000-0000-00004F320000}"/>
    <cellStyle name="Normal 19 2 3 2" xfId="12879" xr:uid="{00000000-0005-0000-0000-000050320000}"/>
    <cellStyle name="Normal 19 2 3 2 2" xfId="12880" xr:uid="{00000000-0005-0000-0000-000051320000}"/>
    <cellStyle name="Normal 19 2 3 2 2 2" xfId="12881" xr:uid="{00000000-0005-0000-0000-000052320000}"/>
    <cellStyle name="Normal 19 2 3 2 2 2 2" xfId="12882" xr:uid="{00000000-0005-0000-0000-000053320000}"/>
    <cellStyle name="Normal 19 2 3 2 2 2 2 2" xfId="12883" xr:uid="{00000000-0005-0000-0000-000054320000}"/>
    <cellStyle name="Normal 19 2 3 2 2 2 2 2 2" xfId="12884" xr:uid="{00000000-0005-0000-0000-000055320000}"/>
    <cellStyle name="Normal 19 2 3 2 2 2 2 3" xfId="12885" xr:uid="{00000000-0005-0000-0000-000056320000}"/>
    <cellStyle name="Normal 19 2 3 2 2 2 3" xfId="12886" xr:uid="{00000000-0005-0000-0000-000057320000}"/>
    <cellStyle name="Normal 19 2 3 2 2 2 3 2" xfId="12887" xr:uid="{00000000-0005-0000-0000-000058320000}"/>
    <cellStyle name="Normal 19 2 3 2 2 2 4" xfId="12888" xr:uid="{00000000-0005-0000-0000-000059320000}"/>
    <cellStyle name="Normal 19 2 3 2 2 3" xfId="12889" xr:uid="{00000000-0005-0000-0000-00005A320000}"/>
    <cellStyle name="Normal 19 2 3 2 2 3 2" xfId="12890" xr:uid="{00000000-0005-0000-0000-00005B320000}"/>
    <cellStyle name="Normal 19 2 3 2 2 3 2 2" xfId="12891" xr:uid="{00000000-0005-0000-0000-00005C320000}"/>
    <cellStyle name="Normal 19 2 3 2 2 3 3" xfId="12892" xr:uid="{00000000-0005-0000-0000-00005D320000}"/>
    <cellStyle name="Normal 19 2 3 2 2 4" xfId="12893" xr:uid="{00000000-0005-0000-0000-00005E320000}"/>
    <cellStyle name="Normal 19 2 3 2 2 4 2" xfId="12894" xr:uid="{00000000-0005-0000-0000-00005F320000}"/>
    <cellStyle name="Normal 19 2 3 2 2 5" xfId="12895" xr:uid="{00000000-0005-0000-0000-000060320000}"/>
    <cellStyle name="Normal 19 2 3 2 3" xfId="12896" xr:uid="{00000000-0005-0000-0000-000061320000}"/>
    <cellStyle name="Normal 19 2 3 2 3 2" xfId="12897" xr:uid="{00000000-0005-0000-0000-000062320000}"/>
    <cellStyle name="Normal 19 2 3 2 3 2 2" xfId="12898" xr:uid="{00000000-0005-0000-0000-000063320000}"/>
    <cellStyle name="Normal 19 2 3 2 3 2 2 2" xfId="12899" xr:uid="{00000000-0005-0000-0000-000064320000}"/>
    <cellStyle name="Normal 19 2 3 2 3 2 3" xfId="12900" xr:uid="{00000000-0005-0000-0000-000065320000}"/>
    <cellStyle name="Normal 19 2 3 2 3 3" xfId="12901" xr:uid="{00000000-0005-0000-0000-000066320000}"/>
    <cellStyle name="Normal 19 2 3 2 3 3 2" xfId="12902" xr:uid="{00000000-0005-0000-0000-000067320000}"/>
    <cellStyle name="Normal 19 2 3 2 3 4" xfId="12903" xr:uid="{00000000-0005-0000-0000-000068320000}"/>
    <cellStyle name="Normal 19 2 3 2 4" xfId="12904" xr:uid="{00000000-0005-0000-0000-000069320000}"/>
    <cellStyle name="Normal 19 2 3 2 4 2" xfId="12905" xr:uid="{00000000-0005-0000-0000-00006A320000}"/>
    <cellStyle name="Normal 19 2 3 2 4 2 2" xfId="12906" xr:uid="{00000000-0005-0000-0000-00006B320000}"/>
    <cellStyle name="Normal 19 2 3 2 4 3" xfId="12907" xr:uid="{00000000-0005-0000-0000-00006C320000}"/>
    <cellStyle name="Normal 19 2 3 2 5" xfId="12908" xr:uid="{00000000-0005-0000-0000-00006D320000}"/>
    <cellStyle name="Normal 19 2 3 2 5 2" xfId="12909" xr:uid="{00000000-0005-0000-0000-00006E320000}"/>
    <cellStyle name="Normal 19 2 3 2 6" xfId="12910" xr:uid="{00000000-0005-0000-0000-00006F320000}"/>
    <cellStyle name="Normal 19 2 3 3" xfId="12911" xr:uid="{00000000-0005-0000-0000-000070320000}"/>
    <cellStyle name="Normal 19 2 3 3 2" xfId="12912" xr:uid="{00000000-0005-0000-0000-000071320000}"/>
    <cellStyle name="Normal 19 2 3 3 2 2" xfId="12913" xr:uid="{00000000-0005-0000-0000-000072320000}"/>
    <cellStyle name="Normal 19 2 3 3 2 2 2" xfId="12914" xr:uid="{00000000-0005-0000-0000-000073320000}"/>
    <cellStyle name="Normal 19 2 3 3 2 2 2 2" xfId="12915" xr:uid="{00000000-0005-0000-0000-000074320000}"/>
    <cellStyle name="Normal 19 2 3 3 2 2 3" xfId="12916" xr:uid="{00000000-0005-0000-0000-000075320000}"/>
    <cellStyle name="Normal 19 2 3 3 2 3" xfId="12917" xr:uid="{00000000-0005-0000-0000-000076320000}"/>
    <cellStyle name="Normal 19 2 3 3 2 3 2" xfId="12918" xr:uid="{00000000-0005-0000-0000-000077320000}"/>
    <cellStyle name="Normal 19 2 3 3 2 4" xfId="12919" xr:uid="{00000000-0005-0000-0000-000078320000}"/>
    <cellStyle name="Normal 19 2 3 3 3" xfId="12920" xr:uid="{00000000-0005-0000-0000-000079320000}"/>
    <cellStyle name="Normal 19 2 3 3 3 2" xfId="12921" xr:uid="{00000000-0005-0000-0000-00007A320000}"/>
    <cellStyle name="Normal 19 2 3 3 3 2 2" xfId="12922" xr:uid="{00000000-0005-0000-0000-00007B320000}"/>
    <cellStyle name="Normal 19 2 3 3 3 3" xfId="12923" xr:uid="{00000000-0005-0000-0000-00007C320000}"/>
    <cellStyle name="Normal 19 2 3 3 4" xfId="12924" xr:uid="{00000000-0005-0000-0000-00007D320000}"/>
    <cellStyle name="Normal 19 2 3 3 4 2" xfId="12925" xr:uid="{00000000-0005-0000-0000-00007E320000}"/>
    <cellStyle name="Normal 19 2 3 3 5" xfId="12926" xr:uid="{00000000-0005-0000-0000-00007F320000}"/>
    <cellStyle name="Normal 19 2 3 4" xfId="12927" xr:uid="{00000000-0005-0000-0000-000080320000}"/>
    <cellStyle name="Normal 19 2 3 4 2" xfId="12928" xr:uid="{00000000-0005-0000-0000-000081320000}"/>
    <cellStyle name="Normal 19 2 3 4 2 2" xfId="12929" xr:uid="{00000000-0005-0000-0000-000082320000}"/>
    <cellStyle name="Normal 19 2 3 4 2 2 2" xfId="12930" xr:uid="{00000000-0005-0000-0000-000083320000}"/>
    <cellStyle name="Normal 19 2 3 4 2 3" xfId="12931" xr:uid="{00000000-0005-0000-0000-000084320000}"/>
    <cellStyle name="Normal 19 2 3 4 3" xfId="12932" xr:uid="{00000000-0005-0000-0000-000085320000}"/>
    <cellStyle name="Normal 19 2 3 4 3 2" xfId="12933" xr:uid="{00000000-0005-0000-0000-000086320000}"/>
    <cellStyle name="Normal 19 2 3 4 4" xfId="12934" xr:uid="{00000000-0005-0000-0000-000087320000}"/>
    <cellStyle name="Normal 19 2 3 5" xfId="12935" xr:uid="{00000000-0005-0000-0000-000088320000}"/>
    <cellStyle name="Normal 19 2 3 5 2" xfId="12936" xr:uid="{00000000-0005-0000-0000-000089320000}"/>
    <cellStyle name="Normal 19 2 3 5 2 2" xfId="12937" xr:uid="{00000000-0005-0000-0000-00008A320000}"/>
    <cellStyle name="Normal 19 2 3 5 3" xfId="12938" xr:uid="{00000000-0005-0000-0000-00008B320000}"/>
    <cellStyle name="Normal 19 2 3 6" xfId="12939" xr:uid="{00000000-0005-0000-0000-00008C320000}"/>
    <cellStyle name="Normal 19 2 3 6 2" xfId="12940" xr:uid="{00000000-0005-0000-0000-00008D320000}"/>
    <cellStyle name="Normal 19 2 3 7" xfId="12941" xr:uid="{00000000-0005-0000-0000-00008E320000}"/>
    <cellStyle name="Normal 19 2 4" xfId="12942" xr:uid="{00000000-0005-0000-0000-00008F320000}"/>
    <cellStyle name="Normal 19 2 4 2" xfId="12943" xr:uid="{00000000-0005-0000-0000-000090320000}"/>
    <cellStyle name="Normal 19 2 4 2 2" xfId="12944" xr:uid="{00000000-0005-0000-0000-000091320000}"/>
    <cellStyle name="Normal 19 2 4 2 2 2" xfId="12945" xr:uid="{00000000-0005-0000-0000-000092320000}"/>
    <cellStyle name="Normal 19 2 4 2 2 2 2" xfId="12946" xr:uid="{00000000-0005-0000-0000-000093320000}"/>
    <cellStyle name="Normal 19 2 4 2 2 2 2 2" xfId="12947" xr:uid="{00000000-0005-0000-0000-000094320000}"/>
    <cellStyle name="Normal 19 2 4 2 2 2 3" xfId="12948" xr:uid="{00000000-0005-0000-0000-000095320000}"/>
    <cellStyle name="Normal 19 2 4 2 2 3" xfId="12949" xr:uid="{00000000-0005-0000-0000-000096320000}"/>
    <cellStyle name="Normal 19 2 4 2 2 3 2" xfId="12950" xr:uid="{00000000-0005-0000-0000-000097320000}"/>
    <cellStyle name="Normal 19 2 4 2 2 4" xfId="12951" xr:uid="{00000000-0005-0000-0000-000098320000}"/>
    <cellStyle name="Normal 19 2 4 2 3" xfId="12952" xr:uid="{00000000-0005-0000-0000-000099320000}"/>
    <cellStyle name="Normal 19 2 4 2 3 2" xfId="12953" xr:uid="{00000000-0005-0000-0000-00009A320000}"/>
    <cellStyle name="Normal 19 2 4 2 3 2 2" xfId="12954" xr:uid="{00000000-0005-0000-0000-00009B320000}"/>
    <cellStyle name="Normal 19 2 4 2 3 3" xfId="12955" xr:uid="{00000000-0005-0000-0000-00009C320000}"/>
    <cellStyle name="Normal 19 2 4 2 4" xfId="12956" xr:uid="{00000000-0005-0000-0000-00009D320000}"/>
    <cellStyle name="Normal 19 2 4 2 4 2" xfId="12957" xr:uid="{00000000-0005-0000-0000-00009E320000}"/>
    <cellStyle name="Normal 19 2 4 2 5" xfId="12958" xr:uid="{00000000-0005-0000-0000-00009F320000}"/>
    <cellStyle name="Normal 19 2 4 3" xfId="12959" xr:uid="{00000000-0005-0000-0000-0000A0320000}"/>
    <cellStyle name="Normal 19 2 4 3 2" xfId="12960" xr:uid="{00000000-0005-0000-0000-0000A1320000}"/>
    <cellStyle name="Normal 19 2 4 3 2 2" xfId="12961" xr:uid="{00000000-0005-0000-0000-0000A2320000}"/>
    <cellStyle name="Normal 19 2 4 3 2 2 2" xfId="12962" xr:uid="{00000000-0005-0000-0000-0000A3320000}"/>
    <cellStyle name="Normal 19 2 4 3 2 3" xfId="12963" xr:uid="{00000000-0005-0000-0000-0000A4320000}"/>
    <cellStyle name="Normal 19 2 4 3 3" xfId="12964" xr:uid="{00000000-0005-0000-0000-0000A5320000}"/>
    <cellStyle name="Normal 19 2 4 3 3 2" xfId="12965" xr:uid="{00000000-0005-0000-0000-0000A6320000}"/>
    <cellStyle name="Normal 19 2 4 3 4" xfId="12966" xr:uid="{00000000-0005-0000-0000-0000A7320000}"/>
    <cellStyle name="Normal 19 2 4 4" xfId="12967" xr:uid="{00000000-0005-0000-0000-0000A8320000}"/>
    <cellStyle name="Normal 19 2 4 4 2" xfId="12968" xr:uid="{00000000-0005-0000-0000-0000A9320000}"/>
    <cellStyle name="Normal 19 2 4 4 2 2" xfId="12969" xr:uid="{00000000-0005-0000-0000-0000AA320000}"/>
    <cellStyle name="Normal 19 2 4 4 3" xfId="12970" xr:uid="{00000000-0005-0000-0000-0000AB320000}"/>
    <cellStyle name="Normal 19 2 4 5" xfId="12971" xr:uid="{00000000-0005-0000-0000-0000AC320000}"/>
    <cellStyle name="Normal 19 2 4 5 2" xfId="12972" xr:uid="{00000000-0005-0000-0000-0000AD320000}"/>
    <cellStyle name="Normal 19 2 4 6" xfId="12973" xr:uid="{00000000-0005-0000-0000-0000AE320000}"/>
    <cellStyle name="Normal 19 2 5" xfId="12974" xr:uid="{00000000-0005-0000-0000-0000AF320000}"/>
    <cellStyle name="Normal 19 2 5 2" xfId="12975" xr:uid="{00000000-0005-0000-0000-0000B0320000}"/>
    <cellStyle name="Normal 19 2 5 2 2" xfId="12976" xr:uid="{00000000-0005-0000-0000-0000B1320000}"/>
    <cellStyle name="Normal 19 2 5 2 2 2" xfId="12977" xr:uid="{00000000-0005-0000-0000-0000B2320000}"/>
    <cellStyle name="Normal 19 2 5 2 2 2 2" xfId="12978" xr:uid="{00000000-0005-0000-0000-0000B3320000}"/>
    <cellStyle name="Normal 19 2 5 2 2 3" xfId="12979" xr:uid="{00000000-0005-0000-0000-0000B4320000}"/>
    <cellStyle name="Normal 19 2 5 2 3" xfId="12980" xr:uid="{00000000-0005-0000-0000-0000B5320000}"/>
    <cellStyle name="Normal 19 2 5 2 3 2" xfId="12981" xr:uid="{00000000-0005-0000-0000-0000B6320000}"/>
    <cellStyle name="Normal 19 2 5 2 4" xfId="12982" xr:uid="{00000000-0005-0000-0000-0000B7320000}"/>
    <cellStyle name="Normal 19 2 5 3" xfId="12983" xr:uid="{00000000-0005-0000-0000-0000B8320000}"/>
    <cellStyle name="Normal 19 2 5 3 2" xfId="12984" xr:uid="{00000000-0005-0000-0000-0000B9320000}"/>
    <cellStyle name="Normal 19 2 5 3 2 2" xfId="12985" xr:uid="{00000000-0005-0000-0000-0000BA320000}"/>
    <cellStyle name="Normal 19 2 5 3 3" xfId="12986" xr:uid="{00000000-0005-0000-0000-0000BB320000}"/>
    <cellStyle name="Normal 19 2 5 4" xfId="12987" xr:uid="{00000000-0005-0000-0000-0000BC320000}"/>
    <cellStyle name="Normal 19 2 5 4 2" xfId="12988" xr:uid="{00000000-0005-0000-0000-0000BD320000}"/>
    <cellStyle name="Normal 19 2 5 5" xfId="12989" xr:uid="{00000000-0005-0000-0000-0000BE320000}"/>
    <cellStyle name="Normal 19 2 6" xfId="12990" xr:uid="{00000000-0005-0000-0000-0000BF320000}"/>
    <cellStyle name="Normal 19 2 6 2" xfId="12991" xr:uid="{00000000-0005-0000-0000-0000C0320000}"/>
    <cellStyle name="Normal 19 2 6 2 2" xfId="12992" xr:uid="{00000000-0005-0000-0000-0000C1320000}"/>
    <cellStyle name="Normal 19 2 6 2 2 2" xfId="12993" xr:uid="{00000000-0005-0000-0000-0000C2320000}"/>
    <cellStyle name="Normal 19 2 6 2 3" xfId="12994" xr:uid="{00000000-0005-0000-0000-0000C3320000}"/>
    <cellStyle name="Normal 19 2 6 3" xfId="12995" xr:uid="{00000000-0005-0000-0000-0000C4320000}"/>
    <cellStyle name="Normal 19 2 6 3 2" xfId="12996" xr:uid="{00000000-0005-0000-0000-0000C5320000}"/>
    <cellStyle name="Normal 19 2 6 4" xfId="12997" xr:uid="{00000000-0005-0000-0000-0000C6320000}"/>
    <cellStyle name="Normal 19 2 7" xfId="12998" xr:uid="{00000000-0005-0000-0000-0000C7320000}"/>
    <cellStyle name="Normal 19 2 7 2" xfId="12999" xr:uid="{00000000-0005-0000-0000-0000C8320000}"/>
    <cellStyle name="Normal 19 2 7 2 2" xfId="13000" xr:uid="{00000000-0005-0000-0000-0000C9320000}"/>
    <cellStyle name="Normal 19 2 7 3" xfId="13001" xr:uid="{00000000-0005-0000-0000-0000CA320000}"/>
    <cellStyle name="Normal 19 2 8" xfId="13002" xr:uid="{00000000-0005-0000-0000-0000CB320000}"/>
    <cellStyle name="Normal 19 2 8 2" xfId="13003" xr:uid="{00000000-0005-0000-0000-0000CC320000}"/>
    <cellStyle name="Normal 19 2 9" xfId="13004" xr:uid="{00000000-0005-0000-0000-0000CD320000}"/>
    <cellStyle name="Normal 19 3" xfId="13005" xr:uid="{00000000-0005-0000-0000-0000CE320000}"/>
    <cellStyle name="Normal 19 3 2" xfId="13006" xr:uid="{00000000-0005-0000-0000-0000CF320000}"/>
    <cellStyle name="Normal 19 3 2 2" xfId="13007" xr:uid="{00000000-0005-0000-0000-0000D0320000}"/>
    <cellStyle name="Normal 19 3 2 2 2" xfId="13008" xr:uid="{00000000-0005-0000-0000-0000D1320000}"/>
    <cellStyle name="Normal 19 3 2 2 2 2" xfId="13009" xr:uid="{00000000-0005-0000-0000-0000D2320000}"/>
    <cellStyle name="Normal 19 3 2 2 2 2 2" xfId="13010" xr:uid="{00000000-0005-0000-0000-0000D3320000}"/>
    <cellStyle name="Normal 19 3 2 2 2 2 2 2" xfId="13011" xr:uid="{00000000-0005-0000-0000-0000D4320000}"/>
    <cellStyle name="Normal 19 3 2 2 2 2 2 2 2" xfId="13012" xr:uid="{00000000-0005-0000-0000-0000D5320000}"/>
    <cellStyle name="Normal 19 3 2 2 2 2 2 3" xfId="13013" xr:uid="{00000000-0005-0000-0000-0000D6320000}"/>
    <cellStyle name="Normal 19 3 2 2 2 2 3" xfId="13014" xr:uid="{00000000-0005-0000-0000-0000D7320000}"/>
    <cellStyle name="Normal 19 3 2 2 2 2 3 2" xfId="13015" xr:uid="{00000000-0005-0000-0000-0000D8320000}"/>
    <cellStyle name="Normal 19 3 2 2 2 2 4" xfId="13016" xr:uid="{00000000-0005-0000-0000-0000D9320000}"/>
    <cellStyle name="Normal 19 3 2 2 2 3" xfId="13017" xr:uid="{00000000-0005-0000-0000-0000DA320000}"/>
    <cellStyle name="Normal 19 3 2 2 2 3 2" xfId="13018" xr:uid="{00000000-0005-0000-0000-0000DB320000}"/>
    <cellStyle name="Normal 19 3 2 2 2 3 2 2" xfId="13019" xr:uid="{00000000-0005-0000-0000-0000DC320000}"/>
    <cellStyle name="Normal 19 3 2 2 2 3 3" xfId="13020" xr:uid="{00000000-0005-0000-0000-0000DD320000}"/>
    <cellStyle name="Normal 19 3 2 2 2 4" xfId="13021" xr:uid="{00000000-0005-0000-0000-0000DE320000}"/>
    <cellStyle name="Normal 19 3 2 2 2 4 2" xfId="13022" xr:uid="{00000000-0005-0000-0000-0000DF320000}"/>
    <cellStyle name="Normal 19 3 2 2 2 5" xfId="13023" xr:uid="{00000000-0005-0000-0000-0000E0320000}"/>
    <cellStyle name="Normal 19 3 2 2 3" xfId="13024" xr:uid="{00000000-0005-0000-0000-0000E1320000}"/>
    <cellStyle name="Normal 19 3 2 2 3 2" xfId="13025" xr:uid="{00000000-0005-0000-0000-0000E2320000}"/>
    <cellStyle name="Normal 19 3 2 2 3 2 2" xfId="13026" xr:uid="{00000000-0005-0000-0000-0000E3320000}"/>
    <cellStyle name="Normal 19 3 2 2 3 2 2 2" xfId="13027" xr:uid="{00000000-0005-0000-0000-0000E4320000}"/>
    <cellStyle name="Normal 19 3 2 2 3 2 3" xfId="13028" xr:uid="{00000000-0005-0000-0000-0000E5320000}"/>
    <cellStyle name="Normal 19 3 2 2 3 3" xfId="13029" xr:uid="{00000000-0005-0000-0000-0000E6320000}"/>
    <cellStyle name="Normal 19 3 2 2 3 3 2" xfId="13030" xr:uid="{00000000-0005-0000-0000-0000E7320000}"/>
    <cellStyle name="Normal 19 3 2 2 3 4" xfId="13031" xr:uid="{00000000-0005-0000-0000-0000E8320000}"/>
    <cellStyle name="Normal 19 3 2 2 4" xfId="13032" xr:uid="{00000000-0005-0000-0000-0000E9320000}"/>
    <cellStyle name="Normal 19 3 2 2 4 2" xfId="13033" xr:uid="{00000000-0005-0000-0000-0000EA320000}"/>
    <cellStyle name="Normal 19 3 2 2 4 2 2" xfId="13034" xr:uid="{00000000-0005-0000-0000-0000EB320000}"/>
    <cellStyle name="Normal 19 3 2 2 4 3" xfId="13035" xr:uid="{00000000-0005-0000-0000-0000EC320000}"/>
    <cellStyle name="Normal 19 3 2 2 5" xfId="13036" xr:uid="{00000000-0005-0000-0000-0000ED320000}"/>
    <cellStyle name="Normal 19 3 2 2 5 2" xfId="13037" xr:uid="{00000000-0005-0000-0000-0000EE320000}"/>
    <cellStyle name="Normal 19 3 2 2 6" xfId="13038" xr:uid="{00000000-0005-0000-0000-0000EF320000}"/>
    <cellStyle name="Normal 19 3 2 3" xfId="13039" xr:uid="{00000000-0005-0000-0000-0000F0320000}"/>
    <cellStyle name="Normal 19 3 2 3 2" xfId="13040" xr:uid="{00000000-0005-0000-0000-0000F1320000}"/>
    <cellStyle name="Normal 19 3 2 3 2 2" xfId="13041" xr:uid="{00000000-0005-0000-0000-0000F2320000}"/>
    <cellStyle name="Normal 19 3 2 3 2 2 2" xfId="13042" xr:uid="{00000000-0005-0000-0000-0000F3320000}"/>
    <cellStyle name="Normal 19 3 2 3 2 2 2 2" xfId="13043" xr:uid="{00000000-0005-0000-0000-0000F4320000}"/>
    <cellStyle name="Normal 19 3 2 3 2 2 3" xfId="13044" xr:uid="{00000000-0005-0000-0000-0000F5320000}"/>
    <cellStyle name="Normal 19 3 2 3 2 3" xfId="13045" xr:uid="{00000000-0005-0000-0000-0000F6320000}"/>
    <cellStyle name="Normal 19 3 2 3 2 3 2" xfId="13046" xr:uid="{00000000-0005-0000-0000-0000F7320000}"/>
    <cellStyle name="Normal 19 3 2 3 2 4" xfId="13047" xr:uid="{00000000-0005-0000-0000-0000F8320000}"/>
    <cellStyle name="Normal 19 3 2 3 3" xfId="13048" xr:uid="{00000000-0005-0000-0000-0000F9320000}"/>
    <cellStyle name="Normal 19 3 2 3 3 2" xfId="13049" xr:uid="{00000000-0005-0000-0000-0000FA320000}"/>
    <cellStyle name="Normal 19 3 2 3 3 2 2" xfId="13050" xr:uid="{00000000-0005-0000-0000-0000FB320000}"/>
    <cellStyle name="Normal 19 3 2 3 3 3" xfId="13051" xr:uid="{00000000-0005-0000-0000-0000FC320000}"/>
    <cellStyle name="Normal 19 3 2 3 4" xfId="13052" xr:uid="{00000000-0005-0000-0000-0000FD320000}"/>
    <cellStyle name="Normal 19 3 2 3 4 2" xfId="13053" xr:uid="{00000000-0005-0000-0000-0000FE320000}"/>
    <cellStyle name="Normal 19 3 2 3 5" xfId="13054" xr:uid="{00000000-0005-0000-0000-0000FF320000}"/>
    <cellStyle name="Normal 19 3 2 4" xfId="13055" xr:uid="{00000000-0005-0000-0000-000000330000}"/>
    <cellStyle name="Normal 19 3 2 4 2" xfId="13056" xr:uid="{00000000-0005-0000-0000-000001330000}"/>
    <cellStyle name="Normal 19 3 2 4 2 2" xfId="13057" xr:uid="{00000000-0005-0000-0000-000002330000}"/>
    <cellStyle name="Normal 19 3 2 4 2 2 2" xfId="13058" xr:uid="{00000000-0005-0000-0000-000003330000}"/>
    <cellStyle name="Normal 19 3 2 4 2 3" xfId="13059" xr:uid="{00000000-0005-0000-0000-000004330000}"/>
    <cellStyle name="Normal 19 3 2 4 3" xfId="13060" xr:uid="{00000000-0005-0000-0000-000005330000}"/>
    <cellStyle name="Normal 19 3 2 4 3 2" xfId="13061" xr:uid="{00000000-0005-0000-0000-000006330000}"/>
    <cellStyle name="Normal 19 3 2 4 4" xfId="13062" xr:uid="{00000000-0005-0000-0000-000007330000}"/>
    <cellStyle name="Normal 19 3 2 5" xfId="13063" xr:uid="{00000000-0005-0000-0000-000008330000}"/>
    <cellStyle name="Normal 19 3 2 5 2" xfId="13064" xr:uid="{00000000-0005-0000-0000-000009330000}"/>
    <cellStyle name="Normal 19 3 2 5 2 2" xfId="13065" xr:uid="{00000000-0005-0000-0000-00000A330000}"/>
    <cellStyle name="Normal 19 3 2 5 3" xfId="13066" xr:uid="{00000000-0005-0000-0000-00000B330000}"/>
    <cellStyle name="Normal 19 3 2 6" xfId="13067" xr:uid="{00000000-0005-0000-0000-00000C330000}"/>
    <cellStyle name="Normal 19 3 2 6 2" xfId="13068" xr:uid="{00000000-0005-0000-0000-00000D330000}"/>
    <cellStyle name="Normal 19 3 2 7" xfId="13069" xr:uid="{00000000-0005-0000-0000-00000E330000}"/>
    <cellStyle name="Normal 19 3 3" xfId="13070" xr:uid="{00000000-0005-0000-0000-00000F330000}"/>
    <cellStyle name="Normal 19 3 3 2" xfId="13071" xr:uid="{00000000-0005-0000-0000-000010330000}"/>
    <cellStyle name="Normal 19 3 3 2 2" xfId="13072" xr:uid="{00000000-0005-0000-0000-000011330000}"/>
    <cellStyle name="Normal 19 3 3 2 2 2" xfId="13073" xr:uid="{00000000-0005-0000-0000-000012330000}"/>
    <cellStyle name="Normal 19 3 3 2 2 2 2" xfId="13074" xr:uid="{00000000-0005-0000-0000-000013330000}"/>
    <cellStyle name="Normal 19 3 3 2 2 2 2 2" xfId="13075" xr:uid="{00000000-0005-0000-0000-000014330000}"/>
    <cellStyle name="Normal 19 3 3 2 2 2 3" xfId="13076" xr:uid="{00000000-0005-0000-0000-000015330000}"/>
    <cellStyle name="Normal 19 3 3 2 2 3" xfId="13077" xr:uid="{00000000-0005-0000-0000-000016330000}"/>
    <cellStyle name="Normal 19 3 3 2 2 3 2" xfId="13078" xr:uid="{00000000-0005-0000-0000-000017330000}"/>
    <cellStyle name="Normal 19 3 3 2 2 4" xfId="13079" xr:uid="{00000000-0005-0000-0000-000018330000}"/>
    <cellStyle name="Normal 19 3 3 2 3" xfId="13080" xr:uid="{00000000-0005-0000-0000-000019330000}"/>
    <cellStyle name="Normal 19 3 3 2 3 2" xfId="13081" xr:uid="{00000000-0005-0000-0000-00001A330000}"/>
    <cellStyle name="Normal 19 3 3 2 3 2 2" xfId="13082" xr:uid="{00000000-0005-0000-0000-00001B330000}"/>
    <cellStyle name="Normal 19 3 3 2 3 3" xfId="13083" xr:uid="{00000000-0005-0000-0000-00001C330000}"/>
    <cellStyle name="Normal 19 3 3 2 4" xfId="13084" xr:uid="{00000000-0005-0000-0000-00001D330000}"/>
    <cellStyle name="Normal 19 3 3 2 4 2" xfId="13085" xr:uid="{00000000-0005-0000-0000-00001E330000}"/>
    <cellStyle name="Normal 19 3 3 2 5" xfId="13086" xr:uid="{00000000-0005-0000-0000-00001F330000}"/>
    <cellStyle name="Normal 19 3 3 3" xfId="13087" xr:uid="{00000000-0005-0000-0000-000020330000}"/>
    <cellStyle name="Normal 19 3 3 3 2" xfId="13088" xr:uid="{00000000-0005-0000-0000-000021330000}"/>
    <cellStyle name="Normal 19 3 3 3 2 2" xfId="13089" xr:uid="{00000000-0005-0000-0000-000022330000}"/>
    <cellStyle name="Normal 19 3 3 3 2 2 2" xfId="13090" xr:uid="{00000000-0005-0000-0000-000023330000}"/>
    <cellStyle name="Normal 19 3 3 3 2 3" xfId="13091" xr:uid="{00000000-0005-0000-0000-000024330000}"/>
    <cellStyle name="Normal 19 3 3 3 3" xfId="13092" xr:uid="{00000000-0005-0000-0000-000025330000}"/>
    <cellStyle name="Normal 19 3 3 3 3 2" xfId="13093" xr:uid="{00000000-0005-0000-0000-000026330000}"/>
    <cellStyle name="Normal 19 3 3 3 4" xfId="13094" xr:uid="{00000000-0005-0000-0000-000027330000}"/>
    <cellStyle name="Normal 19 3 3 4" xfId="13095" xr:uid="{00000000-0005-0000-0000-000028330000}"/>
    <cellStyle name="Normal 19 3 3 4 2" xfId="13096" xr:uid="{00000000-0005-0000-0000-000029330000}"/>
    <cellStyle name="Normal 19 3 3 4 2 2" xfId="13097" xr:uid="{00000000-0005-0000-0000-00002A330000}"/>
    <cellStyle name="Normal 19 3 3 4 3" xfId="13098" xr:uid="{00000000-0005-0000-0000-00002B330000}"/>
    <cellStyle name="Normal 19 3 3 5" xfId="13099" xr:uid="{00000000-0005-0000-0000-00002C330000}"/>
    <cellStyle name="Normal 19 3 3 5 2" xfId="13100" xr:uid="{00000000-0005-0000-0000-00002D330000}"/>
    <cellStyle name="Normal 19 3 3 6" xfId="13101" xr:uid="{00000000-0005-0000-0000-00002E330000}"/>
    <cellStyle name="Normal 19 3 4" xfId="13102" xr:uid="{00000000-0005-0000-0000-00002F330000}"/>
    <cellStyle name="Normal 19 3 4 2" xfId="13103" xr:uid="{00000000-0005-0000-0000-000030330000}"/>
    <cellStyle name="Normal 19 3 4 2 2" xfId="13104" xr:uid="{00000000-0005-0000-0000-000031330000}"/>
    <cellStyle name="Normal 19 3 4 2 2 2" xfId="13105" xr:uid="{00000000-0005-0000-0000-000032330000}"/>
    <cellStyle name="Normal 19 3 4 2 2 2 2" xfId="13106" xr:uid="{00000000-0005-0000-0000-000033330000}"/>
    <cellStyle name="Normal 19 3 4 2 2 3" xfId="13107" xr:uid="{00000000-0005-0000-0000-000034330000}"/>
    <cellStyle name="Normal 19 3 4 2 3" xfId="13108" xr:uid="{00000000-0005-0000-0000-000035330000}"/>
    <cellStyle name="Normal 19 3 4 2 3 2" xfId="13109" xr:uid="{00000000-0005-0000-0000-000036330000}"/>
    <cellStyle name="Normal 19 3 4 2 4" xfId="13110" xr:uid="{00000000-0005-0000-0000-000037330000}"/>
    <cellStyle name="Normal 19 3 4 3" xfId="13111" xr:uid="{00000000-0005-0000-0000-000038330000}"/>
    <cellStyle name="Normal 19 3 4 3 2" xfId="13112" xr:uid="{00000000-0005-0000-0000-000039330000}"/>
    <cellStyle name="Normal 19 3 4 3 2 2" xfId="13113" xr:uid="{00000000-0005-0000-0000-00003A330000}"/>
    <cellStyle name="Normal 19 3 4 3 3" xfId="13114" xr:uid="{00000000-0005-0000-0000-00003B330000}"/>
    <cellStyle name="Normal 19 3 4 4" xfId="13115" xr:uid="{00000000-0005-0000-0000-00003C330000}"/>
    <cellStyle name="Normal 19 3 4 4 2" xfId="13116" xr:uid="{00000000-0005-0000-0000-00003D330000}"/>
    <cellStyle name="Normal 19 3 4 5" xfId="13117" xr:uid="{00000000-0005-0000-0000-00003E330000}"/>
    <cellStyle name="Normal 19 3 5" xfId="13118" xr:uid="{00000000-0005-0000-0000-00003F330000}"/>
    <cellStyle name="Normal 19 3 5 2" xfId="13119" xr:uid="{00000000-0005-0000-0000-000040330000}"/>
    <cellStyle name="Normal 19 3 5 2 2" xfId="13120" xr:uid="{00000000-0005-0000-0000-000041330000}"/>
    <cellStyle name="Normal 19 3 5 2 2 2" xfId="13121" xr:uid="{00000000-0005-0000-0000-000042330000}"/>
    <cellStyle name="Normal 19 3 5 2 3" xfId="13122" xr:uid="{00000000-0005-0000-0000-000043330000}"/>
    <cellStyle name="Normal 19 3 5 3" xfId="13123" xr:uid="{00000000-0005-0000-0000-000044330000}"/>
    <cellStyle name="Normal 19 3 5 3 2" xfId="13124" xr:uid="{00000000-0005-0000-0000-000045330000}"/>
    <cellStyle name="Normal 19 3 5 4" xfId="13125" xr:uid="{00000000-0005-0000-0000-000046330000}"/>
    <cellStyle name="Normal 19 3 6" xfId="13126" xr:uid="{00000000-0005-0000-0000-000047330000}"/>
    <cellStyle name="Normal 19 3 6 2" xfId="13127" xr:uid="{00000000-0005-0000-0000-000048330000}"/>
    <cellStyle name="Normal 19 3 6 2 2" xfId="13128" xr:uid="{00000000-0005-0000-0000-000049330000}"/>
    <cellStyle name="Normal 19 3 6 3" xfId="13129" xr:uid="{00000000-0005-0000-0000-00004A330000}"/>
    <cellStyle name="Normal 19 3 7" xfId="13130" xr:uid="{00000000-0005-0000-0000-00004B330000}"/>
    <cellStyle name="Normal 19 3 7 2" xfId="13131" xr:uid="{00000000-0005-0000-0000-00004C330000}"/>
    <cellStyle name="Normal 19 3 8" xfId="13132" xr:uid="{00000000-0005-0000-0000-00004D330000}"/>
    <cellStyle name="Normal 19 4" xfId="13133" xr:uid="{00000000-0005-0000-0000-00004E330000}"/>
    <cellStyle name="Normal 19 4 2" xfId="13134" xr:uid="{00000000-0005-0000-0000-00004F330000}"/>
    <cellStyle name="Normal 19 4 2 2" xfId="13135" xr:uid="{00000000-0005-0000-0000-000050330000}"/>
    <cellStyle name="Normal 19 4 2 2 2" xfId="13136" xr:uid="{00000000-0005-0000-0000-000051330000}"/>
    <cellStyle name="Normal 19 4 2 2 2 2" xfId="13137" xr:uid="{00000000-0005-0000-0000-000052330000}"/>
    <cellStyle name="Normal 19 4 2 2 2 2 2" xfId="13138" xr:uid="{00000000-0005-0000-0000-000053330000}"/>
    <cellStyle name="Normal 19 4 2 2 2 2 2 2" xfId="13139" xr:uid="{00000000-0005-0000-0000-000054330000}"/>
    <cellStyle name="Normal 19 4 2 2 2 2 3" xfId="13140" xr:uid="{00000000-0005-0000-0000-000055330000}"/>
    <cellStyle name="Normal 19 4 2 2 2 3" xfId="13141" xr:uid="{00000000-0005-0000-0000-000056330000}"/>
    <cellStyle name="Normal 19 4 2 2 2 3 2" xfId="13142" xr:uid="{00000000-0005-0000-0000-000057330000}"/>
    <cellStyle name="Normal 19 4 2 2 2 4" xfId="13143" xr:uid="{00000000-0005-0000-0000-000058330000}"/>
    <cellStyle name="Normal 19 4 2 2 3" xfId="13144" xr:uid="{00000000-0005-0000-0000-000059330000}"/>
    <cellStyle name="Normal 19 4 2 2 3 2" xfId="13145" xr:uid="{00000000-0005-0000-0000-00005A330000}"/>
    <cellStyle name="Normal 19 4 2 2 3 2 2" xfId="13146" xr:uid="{00000000-0005-0000-0000-00005B330000}"/>
    <cellStyle name="Normal 19 4 2 2 3 3" xfId="13147" xr:uid="{00000000-0005-0000-0000-00005C330000}"/>
    <cellStyle name="Normal 19 4 2 2 4" xfId="13148" xr:uid="{00000000-0005-0000-0000-00005D330000}"/>
    <cellStyle name="Normal 19 4 2 2 4 2" xfId="13149" xr:uid="{00000000-0005-0000-0000-00005E330000}"/>
    <cellStyle name="Normal 19 4 2 2 5" xfId="13150" xr:uid="{00000000-0005-0000-0000-00005F330000}"/>
    <cellStyle name="Normal 19 4 2 3" xfId="13151" xr:uid="{00000000-0005-0000-0000-000060330000}"/>
    <cellStyle name="Normal 19 4 2 3 2" xfId="13152" xr:uid="{00000000-0005-0000-0000-000061330000}"/>
    <cellStyle name="Normal 19 4 2 3 2 2" xfId="13153" xr:uid="{00000000-0005-0000-0000-000062330000}"/>
    <cellStyle name="Normal 19 4 2 3 2 2 2" xfId="13154" xr:uid="{00000000-0005-0000-0000-000063330000}"/>
    <cellStyle name="Normal 19 4 2 3 2 3" xfId="13155" xr:uid="{00000000-0005-0000-0000-000064330000}"/>
    <cellStyle name="Normal 19 4 2 3 3" xfId="13156" xr:uid="{00000000-0005-0000-0000-000065330000}"/>
    <cellStyle name="Normal 19 4 2 3 3 2" xfId="13157" xr:uid="{00000000-0005-0000-0000-000066330000}"/>
    <cellStyle name="Normal 19 4 2 3 4" xfId="13158" xr:uid="{00000000-0005-0000-0000-000067330000}"/>
    <cellStyle name="Normal 19 4 2 4" xfId="13159" xr:uid="{00000000-0005-0000-0000-000068330000}"/>
    <cellStyle name="Normal 19 4 2 4 2" xfId="13160" xr:uid="{00000000-0005-0000-0000-000069330000}"/>
    <cellStyle name="Normal 19 4 2 4 2 2" xfId="13161" xr:uid="{00000000-0005-0000-0000-00006A330000}"/>
    <cellStyle name="Normal 19 4 2 4 3" xfId="13162" xr:uid="{00000000-0005-0000-0000-00006B330000}"/>
    <cellStyle name="Normal 19 4 2 5" xfId="13163" xr:uid="{00000000-0005-0000-0000-00006C330000}"/>
    <cellStyle name="Normal 19 4 2 5 2" xfId="13164" xr:uid="{00000000-0005-0000-0000-00006D330000}"/>
    <cellStyle name="Normal 19 4 2 6" xfId="13165" xr:uid="{00000000-0005-0000-0000-00006E330000}"/>
    <cellStyle name="Normal 19 4 3" xfId="13166" xr:uid="{00000000-0005-0000-0000-00006F330000}"/>
    <cellStyle name="Normal 19 4 3 2" xfId="13167" xr:uid="{00000000-0005-0000-0000-000070330000}"/>
    <cellStyle name="Normal 19 4 3 2 2" xfId="13168" xr:uid="{00000000-0005-0000-0000-000071330000}"/>
    <cellStyle name="Normal 19 4 3 2 2 2" xfId="13169" xr:uid="{00000000-0005-0000-0000-000072330000}"/>
    <cellStyle name="Normal 19 4 3 2 2 2 2" xfId="13170" xr:uid="{00000000-0005-0000-0000-000073330000}"/>
    <cellStyle name="Normal 19 4 3 2 2 3" xfId="13171" xr:uid="{00000000-0005-0000-0000-000074330000}"/>
    <cellStyle name="Normal 19 4 3 2 3" xfId="13172" xr:uid="{00000000-0005-0000-0000-000075330000}"/>
    <cellStyle name="Normal 19 4 3 2 3 2" xfId="13173" xr:uid="{00000000-0005-0000-0000-000076330000}"/>
    <cellStyle name="Normal 19 4 3 2 4" xfId="13174" xr:uid="{00000000-0005-0000-0000-000077330000}"/>
    <cellStyle name="Normal 19 4 3 3" xfId="13175" xr:uid="{00000000-0005-0000-0000-000078330000}"/>
    <cellStyle name="Normal 19 4 3 3 2" xfId="13176" xr:uid="{00000000-0005-0000-0000-000079330000}"/>
    <cellStyle name="Normal 19 4 3 3 2 2" xfId="13177" xr:uid="{00000000-0005-0000-0000-00007A330000}"/>
    <cellStyle name="Normal 19 4 3 3 3" xfId="13178" xr:uid="{00000000-0005-0000-0000-00007B330000}"/>
    <cellStyle name="Normal 19 4 3 4" xfId="13179" xr:uid="{00000000-0005-0000-0000-00007C330000}"/>
    <cellStyle name="Normal 19 4 3 4 2" xfId="13180" xr:uid="{00000000-0005-0000-0000-00007D330000}"/>
    <cellStyle name="Normal 19 4 3 5" xfId="13181" xr:uid="{00000000-0005-0000-0000-00007E330000}"/>
    <cellStyle name="Normal 19 4 4" xfId="13182" xr:uid="{00000000-0005-0000-0000-00007F330000}"/>
    <cellStyle name="Normal 19 4 4 2" xfId="13183" xr:uid="{00000000-0005-0000-0000-000080330000}"/>
    <cellStyle name="Normal 19 4 4 2 2" xfId="13184" xr:uid="{00000000-0005-0000-0000-000081330000}"/>
    <cellStyle name="Normal 19 4 4 2 2 2" xfId="13185" xr:uid="{00000000-0005-0000-0000-000082330000}"/>
    <cellStyle name="Normal 19 4 4 2 3" xfId="13186" xr:uid="{00000000-0005-0000-0000-000083330000}"/>
    <cellStyle name="Normal 19 4 4 3" xfId="13187" xr:uid="{00000000-0005-0000-0000-000084330000}"/>
    <cellStyle name="Normal 19 4 4 3 2" xfId="13188" xr:uid="{00000000-0005-0000-0000-000085330000}"/>
    <cellStyle name="Normal 19 4 4 4" xfId="13189" xr:uid="{00000000-0005-0000-0000-000086330000}"/>
    <cellStyle name="Normal 19 4 5" xfId="13190" xr:uid="{00000000-0005-0000-0000-000087330000}"/>
    <cellStyle name="Normal 19 4 5 2" xfId="13191" xr:uid="{00000000-0005-0000-0000-000088330000}"/>
    <cellStyle name="Normal 19 4 5 2 2" xfId="13192" xr:uid="{00000000-0005-0000-0000-000089330000}"/>
    <cellStyle name="Normal 19 4 5 3" xfId="13193" xr:uid="{00000000-0005-0000-0000-00008A330000}"/>
    <cellStyle name="Normal 19 4 6" xfId="13194" xr:uid="{00000000-0005-0000-0000-00008B330000}"/>
    <cellStyle name="Normal 19 4 6 2" xfId="13195" xr:uid="{00000000-0005-0000-0000-00008C330000}"/>
    <cellStyle name="Normal 19 4 7" xfId="13196" xr:uid="{00000000-0005-0000-0000-00008D330000}"/>
    <cellStyle name="Normal 19 5" xfId="13197" xr:uid="{00000000-0005-0000-0000-00008E330000}"/>
    <cellStyle name="Normal 19 5 2" xfId="13198" xr:uid="{00000000-0005-0000-0000-00008F330000}"/>
    <cellStyle name="Normal 19 5 2 2" xfId="13199" xr:uid="{00000000-0005-0000-0000-000090330000}"/>
    <cellStyle name="Normal 19 5 2 2 2" xfId="13200" xr:uid="{00000000-0005-0000-0000-000091330000}"/>
    <cellStyle name="Normal 19 5 2 2 2 2" xfId="13201" xr:uid="{00000000-0005-0000-0000-000092330000}"/>
    <cellStyle name="Normal 19 5 2 2 2 2 2" xfId="13202" xr:uid="{00000000-0005-0000-0000-000093330000}"/>
    <cellStyle name="Normal 19 5 2 2 2 3" xfId="13203" xr:uid="{00000000-0005-0000-0000-000094330000}"/>
    <cellStyle name="Normal 19 5 2 2 3" xfId="13204" xr:uid="{00000000-0005-0000-0000-000095330000}"/>
    <cellStyle name="Normal 19 5 2 2 3 2" xfId="13205" xr:uid="{00000000-0005-0000-0000-000096330000}"/>
    <cellStyle name="Normal 19 5 2 2 4" xfId="13206" xr:uid="{00000000-0005-0000-0000-000097330000}"/>
    <cellStyle name="Normal 19 5 2 3" xfId="13207" xr:uid="{00000000-0005-0000-0000-000098330000}"/>
    <cellStyle name="Normal 19 5 2 3 2" xfId="13208" xr:uid="{00000000-0005-0000-0000-000099330000}"/>
    <cellStyle name="Normal 19 5 2 3 2 2" xfId="13209" xr:uid="{00000000-0005-0000-0000-00009A330000}"/>
    <cellStyle name="Normal 19 5 2 3 3" xfId="13210" xr:uid="{00000000-0005-0000-0000-00009B330000}"/>
    <cellStyle name="Normal 19 5 2 4" xfId="13211" xr:uid="{00000000-0005-0000-0000-00009C330000}"/>
    <cellStyle name="Normal 19 5 2 4 2" xfId="13212" xr:uid="{00000000-0005-0000-0000-00009D330000}"/>
    <cellStyle name="Normal 19 5 2 5" xfId="13213" xr:uid="{00000000-0005-0000-0000-00009E330000}"/>
    <cellStyle name="Normal 19 5 3" xfId="13214" xr:uid="{00000000-0005-0000-0000-00009F330000}"/>
    <cellStyle name="Normal 19 5 3 2" xfId="13215" xr:uid="{00000000-0005-0000-0000-0000A0330000}"/>
    <cellStyle name="Normal 19 5 3 2 2" xfId="13216" xr:uid="{00000000-0005-0000-0000-0000A1330000}"/>
    <cellStyle name="Normal 19 5 3 2 2 2" xfId="13217" xr:uid="{00000000-0005-0000-0000-0000A2330000}"/>
    <cellStyle name="Normal 19 5 3 2 3" xfId="13218" xr:uid="{00000000-0005-0000-0000-0000A3330000}"/>
    <cellStyle name="Normal 19 5 3 3" xfId="13219" xr:uid="{00000000-0005-0000-0000-0000A4330000}"/>
    <cellStyle name="Normal 19 5 3 3 2" xfId="13220" xr:uid="{00000000-0005-0000-0000-0000A5330000}"/>
    <cellStyle name="Normal 19 5 3 4" xfId="13221" xr:uid="{00000000-0005-0000-0000-0000A6330000}"/>
    <cellStyle name="Normal 19 5 4" xfId="13222" xr:uid="{00000000-0005-0000-0000-0000A7330000}"/>
    <cellStyle name="Normal 19 5 4 2" xfId="13223" xr:uid="{00000000-0005-0000-0000-0000A8330000}"/>
    <cellStyle name="Normal 19 5 4 2 2" xfId="13224" xr:uid="{00000000-0005-0000-0000-0000A9330000}"/>
    <cellStyle name="Normal 19 5 4 3" xfId="13225" xr:uid="{00000000-0005-0000-0000-0000AA330000}"/>
    <cellStyle name="Normal 19 5 5" xfId="13226" xr:uid="{00000000-0005-0000-0000-0000AB330000}"/>
    <cellStyle name="Normal 19 5 5 2" xfId="13227" xr:uid="{00000000-0005-0000-0000-0000AC330000}"/>
    <cellStyle name="Normal 19 5 6" xfId="13228" xr:uid="{00000000-0005-0000-0000-0000AD330000}"/>
    <cellStyle name="Normal 19 6" xfId="13229" xr:uid="{00000000-0005-0000-0000-0000AE330000}"/>
    <cellStyle name="Normal 19 6 2" xfId="13230" xr:uid="{00000000-0005-0000-0000-0000AF330000}"/>
    <cellStyle name="Normal 19 6 2 2" xfId="13231" xr:uid="{00000000-0005-0000-0000-0000B0330000}"/>
    <cellStyle name="Normal 19 6 2 2 2" xfId="13232" xr:uid="{00000000-0005-0000-0000-0000B1330000}"/>
    <cellStyle name="Normal 19 6 2 2 2 2" xfId="13233" xr:uid="{00000000-0005-0000-0000-0000B2330000}"/>
    <cellStyle name="Normal 19 6 2 2 3" xfId="13234" xr:uid="{00000000-0005-0000-0000-0000B3330000}"/>
    <cellStyle name="Normal 19 6 2 3" xfId="13235" xr:uid="{00000000-0005-0000-0000-0000B4330000}"/>
    <cellStyle name="Normal 19 6 2 3 2" xfId="13236" xr:uid="{00000000-0005-0000-0000-0000B5330000}"/>
    <cellStyle name="Normal 19 6 2 4" xfId="13237" xr:uid="{00000000-0005-0000-0000-0000B6330000}"/>
    <cellStyle name="Normal 19 6 3" xfId="13238" xr:uid="{00000000-0005-0000-0000-0000B7330000}"/>
    <cellStyle name="Normal 19 6 3 2" xfId="13239" xr:uid="{00000000-0005-0000-0000-0000B8330000}"/>
    <cellStyle name="Normal 19 6 3 2 2" xfId="13240" xr:uid="{00000000-0005-0000-0000-0000B9330000}"/>
    <cellStyle name="Normal 19 6 3 3" xfId="13241" xr:uid="{00000000-0005-0000-0000-0000BA330000}"/>
    <cellStyle name="Normal 19 6 4" xfId="13242" xr:uid="{00000000-0005-0000-0000-0000BB330000}"/>
    <cellStyle name="Normal 19 6 4 2" xfId="13243" xr:uid="{00000000-0005-0000-0000-0000BC330000}"/>
    <cellStyle name="Normal 19 6 5" xfId="13244" xr:uid="{00000000-0005-0000-0000-0000BD330000}"/>
    <cellStyle name="Normal 19 7" xfId="13245" xr:uid="{00000000-0005-0000-0000-0000BE330000}"/>
    <cellStyle name="Normal 19 7 2" xfId="13246" xr:uid="{00000000-0005-0000-0000-0000BF330000}"/>
    <cellStyle name="Normal 19 7 2 2" xfId="13247" xr:uid="{00000000-0005-0000-0000-0000C0330000}"/>
    <cellStyle name="Normal 19 7 2 2 2" xfId="13248" xr:uid="{00000000-0005-0000-0000-0000C1330000}"/>
    <cellStyle name="Normal 19 7 2 3" xfId="13249" xr:uid="{00000000-0005-0000-0000-0000C2330000}"/>
    <cellStyle name="Normal 19 7 3" xfId="13250" xr:uid="{00000000-0005-0000-0000-0000C3330000}"/>
    <cellStyle name="Normal 19 7 3 2" xfId="13251" xr:uid="{00000000-0005-0000-0000-0000C4330000}"/>
    <cellStyle name="Normal 19 7 4" xfId="13252" xr:uid="{00000000-0005-0000-0000-0000C5330000}"/>
    <cellStyle name="Normal 19 8" xfId="13253" xr:uid="{00000000-0005-0000-0000-0000C6330000}"/>
    <cellStyle name="Normal 19 8 2" xfId="13254" xr:uid="{00000000-0005-0000-0000-0000C7330000}"/>
    <cellStyle name="Normal 19 8 2 2" xfId="13255" xr:uid="{00000000-0005-0000-0000-0000C8330000}"/>
    <cellStyle name="Normal 19 8 3" xfId="13256" xr:uid="{00000000-0005-0000-0000-0000C9330000}"/>
    <cellStyle name="Normal 19 9" xfId="13257" xr:uid="{00000000-0005-0000-0000-0000CA330000}"/>
    <cellStyle name="Normal 19 9 2" xfId="13258" xr:uid="{00000000-0005-0000-0000-0000CB330000}"/>
    <cellStyle name="Normal 2" xfId="13259" xr:uid="{00000000-0005-0000-0000-0000CC330000}"/>
    <cellStyle name="Normal 2 10" xfId="13260" xr:uid="{00000000-0005-0000-0000-0000CD330000}"/>
    <cellStyle name="Normal 2 10 2" xfId="13261" xr:uid="{00000000-0005-0000-0000-0000CE330000}"/>
    <cellStyle name="Normal 2 10 2 2" xfId="13262" xr:uid="{00000000-0005-0000-0000-0000CF330000}"/>
    <cellStyle name="Normal 2 10 2 2 2" xfId="13263" xr:uid="{00000000-0005-0000-0000-0000D0330000}"/>
    <cellStyle name="Normal 2 10 2 3" xfId="13264" xr:uid="{00000000-0005-0000-0000-0000D1330000}"/>
    <cellStyle name="Normal 2 10 3" xfId="13265" xr:uid="{00000000-0005-0000-0000-0000D2330000}"/>
    <cellStyle name="Normal 2 10 3 2" xfId="13266" xr:uid="{00000000-0005-0000-0000-0000D3330000}"/>
    <cellStyle name="Normal 2 10 4" xfId="13267" xr:uid="{00000000-0005-0000-0000-0000D4330000}"/>
    <cellStyle name="Normal 2 11" xfId="13268" xr:uid="{00000000-0005-0000-0000-0000D5330000}"/>
    <cellStyle name="Normal 2 11 2" xfId="13269" xr:uid="{00000000-0005-0000-0000-0000D6330000}"/>
    <cellStyle name="Normal 2 11 2 2" xfId="13270" xr:uid="{00000000-0005-0000-0000-0000D7330000}"/>
    <cellStyle name="Normal 2 11 3" xfId="13271" xr:uid="{00000000-0005-0000-0000-0000D8330000}"/>
    <cellStyle name="Normal 2 12" xfId="13272" xr:uid="{00000000-0005-0000-0000-0000D9330000}"/>
    <cellStyle name="Normal 2 12 2" xfId="13273" xr:uid="{00000000-0005-0000-0000-0000DA330000}"/>
    <cellStyle name="Normal 2 13" xfId="13274" xr:uid="{00000000-0005-0000-0000-0000DB330000}"/>
    <cellStyle name="Normal 2 2" xfId="13275" xr:uid="{00000000-0005-0000-0000-0000DC330000}"/>
    <cellStyle name="Normal 2 2 10" xfId="13276" xr:uid="{00000000-0005-0000-0000-0000DD330000}"/>
    <cellStyle name="Normal 2 2 10 2" xfId="13277" xr:uid="{00000000-0005-0000-0000-0000DE330000}"/>
    <cellStyle name="Normal 2 2 10 2 2" xfId="13278" xr:uid="{00000000-0005-0000-0000-0000DF330000}"/>
    <cellStyle name="Normal 2 2 10 2 2 2" xfId="13279" xr:uid="{00000000-0005-0000-0000-0000E0330000}"/>
    <cellStyle name="Normal 2 2 10 2 3" xfId="13280" xr:uid="{00000000-0005-0000-0000-0000E1330000}"/>
    <cellStyle name="Normal 2 2 10 3" xfId="13281" xr:uid="{00000000-0005-0000-0000-0000E2330000}"/>
    <cellStyle name="Normal 2 2 10 3 2" xfId="13282" xr:uid="{00000000-0005-0000-0000-0000E3330000}"/>
    <cellStyle name="Normal 2 2 10 4" xfId="13283" xr:uid="{00000000-0005-0000-0000-0000E4330000}"/>
    <cellStyle name="Normal 2 2 11" xfId="13284" xr:uid="{00000000-0005-0000-0000-0000E5330000}"/>
    <cellStyle name="Normal 2 2 11 2" xfId="13285" xr:uid="{00000000-0005-0000-0000-0000E6330000}"/>
    <cellStyle name="Normal 2 2 11 2 2" xfId="13286" xr:uid="{00000000-0005-0000-0000-0000E7330000}"/>
    <cellStyle name="Normal 2 2 11 3" xfId="13287" xr:uid="{00000000-0005-0000-0000-0000E8330000}"/>
    <cellStyle name="Normal 2 2 12" xfId="13288" xr:uid="{00000000-0005-0000-0000-0000E9330000}"/>
    <cellStyle name="Normal 2 2 12 2" xfId="13289" xr:uid="{00000000-0005-0000-0000-0000EA330000}"/>
    <cellStyle name="Normal 2 2 13" xfId="13290" xr:uid="{00000000-0005-0000-0000-0000EB330000}"/>
    <cellStyle name="Normal 2 2 2" xfId="13291" xr:uid="{00000000-0005-0000-0000-0000EC330000}"/>
    <cellStyle name="Normal 2 2 3" xfId="13292" xr:uid="{00000000-0005-0000-0000-0000ED330000}"/>
    <cellStyle name="Normal 2 2 4" xfId="13293" xr:uid="{00000000-0005-0000-0000-0000EE330000}"/>
    <cellStyle name="Normal 2 2 4 10" xfId="13294" xr:uid="{00000000-0005-0000-0000-0000EF330000}"/>
    <cellStyle name="Normal 2 2 4 2" xfId="13295" xr:uid="{00000000-0005-0000-0000-0000F0330000}"/>
    <cellStyle name="Normal 2 2 4 2 2" xfId="13296" xr:uid="{00000000-0005-0000-0000-0000F1330000}"/>
    <cellStyle name="Normal 2 2 4 2 2 2" xfId="13297" xr:uid="{00000000-0005-0000-0000-0000F2330000}"/>
    <cellStyle name="Normal 2 2 4 2 2 2 2" xfId="13298" xr:uid="{00000000-0005-0000-0000-0000F3330000}"/>
    <cellStyle name="Normal 2 2 4 2 2 2 2 2" xfId="13299" xr:uid="{00000000-0005-0000-0000-0000F4330000}"/>
    <cellStyle name="Normal 2 2 4 2 2 2 2 2 2" xfId="13300" xr:uid="{00000000-0005-0000-0000-0000F5330000}"/>
    <cellStyle name="Normal 2 2 4 2 2 2 2 2 2 2" xfId="13301" xr:uid="{00000000-0005-0000-0000-0000F6330000}"/>
    <cellStyle name="Normal 2 2 4 2 2 2 2 2 2 2 2" xfId="13302" xr:uid="{00000000-0005-0000-0000-0000F7330000}"/>
    <cellStyle name="Normal 2 2 4 2 2 2 2 2 2 2 2 2" xfId="13303" xr:uid="{00000000-0005-0000-0000-0000F8330000}"/>
    <cellStyle name="Normal 2 2 4 2 2 2 2 2 2 2 3" xfId="13304" xr:uid="{00000000-0005-0000-0000-0000F9330000}"/>
    <cellStyle name="Normal 2 2 4 2 2 2 2 2 2 3" xfId="13305" xr:uid="{00000000-0005-0000-0000-0000FA330000}"/>
    <cellStyle name="Normal 2 2 4 2 2 2 2 2 2 3 2" xfId="13306" xr:uid="{00000000-0005-0000-0000-0000FB330000}"/>
    <cellStyle name="Normal 2 2 4 2 2 2 2 2 2 4" xfId="13307" xr:uid="{00000000-0005-0000-0000-0000FC330000}"/>
    <cellStyle name="Normal 2 2 4 2 2 2 2 2 3" xfId="13308" xr:uid="{00000000-0005-0000-0000-0000FD330000}"/>
    <cellStyle name="Normal 2 2 4 2 2 2 2 2 3 2" xfId="13309" xr:uid="{00000000-0005-0000-0000-0000FE330000}"/>
    <cellStyle name="Normal 2 2 4 2 2 2 2 2 3 2 2" xfId="13310" xr:uid="{00000000-0005-0000-0000-0000FF330000}"/>
    <cellStyle name="Normal 2 2 4 2 2 2 2 2 3 3" xfId="13311" xr:uid="{00000000-0005-0000-0000-000000340000}"/>
    <cellStyle name="Normal 2 2 4 2 2 2 2 2 4" xfId="13312" xr:uid="{00000000-0005-0000-0000-000001340000}"/>
    <cellStyle name="Normal 2 2 4 2 2 2 2 2 4 2" xfId="13313" xr:uid="{00000000-0005-0000-0000-000002340000}"/>
    <cellStyle name="Normal 2 2 4 2 2 2 2 2 5" xfId="13314" xr:uid="{00000000-0005-0000-0000-000003340000}"/>
    <cellStyle name="Normal 2 2 4 2 2 2 2 3" xfId="13315" xr:uid="{00000000-0005-0000-0000-000004340000}"/>
    <cellStyle name="Normal 2 2 4 2 2 2 2 3 2" xfId="13316" xr:uid="{00000000-0005-0000-0000-000005340000}"/>
    <cellStyle name="Normal 2 2 4 2 2 2 2 3 2 2" xfId="13317" xr:uid="{00000000-0005-0000-0000-000006340000}"/>
    <cellStyle name="Normal 2 2 4 2 2 2 2 3 2 2 2" xfId="13318" xr:uid="{00000000-0005-0000-0000-000007340000}"/>
    <cellStyle name="Normal 2 2 4 2 2 2 2 3 2 3" xfId="13319" xr:uid="{00000000-0005-0000-0000-000008340000}"/>
    <cellStyle name="Normal 2 2 4 2 2 2 2 3 3" xfId="13320" xr:uid="{00000000-0005-0000-0000-000009340000}"/>
    <cellStyle name="Normal 2 2 4 2 2 2 2 3 3 2" xfId="13321" xr:uid="{00000000-0005-0000-0000-00000A340000}"/>
    <cellStyle name="Normal 2 2 4 2 2 2 2 3 4" xfId="13322" xr:uid="{00000000-0005-0000-0000-00000B340000}"/>
    <cellStyle name="Normal 2 2 4 2 2 2 2 4" xfId="13323" xr:uid="{00000000-0005-0000-0000-00000C340000}"/>
    <cellStyle name="Normal 2 2 4 2 2 2 2 4 2" xfId="13324" xr:uid="{00000000-0005-0000-0000-00000D340000}"/>
    <cellStyle name="Normal 2 2 4 2 2 2 2 4 2 2" xfId="13325" xr:uid="{00000000-0005-0000-0000-00000E340000}"/>
    <cellStyle name="Normal 2 2 4 2 2 2 2 4 3" xfId="13326" xr:uid="{00000000-0005-0000-0000-00000F340000}"/>
    <cellStyle name="Normal 2 2 4 2 2 2 2 5" xfId="13327" xr:uid="{00000000-0005-0000-0000-000010340000}"/>
    <cellStyle name="Normal 2 2 4 2 2 2 2 5 2" xfId="13328" xr:uid="{00000000-0005-0000-0000-000011340000}"/>
    <cellStyle name="Normal 2 2 4 2 2 2 2 6" xfId="13329" xr:uid="{00000000-0005-0000-0000-000012340000}"/>
    <cellStyle name="Normal 2 2 4 2 2 2 3" xfId="13330" xr:uid="{00000000-0005-0000-0000-000013340000}"/>
    <cellStyle name="Normal 2 2 4 2 2 2 3 2" xfId="13331" xr:uid="{00000000-0005-0000-0000-000014340000}"/>
    <cellStyle name="Normal 2 2 4 2 2 2 3 2 2" xfId="13332" xr:uid="{00000000-0005-0000-0000-000015340000}"/>
    <cellStyle name="Normal 2 2 4 2 2 2 3 2 2 2" xfId="13333" xr:uid="{00000000-0005-0000-0000-000016340000}"/>
    <cellStyle name="Normal 2 2 4 2 2 2 3 2 2 2 2" xfId="13334" xr:uid="{00000000-0005-0000-0000-000017340000}"/>
    <cellStyle name="Normal 2 2 4 2 2 2 3 2 2 3" xfId="13335" xr:uid="{00000000-0005-0000-0000-000018340000}"/>
    <cellStyle name="Normal 2 2 4 2 2 2 3 2 3" xfId="13336" xr:uid="{00000000-0005-0000-0000-000019340000}"/>
    <cellStyle name="Normal 2 2 4 2 2 2 3 2 3 2" xfId="13337" xr:uid="{00000000-0005-0000-0000-00001A340000}"/>
    <cellStyle name="Normal 2 2 4 2 2 2 3 2 4" xfId="13338" xr:uid="{00000000-0005-0000-0000-00001B340000}"/>
    <cellStyle name="Normal 2 2 4 2 2 2 3 3" xfId="13339" xr:uid="{00000000-0005-0000-0000-00001C340000}"/>
    <cellStyle name="Normal 2 2 4 2 2 2 3 3 2" xfId="13340" xr:uid="{00000000-0005-0000-0000-00001D340000}"/>
    <cellStyle name="Normal 2 2 4 2 2 2 3 3 2 2" xfId="13341" xr:uid="{00000000-0005-0000-0000-00001E340000}"/>
    <cellStyle name="Normal 2 2 4 2 2 2 3 3 3" xfId="13342" xr:uid="{00000000-0005-0000-0000-00001F340000}"/>
    <cellStyle name="Normal 2 2 4 2 2 2 3 4" xfId="13343" xr:uid="{00000000-0005-0000-0000-000020340000}"/>
    <cellStyle name="Normal 2 2 4 2 2 2 3 4 2" xfId="13344" xr:uid="{00000000-0005-0000-0000-000021340000}"/>
    <cellStyle name="Normal 2 2 4 2 2 2 3 5" xfId="13345" xr:uid="{00000000-0005-0000-0000-000022340000}"/>
    <cellStyle name="Normal 2 2 4 2 2 2 4" xfId="13346" xr:uid="{00000000-0005-0000-0000-000023340000}"/>
    <cellStyle name="Normal 2 2 4 2 2 2 4 2" xfId="13347" xr:uid="{00000000-0005-0000-0000-000024340000}"/>
    <cellStyle name="Normal 2 2 4 2 2 2 4 2 2" xfId="13348" xr:uid="{00000000-0005-0000-0000-000025340000}"/>
    <cellStyle name="Normal 2 2 4 2 2 2 4 2 2 2" xfId="13349" xr:uid="{00000000-0005-0000-0000-000026340000}"/>
    <cellStyle name="Normal 2 2 4 2 2 2 4 2 3" xfId="13350" xr:uid="{00000000-0005-0000-0000-000027340000}"/>
    <cellStyle name="Normal 2 2 4 2 2 2 4 3" xfId="13351" xr:uid="{00000000-0005-0000-0000-000028340000}"/>
    <cellStyle name="Normal 2 2 4 2 2 2 4 3 2" xfId="13352" xr:uid="{00000000-0005-0000-0000-000029340000}"/>
    <cellStyle name="Normal 2 2 4 2 2 2 4 4" xfId="13353" xr:uid="{00000000-0005-0000-0000-00002A340000}"/>
    <cellStyle name="Normal 2 2 4 2 2 2 5" xfId="13354" xr:uid="{00000000-0005-0000-0000-00002B340000}"/>
    <cellStyle name="Normal 2 2 4 2 2 2 5 2" xfId="13355" xr:uid="{00000000-0005-0000-0000-00002C340000}"/>
    <cellStyle name="Normal 2 2 4 2 2 2 5 2 2" xfId="13356" xr:uid="{00000000-0005-0000-0000-00002D340000}"/>
    <cellStyle name="Normal 2 2 4 2 2 2 5 3" xfId="13357" xr:uid="{00000000-0005-0000-0000-00002E340000}"/>
    <cellStyle name="Normal 2 2 4 2 2 2 6" xfId="13358" xr:uid="{00000000-0005-0000-0000-00002F340000}"/>
    <cellStyle name="Normal 2 2 4 2 2 2 6 2" xfId="13359" xr:uid="{00000000-0005-0000-0000-000030340000}"/>
    <cellStyle name="Normal 2 2 4 2 2 2 7" xfId="13360" xr:uid="{00000000-0005-0000-0000-000031340000}"/>
    <cellStyle name="Normal 2 2 4 2 2 3" xfId="13361" xr:uid="{00000000-0005-0000-0000-000032340000}"/>
    <cellStyle name="Normal 2 2 4 2 2 3 2" xfId="13362" xr:uid="{00000000-0005-0000-0000-000033340000}"/>
    <cellStyle name="Normal 2 2 4 2 2 3 2 2" xfId="13363" xr:uid="{00000000-0005-0000-0000-000034340000}"/>
    <cellStyle name="Normal 2 2 4 2 2 3 2 2 2" xfId="13364" xr:uid="{00000000-0005-0000-0000-000035340000}"/>
    <cellStyle name="Normal 2 2 4 2 2 3 2 2 2 2" xfId="13365" xr:uid="{00000000-0005-0000-0000-000036340000}"/>
    <cellStyle name="Normal 2 2 4 2 2 3 2 2 2 2 2" xfId="13366" xr:uid="{00000000-0005-0000-0000-000037340000}"/>
    <cellStyle name="Normal 2 2 4 2 2 3 2 2 2 3" xfId="13367" xr:uid="{00000000-0005-0000-0000-000038340000}"/>
    <cellStyle name="Normal 2 2 4 2 2 3 2 2 3" xfId="13368" xr:uid="{00000000-0005-0000-0000-000039340000}"/>
    <cellStyle name="Normal 2 2 4 2 2 3 2 2 3 2" xfId="13369" xr:uid="{00000000-0005-0000-0000-00003A340000}"/>
    <cellStyle name="Normal 2 2 4 2 2 3 2 2 4" xfId="13370" xr:uid="{00000000-0005-0000-0000-00003B340000}"/>
    <cellStyle name="Normal 2 2 4 2 2 3 2 3" xfId="13371" xr:uid="{00000000-0005-0000-0000-00003C340000}"/>
    <cellStyle name="Normal 2 2 4 2 2 3 2 3 2" xfId="13372" xr:uid="{00000000-0005-0000-0000-00003D340000}"/>
    <cellStyle name="Normal 2 2 4 2 2 3 2 3 2 2" xfId="13373" xr:uid="{00000000-0005-0000-0000-00003E340000}"/>
    <cellStyle name="Normal 2 2 4 2 2 3 2 3 3" xfId="13374" xr:uid="{00000000-0005-0000-0000-00003F340000}"/>
    <cellStyle name="Normal 2 2 4 2 2 3 2 4" xfId="13375" xr:uid="{00000000-0005-0000-0000-000040340000}"/>
    <cellStyle name="Normal 2 2 4 2 2 3 2 4 2" xfId="13376" xr:uid="{00000000-0005-0000-0000-000041340000}"/>
    <cellStyle name="Normal 2 2 4 2 2 3 2 5" xfId="13377" xr:uid="{00000000-0005-0000-0000-000042340000}"/>
    <cellStyle name="Normal 2 2 4 2 2 3 3" xfId="13378" xr:uid="{00000000-0005-0000-0000-000043340000}"/>
    <cellStyle name="Normal 2 2 4 2 2 3 3 2" xfId="13379" xr:uid="{00000000-0005-0000-0000-000044340000}"/>
    <cellStyle name="Normal 2 2 4 2 2 3 3 2 2" xfId="13380" xr:uid="{00000000-0005-0000-0000-000045340000}"/>
    <cellStyle name="Normal 2 2 4 2 2 3 3 2 2 2" xfId="13381" xr:uid="{00000000-0005-0000-0000-000046340000}"/>
    <cellStyle name="Normal 2 2 4 2 2 3 3 2 3" xfId="13382" xr:uid="{00000000-0005-0000-0000-000047340000}"/>
    <cellStyle name="Normal 2 2 4 2 2 3 3 3" xfId="13383" xr:uid="{00000000-0005-0000-0000-000048340000}"/>
    <cellStyle name="Normal 2 2 4 2 2 3 3 3 2" xfId="13384" xr:uid="{00000000-0005-0000-0000-000049340000}"/>
    <cellStyle name="Normal 2 2 4 2 2 3 3 4" xfId="13385" xr:uid="{00000000-0005-0000-0000-00004A340000}"/>
    <cellStyle name="Normal 2 2 4 2 2 3 4" xfId="13386" xr:uid="{00000000-0005-0000-0000-00004B340000}"/>
    <cellStyle name="Normal 2 2 4 2 2 3 4 2" xfId="13387" xr:uid="{00000000-0005-0000-0000-00004C340000}"/>
    <cellStyle name="Normal 2 2 4 2 2 3 4 2 2" xfId="13388" xr:uid="{00000000-0005-0000-0000-00004D340000}"/>
    <cellStyle name="Normal 2 2 4 2 2 3 4 3" xfId="13389" xr:uid="{00000000-0005-0000-0000-00004E340000}"/>
    <cellStyle name="Normal 2 2 4 2 2 3 5" xfId="13390" xr:uid="{00000000-0005-0000-0000-00004F340000}"/>
    <cellStyle name="Normal 2 2 4 2 2 3 5 2" xfId="13391" xr:uid="{00000000-0005-0000-0000-000050340000}"/>
    <cellStyle name="Normal 2 2 4 2 2 3 6" xfId="13392" xr:uid="{00000000-0005-0000-0000-000051340000}"/>
    <cellStyle name="Normal 2 2 4 2 2 4" xfId="13393" xr:uid="{00000000-0005-0000-0000-000052340000}"/>
    <cellStyle name="Normal 2 2 4 2 2 4 2" xfId="13394" xr:uid="{00000000-0005-0000-0000-000053340000}"/>
    <cellStyle name="Normal 2 2 4 2 2 4 2 2" xfId="13395" xr:uid="{00000000-0005-0000-0000-000054340000}"/>
    <cellStyle name="Normal 2 2 4 2 2 4 2 2 2" xfId="13396" xr:uid="{00000000-0005-0000-0000-000055340000}"/>
    <cellStyle name="Normal 2 2 4 2 2 4 2 2 2 2" xfId="13397" xr:uid="{00000000-0005-0000-0000-000056340000}"/>
    <cellStyle name="Normal 2 2 4 2 2 4 2 2 3" xfId="13398" xr:uid="{00000000-0005-0000-0000-000057340000}"/>
    <cellStyle name="Normal 2 2 4 2 2 4 2 3" xfId="13399" xr:uid="{00000000-0005-0000-0000-000058340000}"/>
    <cellStyle name="Normal 2 2 4 2 2 4 2 3 2" xfId="13400" xr:uid="{00000000-0005-0000-0000-000059340000}"/>
    <cellStyle name="Normal 2 2 4 2 2 4 2 4" xfId="13401" xr:uid="{00000000-0005-0000-0000-00005A340000}"/>
    <cellStyle name="Normal 2 2 4 2 2 4 3" xfId="13402" xr:uid="{00000000-0005-0000-0000-00005B340000}"/>
    <cellStyle name="Normal 2 2 4 2 2 4 3 2" xfId="13403" xr:uid="{00000000-0005-0000-0000-00005C340000}"/>
    <cellStyle name="Normal 2 2 4 2 2 4 3 2 2" xfId="13404" xr:uid="{00000000-0005-0000-0000-00005D340000}"/>
    <cellStyle name="Normal 2 2 4 2 2 4 3 3" xfId="13405" xr:uid="{00000000-0005-0000-0000-00005E340000}"/>
    <cellStyle name="Normal 2 2 4 2 2 4 4" xfId="13406" xr:uid="{00000000-0005-0000-0000-00005F340000}"/>
    <cellStyle name="Normal 2 2 4 2 2 4 4 2" xfId="13407" xr:uid="{00000000-0005-0000-0000-000060340000}"/>
    <cellStyle name="Normal 2 2 4 2 2 4 5" xfId="13408" xr:uid="{00000000-0005-0000-0000-000061340000}"/>
    <cellStyle name="Normal 2 2 4 2 2 5" xfId="13409" xr:uid="{00000000-0005-0000-0000-000062340000}"/>
    <cellStyle name="Normal 2 2 4 2 2 5 2" xfId="13410" xr:uid="{00000000-0005-0000-0000-000063340000}"/>
    <cellStyle name="Normal 2 2 4 2 2 5 2 2" xfId="13411" xr:uid="{00000000-0005-0000-0000-000064340000}"/>
    <cellStyle name="Normal 2 2 4 2 2 5 2 2 2" xfId="13412" xr:uid="{00000000-0005-0000-0000-000065340000}"/>
    <cellStyle name="Normal 2 2 4 2 2 5 2 3" xfId="13413" xr:uid="{00000000-0005-0000-0000-000066340000}"/>
    <cellStyle name="Normal 2 2 4 2 2 5 3" xfId="13414" xr:uid="{00000000-0005-0000-0000-000067340000}"/>
    <cellStyle name="Normal 2 2 4 2 2 5 3 2" xfId="13415" xr:uid="{00000000-0005-0000-0000-000068340000}"/>
    <cellStyle name="Normal 2 2 4 2 2 5 4" xfId="13416" xr:uid="{00000000-0005-0000-0000-000069340000}"/>
    <cellStyle name="Normal 2 2 4 2 2 6" xfId="13417" xr:uid="{00000000-0005-0000-0000-00006A340000}"/>
    <cellStyle name="Normal 2 2 4 2 2 6 2" xfId="13418" xr:uid="{00000000-0005-0000-0000-00006B340000}"/>
    <cellStyle name="Normal 2 2 4 2 2 6 2 2" xfId="13419" xr:uid="{00000000-0005-0000-0000-00006C340000}"/>
    <cellStyle name="Normal 2 2 4 2 2 6 3" xfId="13420" xr:uid="{00000000-0005-0000-0000-00006D340000}"/>
    <cellStyle name="Normal 2 2 4 2 2 7" xfId="13421" xr:uid="{00000000-0005-0000-0000-00006E340000}"/>
    <cellStyle name="Normal 2 2 4 2 2 7 2" xfId="13422" xr:uid="{00000000-0005-0000-0000-00006F340000}"/>
    <cellStyle name="Normal 2 2 4 2 2 8" xfId="13423" xr:uid="{00000000-0005-0000-0000-000070340000}"/>
    <cellStyle name="Normal 2 2 4 2 3" xfId="13424" xr:uid="{00000000-0005-0000-0000-000071340000}"/>
    <cellStyle name="Normal 2 2 4 2 3 2" xfId="13425" xr:uid="{00000000-0005-0000-0000-000072340000}"/>
    <cellStyle name="Normal 2 2 4 2 3 2 2" xfId="13426" xr:uid="{00000000-0005-0000-0000-000073340000}"/>
    <cellStyle name="Normal 2 2 4 2 3 2 2 2" xfId="13427" xr:uid="{00000000-0005-0000-0000-000074340000}"/>
    <cellStyle name="Normal 2 2 4 2 3 2 2 2 2" xfId="13428" xr:uid="{00000000-0005-0000-0000-000075340000}"/>
    <cellStyle name="Normal 2 2 4 2 3 2 2 2 2 2" xfId="13429" xr:uid="{00000000-0005-0000-0000-000076340000}"/>
    <cellStyle name="Normal 2 2 4 2 3 2 2 2 2 2 2" xfId="13430" xr:uid="{00000000-0005-0000-0000-000077340000}"/>
    <cellStyle name="Normal 2 2 4 2 3 2 2 2 2 3" xfId="13431" xr:uid="{00000000-0005-0000-0000-000078340000}"/>
    <cellStyle name="Normal 2 2 4 2 3 2 2 2 3" xfId="13432" xr:uid="{00000000-0005-0000-0000-000079340000}"/>
    <cellStyle name="Normal 2 2 4 2 3 2 2 2 3 2" xfId="13433" xr:uid="{00000000-0005-0000-0000-00007A340000}"/>
    <cellStyle name="Normal 2 2 4 2 3 2 2 2 4" xfId="13434" xr:uid="{00000000-0005-0000-0000-00007B340000}"/>
    <cellStyle name="Normal 2 2 4 2 3 2 2 3" xfId="13435" xr:uid="{00000000-0005-0000-0000-00007C340000}"/>
    <cellStyle name="Normal 2 2 4 2 3 2 2 3 2" xfId="13436" xr:uid="{00000000-0005-0000-0000-00007D340000}"/>
    <cellStyle name="Normal 2 2 4 2 3 2 2 3 2 2" xfId="13437" xr:uid="{00000000-0005-0000-0000-00007E340000}"/>
    <cellStyle name="Normal 2 2 4 2 3 2 2 3 3" xfId="13438" xr:uid="{00000000-0005-0000-0000-00007F340000}"/>
    <cellStyle name="Normal 2 2 4 2 3 2 2 4" xfId="13439" xr:uid="{00000000-0005-0000-0000-000080340000}"/>
    <cellStyle name="Normal 2 2 4 2 3 2 2 4 2" xfId="13440" xr:uid="{00000000-0005-0000-0000-000081340000}"/>
    <cellStyle name="Normal 2 2 4 2 3 2 2 5" xfId="13441" xr:uid="{00000000-0005-0000-0000-000082340000}"/>
    <cellStyle name="Normal 2 2 4 2 3 2 3" xfId="13442" xr:uid="{00000000-0005-0000-0000-000083340000}"/>
    <cellStyle name="Normal 2 2 4 2 3 2 3 2" xfId="13443" xr:uid="{00000000-0005-0000-0000-000084340000}"/>
    <cellStyle name="Normal 2 2 4 2 3 2 3 2 2" xfId="13444" xr:uid="{00000000-0005-0000-0000-000085340000}"/>
    <cellStyle name="Normal 2 2 4 2 3 2 3 2 2 2" xfId="13445" xr:uid="{00000000-0005-0000-0000-000086340000}"/>
    <cellStyle name="Normal 2 2 4 2 3 2 3 2 3" xfId="13446" xr:uid="{00000000-0005-0000-0000-000087340000}"/>
    <cellStyle name="Normal 2 2 4 2 3 2 3 3" xfId="13447" xr:uid="{00000000-0005-0000-0000-000088340000}"/>
    <cellStyle name="Normal 2 2 4 2 3 2 3 3 2" xfId="13448" xr:uid="{00000000-0005-0000-0000-000089340000}"/>
    <cellStyle name="Normal 2 2 4 2 3 2 3 4" xfId="13449" xr:uid="{00000000-0005-0000-0000-00008A340000}"/>
    <cellStyle name="Normal 2 2 4 2 3 2 4" xfId="13450" xr:uid="{00000000-0005-0000-0000-00008B340000}"/>
    <cellStyle name="Normal 2 2 4 2 3 2 4 2" xfId="13451" xr:uid="{00000000-0005-0000-0000-00008C340000}"/>
    <cellStyle name="Normal 2 2 4 2 3 2 4 2 2" xfId="13452" xr:uid="{00000000-0005-0000-0000-00008D340000}"/>
    <cellStyle name="Normal 2 2 4 2 3 2 4 3" xfId="13453" xr:uid="{00000000-0005-0000-0000-00008E340000}"/>
    <cellStyle name="Normal 2 2 4 2 3 2 5" xfId="13454" xr:uid="{00000000-0005-0000-0000-00008F340000}"/>
    <cellStyle name="Normal 2 2 4 2 3 2 5 2" xfId="13455" xr:uid="{00000000-0005-0000-0000-000090340000}"/>
    <cellStyle name="Normal 2 2 4 2 3 2 6" xfId="13456" xr:uid="{00000000-0005-0000-0000-000091340000}"/>
    <cellStyle name="Normal 2 2 4 2 3 3" xfId="13457" xr:uid="{00000000-0005-0000-0000-000092340000}"/>
    <cellStyle name="Normal 2 2 4 2 3 3 2" xfId="13458" xr:uid="{00000000-0005-0000-0000-000093340000}"/>
    <cellStyle name="Normal 2 2 4 2 3 3 2 2" xfId="13459" xr:uid="{00000000-0005-0000-0000-000094340000}"/>
    <cellStyle name="Normal 2 2 4 2 3 3 2 2 2" xfId="13460" xr:uid="{00000000-0005-0000-0000-000095340000}"/>
    <cellStyle name="Normal 2 2 4 2 3 3 2 2 2 2" xfId="13461" xr:uid="{00000000-0005-0000-0000-000096340000}"/>
    <cellStyle name="Normal 2 2 4 2 3 3 2 2 3" xfId="13462" xr:uid="{00000000-0005-0000-0000-000097340000}"/>
    <cellStyle name="Normal 2 2 4 2 3 3 2 3" xfId="13463" xr:uid="{00000000-0005-0000-0000-000098340000}"/>
    <cellStyle name="Normal 2 2 4 2 3 3 2 3 2" xfId="13464" xr:uid="{00000000-0005-0000-0000-000099340000}"/>
    <cellStyle name="Normal 2 2 4 2 3 3 2 4" xfId="13465" xr:uid="{00000000-0005-0000-0000-00009A340000}"/>
    <cellStyle name="Normal 2 2 4 2 3 3 3" xfId="13466" xr:uid="{00000000-0005-0000-0000-00009B340000}"/>
    <cellStyle name="Normal 2 2 4 2 3 3 3 2" xfId="13467" xr:uid="{00000000-0005-0000-0000-00009C340000}"/>
    <cellStyle name="Normal 2 2 4 2 3 3 3 2 2" xfId="13468" xr:uid="{00000000-0005-0000-0000-00009D340000}"/>
    <cellStyle name="Normal 2 2 4 2 3 3 3 3" xfId="13469" xr:uid="{00000000-0005-0000-0000-00009E340000}"/>
    <cellStyle name="Normal 2 2 4 2 3 3 4" xfId="13470" xr:uid="{00000000-0005-0000-0000-00009F340000}"/>
    <cellStyle name="Normal 2 2 4 2 3 3 4 2" xfId="13471" xr:uid="{00000000-0005-0000-0000-0000A0340000}"/>
    <cellStyle name="Normal 2 2 4 2 3 3 5" xfId="13472" xr:uid="{00000000-0005-0000-0000-0000A1340000}"/>
    <cellStyle name="Normal 2 2 4 2 3 4" xfId="13473" xr:uid="{00000000-0005-0000-0000-0000A2340000}"/>
    <cellStyle name="Normal 2 2 4 2 3 4 2" xfId="13474" xr:uid="{00000000-0005-0000-0000-0000A3340000}"/>
    <cellStyle name="Normal 2 2 4 2 3 4 2 2" xfId="13475" xr:uid="{00000000-0005-0000-0000-0000A4340000}"/>
    <cellStyle name="Normal 2 2 4 2 3 4 2 2 2" xfId="13476" xr:uid="{00000000-0005-0000-0000-0000A5340000}"/>
    <cellStyle name="Normal 2 2 4 2 3 4 2 3" xfId="13477" xr:uid="{00000000-0005-0000-0000-0000A6340000}"/>
    <cellStyle name="Normal 2 2 4 2 3 4 3" xfId="13478" xr:uid="{00000000-0005-0000-0000-0000A7340000}"/>
    <cellStyle name="Normal 2 2 4 2 3 4 3 2" xfId="13479" xr:uid="{00000000-0005-0000-0000-0000A8340000}"/>
    <cellStyle name="Normal 2 2 4 2 3 4 4" xfId="13480" xr:uid="{00000000-0005-0000-0000-0000A9340000}"/>
    <cellStyle name="Normal 2 2 4 2 3 5" xfId="13481" xr:uid="{00000000-0005-0000-0000-0000AA340000}"/>
    <cellStyle name="Normal 2 2 4 2 3 5 2" xfId="13482" xr:uid="{00000000-0005-0000-0000-0000AB340000}"/>
    <cellStyle name="Normal 2 2 4 2 3 5 2 2" xfId="13483" xr:uid="{00000000-0005-0000-0000-0000AC340000}"/>
    <cellStyle name="Normal 2 2 4 2 3 5 3" xfId="13484" xr:uid="{00000000-0005-0000-0000-0000AD340000}"/>
    <cellStyle name="Normal 2 2 4 2 3 6" xfId="13485" xr:uid="{00000000-0005-0000-0000-0000AE340000}"/>
    <cellStyle name="Normal 2 2 4 2 3 6 2" xfId="13486" xr:uid="{00000000-0005-0000-0000-0000AF340000}"/>
    <cellStyle name="Normal 2 2 4 2 3 7" xfId="13487" xr:uid="{00000000-0005-0000-0000-0000B0340000}"/>
    <cellStyle name="Normal 2 2 4 2 4" xfId="13488" xr:uid="{00000000-0005-0000-0000-0000B1340000}"/>
    <cellStyle name="Normal 2 2 4 2 4 2" xfId="13489" xr:uid="{00000000-0005-0000-0000-0000B2340000}"/>
    <cellStyle name="Normal 2 2 4 2 4 2 2" xfId="13490" xr:uid="{00000000-0005-0000-0000-0000B3340000}"/>
    <cellStyle name="Normal 2 2 4 2 4 2 2 2" xfId="13491" xr:uid="{00000000-0005-0000-0000-0000B4340000}"/>
    <cellStyle name="Normal 2 2 4 2 4 2 2 2 2" xfId="13492" xr:uid="{00000000-0005-0000-0000-0000B5340000}"/>
    <cellStyle name="Normal 2 2 4 2 4 2 2 2 2 2" xfId="13493" xr:uid="{00000000-0005-0000-0000-0000B6340000}"/>
    <cellStyle name="Normal 2 2 4 2 4 2 2 2 3" xfId="13494" xr:uid="{00000000-0005-0000-0000-0000B7340000}"/>
    <cellStyle name="Normal 2 2 4 2 4 2 2 3" xfId="13495" xr:uid="{00000000-0005-0000-0000-0000B8340000}"/>
    <cellStyle name="Normal 2 2 4 2 4 2 2 3 2" xfId="13496" xr:uid="{00000000-0005-0000-0000-0000B9340000}"/>
    <cellStyle name="Normal 2 2 4 2 4 2 2 4" xfId="13497" xr:uid="{00000000-0005-0000-0000-0000BA340000}"/>
    <cellStyle name="Normal 2 2 4 2 4 2 3" xfId="13498" xr:uid="{00000000-0005-0000-0000-0000BB340000}"/>
    <cellStyle name="Normal 2 2 4 2 4 2 3 2" xfId="13499" xr:uid="{00000000-0005-0000-0000-0000BC340000}"/>
    <cellStyle name="Normal 2 2 4 2 4 2 3 2 2" xfId="13500" xr:uid="{00000000-0005-0000-0000-0000BD340000}"/>
    <cellStyle name="Normal 2 2 4 2 4 2 3 3" xfId="13501" xr:uid="{00000000-0005-0000-0000-0000BE340000}"/>
    <cellStyle name="Normal 2 2 4 2 4 2 4" xfId="13502" xr:uid="{00000000-0005-0000-0000-0000BF340000}"/>
    <cellStyle name="Normal 2 2 4 2 4 2 4 2" xfId="13503" xr:uid="{00000000-0005-0000-0000-0000C0340000}"/>
    <cellStyle name="Normal 2 2 4 2 4 2 5" xfId="13504" xr:uid="{00000000-0005-0000-0000-0000C1340000}"/>
    <cellStyle name="Normal 2 2 4 2 4 3" xfId="13505" xr:uid="{00000000-0005-0000-0000-0000C2340000}"/>
    <cellStyle name="Normal 2 2 4 2 4 3 2" xfId="13506" xr:uid="{00000000-0005-0000-0000-0000C3340000}"/>
    <cellStyle name="Normal 2 2 4 2 4 3 2 2" xfId="13507" xr:uid="{00000000-0005-0000-0000-0000C4340000}"/>
    <cellStyle name="Normal 2 2 4 2 4 3 2 2 2" xfId="13508" xr:uid="{00000000-0005-0000-0000-0000C5340000}"/>
    <cellStyle name="Normal 2 2 4 2 4 3 2 3" xfId="13509" xr:uid="{00000000-0005-0000-0000-0000C6340000}"/>
    <cellStyle name="Normal 2 2 4 2 4 3 3" xfId="13510" xr:uid="{00000000-0005-0000-0000-0000C7340000}"/>
    <cellStyle name="Normal 2 2 4 2 4 3 3 2" xfId="13511" xr:uid="{00000000-0005-0000-0000-0000C8340000}"/>
    <cellStyle name="Normal 2 2 4 2 4 3 4" xfId="13512" xr:uid="{00000000-0005-0000-0000-0000C9340000}"/>
    <cellStyle name="Normal 2 2 4 2 4 4" xfId="13513" xr:uid="{00000000-0005-0000-0000-0000CA340000}"/>
    <cellStyle name="Normal 2 2 4 2 4 4 2" xfId="13514" xr:uid="{00000000-0005-0000-0000-0000CB340000}"/>
    <cellStyle name="Normal 2 2 4 2 4 4 2 2" xfId="13515" xr:uid="{00000000-0005-0000-0000-0000CC340000}"/>
    <cellStyle name="Normal 2 2 4 2 4 4 3" xfId="13516" xr:uid="{00000000-0005-0000-0000-0000CD340000}"/>
    <cellStyle name="Normal 2 2 4 2 4 5" xfId="13517" xr:uid="{00000000-0005-0000-0000-0000CE340000}"/>
    <cellStyle name="Normal 2 2 4 2 4 5 2" xfId="13518" xr:uid="{00000000-0005-0000-0000-0000CF340000}"/>
    <cellStyle name="Normal 2 2 4 2 4 6" xfId="13519" xr:uid="{00000000-0005-0000-0000-0000D0340000}"/>
    <cellStyle name="Normal 2 2 4 2 5" xfId="13520" xr:uid="{00000000-0005-0000-0000-0000D1340000}"/>
    <cellStyle name="Normal 2 2 4 2 5 2" xfId="13521" xr:uid="{00000000-0005-0000-0000-0000D2340000}"/>
    <cellStyle name="Normal 2 2 4 2 5 2 2" xfId="13522" xr:uid="{00000000-0005-0000-0000-0000D3340000}"/>
    <cellStyle name="Normal 2 2 4 2 5 2 2 2" xfId="13523" xr:uid="{00000000-0005-0000-0000-0000D4340000}"/>
    <cellStyle name="Normal 2 2 4 2 5 2 2 2 2" xfId="13524" xr:uid="{00000000-0005-0000-0000-0000D5340000}"/>
    <cellStyle name="Normal 2 2 4 2 5 2 2 3" xfId="13525" xr:uid="{00000000-0005-0000-0000-0000D6340000}"/>
    <cellStyle name="Normal 2 2 4 2 5 2 3" xfId="13526" xr:uid="{00000000-0005-0000-0000-0000D7340000}"/>
    <cellStyle name="Normal 2 2 4 2 5 2 3 2" xfId="13527" xr:uid="{00000000-0005-0000-0000-0000D8340000}"/>
    <cellStyle name="Normal 2 2 4 2 5 2 4" xfId="13528" xr:uid="{00000000-0005-0000-0000-0000D9340000}"/>
    <cellStyle name="Normal 2 2 4 2 5 3" xfId="13529" xr:uid="{00000000-0005-0000-0000-0000DA340000}"/>
    <cellStyle name="Normal 2 2 4 2 5 3 2" xfId="13530" xr:uid="{00000000-0005-0000-0000-0000DB340000}"/>
    <cellStyle name="Normal 2 2 4 2 5 3 2 2" xfId="13531" xr:uid="{00000000-0005-0000-0000-0000DC340000}"/>
    <cellStyle name="Normal 2 2 4 2 5 3 3" xfId="13532" xr:uid="{00000000-0005-0000-0000-0000DD340000}"/>
    <cellStyle name="Normal 2 2 4 2 5 4" xfId="13533" xr:uid="{00000000-0005-0000-0000-0000DE340000}"/>
    <cellStyle name="Normal 2 2 4 2 5 4 2" xfId="13534" xr:uid="{00000000-0005-0000-0000-0000DF340000}"/>
    <cellStyle name="Normal 2 2 4 2 5 5" xfId="13535" xr:uid="{00000000-0005-0000-0000-0000E0340000}"/>
    <cellStyle name="Normal 2 2 4 2 6" xfId="13536" xr:uid="{00000000-0005-0000-0000-0000E1340000}"/>
    <cellStyle name="Normal 2 2 4 2 6 2" xfId="13537" xr:uid="{00000000-0005-0000-0000-0000E2340000}"/>
    <cellStyle name="Normal 2 2 4 2 6 2 2" xfId="13538" xr:uid="{00000000-0005-0000-0000-0000E3340000}"/>
    <cellStyle name="Normal 2 2 4 2 6 2 2 2" xfId="13539" xr:uid="{00000000-0005-0000-0000-0000E4340000}"/>
    <cellStyle name="Normal 2 2 4 2 6 2 3" xfId="13540" xr:uid="{00000000-0005-0000-0000-0000E5340000}"/>
    <cellStyle name="Normal 2 2 4 2 6 3" xfId="13541" xr:uid="{00000000-0005-0000-0000-0000E6340000}"/>
    <cellStyle name="Normal 2 2 4 2 6 3 2" xfId="13542" xr:uid="{00000000-0005-0000-0000-0000E7340000}"/>
    <cellStyle name="Normal 2 2 4 2 6 4" xfId="13543" xr:uid="{00000000-0005-0000-0000-0000E8340000}"/>
    <cellStyle name="Normal 2 2 4 2 7" xfId="13544" xr:uid="{00000000-0005-0000-0000-0000E9340000}"/>
    <cellStyle name="Normal 2 2 4 2 7 2" xfId="13545" xr:uid="{00000000-0005-0000-0000-0000EA340000}"/>
    <cellStyle name="Normal 2 2 4 2 7 2 2" xfId="13546" xr:uid="{00000000-0005-0000-0000-0000EB340000}"/>
    <cellStyle name="Normal 2 2 4 2 7 3" xfId="13547" xr:uid="{00000000-0005-0000-0000-0000EC340000}"/>
    <cellStyle name="Normal 2 2 4 2 8" xfId="13548" xr:uid="{00000000-0005-0000-0000-0000ED340000}"/>
    <cellStyle name="Normal 2 2 4 2 8 2" xfId="13549" xr:uid="{00000000-0005-0000-0000-0000EE340000}"/>
    <cellStyle name="Normal 2 2 4 2 9" xfId="13550" xr:uid="{00000000-0005-0000-0000-0000EF340000}"/>
    <cellStyle name="Normal 2 2 4 3" xfId="13551" xr:uid="{00000000-0005-0000-0000-0000F0340000}"/>
    <cellStyle name="Normal 2 2 4 3 2" xfId="13552" xr:uid="{00000000-0005-0000-0000-0000F1340000}"/>
    <cellStyle name="Normal 2 2 4 3 2 2" xfId="13553" xr:uid="{00000000-0005-0000-0000-0000F2340000}"/>
    <cellStyle name="Normal 2 2 4 3 2 2 2" xfId="13554" xr:uid="{00000000-0005-0000-0000-0000F3340000}"/>
    <cellStyle name="Normal 2 2 4 3 2 2 2 2" xfId="13555" xr:uid="{00000000-0005-0000-0000-0000F4340000}"/>
    <cellStyle name="Normal 2 2 4 3 2 2 2 2 2" xfId="13556" xr:uid="{00000000-0005-0000-0000-0000F5340000}"/>
    <cellStyle name="Normal 2 2 4 3 2 2 2 2 2 2" xfId="13557" xr:uid="{00000000-0005-0000-0000-0000F6340000}"/>
    <cellStyle name="Normal 2 2 4 3 2 2 2 2 2 2 2" xfId="13558" xr:uid="{00000000-0005-0000-0000-0000F7340000}"/>
    <cellStyle name="Normal 2 2 4 3 2 2 2 2 2 3" xfId="13559" xr:uid="{00000000-0005-0000-0000-0000F8340000}"/>
    <cellStyle name="Normal 2 2 4 3 2 2 2 2 3" xfId="13560" xr:uid="{00000000-0005-0000-0000-0000F9340000}"/>
    <cellStyle name="Normal 2 2 4 3 2 2 2 2 3 2" xfId="13561" xr:uid="{00000000-0005-0000-0000-0000FA340000}"/>
    <cellStyle name="Normal 2 2 4 3 2 2 2 2 4" xfId="13562" xr:uid="{00000000-0005-0000-0000-0000FB340000}"/>
    <cellStyle name="Normal 2 2 4 3 2 2 2 3" xfId="13563" xr:uid="{00000000-0005-0000-0000-0000FC340000}"/>
    <cellStyle name="Normal 2 2 4 3 2 2 2 3 2" xfId="13564" xr:uid="{00000000-0005-0000-0000-0000FD340000}"/>
    <cellStyle name="Normal 2 2 4 3 2 2 2 3 2 2" xfId="13565" xr:uid="{00000000-0005-0000-0000-0000FE340000}"/>
    <cellStyle name="Normal 2 2 4 3 2 2 2 3 3" xfId="13566" xr:uid="{00000000-0005-0000-0000-0000FF340000}"/>
    <cellStyle name="Normal 2 2 4 3 2 2 2 4" xfId="13567" xr:uid="{00000000-0005-0000-0000-000000350000}"/>
    <cellStyle name="Normal 2 2 4 3 2 2 2 4 2" xfId="13568" xr:uid="{00000000-0005-0000-0000-000001350000}"/>
    <cellStyle name="Normal 2 2 4 3 2 2 2 5" xfId="13569" xr:uid="{00000000-0005-0000-0000-000002350000}"/>
    <cellStyle name="Normal 2 2 4 3 2 2 3" xfId="13570" xr:uid="{00000000-0005-0000-0000-000003350000}"/>
    <cellStyle name="Normal 2 2 4 3 2 2 3 2" xfId="13571" xr:uid="{00000000-0005-0000-0000-000004350000}"/>
    <cellStyle name="Normal 2 2 4 3 2 2 3 2 2" xfId="13572" xr:uid="{00000000-0005-0000-0000-000005350000}"/>
    <cellStyle name="Normal 2 2 4 3 2 2 3 2 2 2" xfId="13573" xr:uid="{00000000-0005-0000-0000-000006350000}"/>
    <cellStyle name="Normal 2 2 4 3 2 2 3 2 3" xfId="13574" xr:uid="{00000000-0005-0000-0000-000007350000}"/>
    <cellStyle name="Normal 2 2 4 3 2 2 3 3" xfId="13575" xr:uid="{00000000-0005-0000-0000-000008350000}"/>
    <cellStyle name="Normal 2 2 4 3 2 2 3 3 2" xfId="13576" xr:uid="{00000000-0005-0000-0000-000009350000}"/>
    <cellStyle name="Normal 2 2 4 3 2 2 3 4" xfId="13577" xr:uid="{00000000-0005-0000-0000-00000A350000}"/>
    <cellStyle name="Normal 2 2 4 3 2 2 4" xfId="13578" xr:uid="{00000000-0005-0000-0000-00000B350000}"/>
    <cellStyle name="Normal 2 2 4 3 2 2 4 2" xfId="13579" xr:uid="{00000000-0005-0000-0000-00000C350000}"/>
    <cellStyle name="Normal 2 2 4 3 2 2 4 2 2" xfId="13580" xr:uid="{00000000-0005-0000-0000-00000D350000}"/>
    <cellStyle name="Normal 2 2 4 3 2 2 4 3" xfId="13581" xr:uid="{00000000-0005-0000-0000-00000E350000}"/>
    <cellStyle name="Normal 2 2 4 3 2 2 5" xfId="13582" xr:uid="{00000000-0005-0000-0000-00000F350000}"/>
    <cellStyle name="Normal 2 2 4 3 2 2 5 2" xfId="13583" xr:uid="{00000000-0005-0000-0000-000010350000}"/>
    <cellStyle name="Normal 2 2 4 3 2 2 6" xfId="13584" xr:uid="{00000000-0005-0000-0000-000011350000}"/>
    <cellStyle name="Normal 2 2 4 3 2 3" xfId="13585" xr:uid="{00000000-0005-0000-0000-000012350000}"/>
    <cellStyle name="Normal 2 2 4 3 2 3 2" xfId="13586" xr:uid="{00000000-0005-0000-0000-000013350000}"/>
    <cellStyle name="Normal 2 2 4 3 2 3 2 2" xfId="13587" xr:uid="{00000000-0005-0000-0000-000014350000}"/>
    <cellStyle name="Normal 2 2 4 3 2 3 2 2 2" xfId="13588" xr:uid="{00000000-0005-0000-0000-000015350000}"/>
    <cellStyle name="Normal 2 2 4 3 2 3 2 2 2 2" xfId="13589" xr:uid="{00000000-0005-0000-0000-000016350000}"/>
    <cellStyle name="Normal 2 2 4 3 2 3 2 2 3" xfId="13590" xr:uid="{00000000-0005-0000-0000-000017350000}"/>
    <cellStyle name="Normal 2 2 4 3 2 3 2 3" xfId="13591" xr:uid="{00000000-0005-0000-0000-000018350000}"/>
    <cellStyle name="Normal 2 2 4 3 2 3 2 3 2" xfId="13592" xr:uid="{00000000-0005-0000-0000-000019350000}"/>
    <cellStyle name="Normal 2 2 4 3 2 3 2 4" xfId="13593" xr:uid="{00000000-0005-0000-0000-00001A350000}"/>
    <cellStyle name="Normal 2 2 4 3 2 3 3" xfId="13594" xr:uid="{00000000-0005-0000-0000-00001B350000}"/>
    <cellStyle name="Normal 2 2 4 3 2 3 3 2" xfId="13595" xr:uid="{00000000-0005-0000-0000-00001C350000}"/>
    <cellStyle name="Normal 2 2 4 3 2 3 3 2 2" xfId="13596" xr:uid="{00000000-0005-0000-0000-00001D350000}"/>
    <cellStyle name="Normal 2 2 4 3 2 3 3 3" xfId="13597" xr:uid="{00000000-0005-0000-0000-00001E350000}"/>
    <cellStyle name="Normal 2 2 4 3 2 3 4" xfId="13598" xr:uid="{00000000-0005-0000-0000-00001F350000}"/>
    <cellStyle name="Normal 2 2 4 3 2 3 4 2" xfId="13599" xr:uid="{00000000-0005-0000-0000-000020350000}"/>
    <cellStyle name="Normal 2 2 4 3 2 3 5" xfId="13600" xr:uid="{00000000-0005-0000-0000-000021350000}"/>
    <cellStyle name="Normal 2 2 4 3 2 4" xfId="13601" xr:uid="{00000000-0005-0000-0000-000022350000}"/>
    <cellStyle name="Normal 2 2 4 3 2 4 2" xfId="13602" xr:uid="{00000000-0005-0000-0000-000023350000}"/>
    <cellStyle name="Normal 2 2 4 3 2 4 2 2" xfId="13603" xr:uid="{00000000-0005-0000-0000-000024350000}"/>
    <cellStyle name="Normal 2 2 4 3 2 4 2 2 2" xfId="13604" xr:uid="{00000000-0005-0000-0000-000025350000}"/>
    <cellStyle name="Normal 2 2 4 3 2 4 2 3" xfId="13605" xr:uid="{00000000-0005-0000-0000-000026350000}"/>
    <cellStyle name="Normal 2 2 4 3 2 4 3" xfId="13606" xr:uid="{00000000-0005-0000-0000-000027350000}"/>
    <cellStyle name="Normal 2 2 4 3 2 4 3 2" xfId="13607" xr:uid="{00000000-0005-0000-0000-000028350000}"/>
    <cellStyle name="Normal 2 2 4 3 2 4 4" xfId="13608" xr:uid="{00000000-0005-0000-0000-000029350000}"/>
    <cellStyle name="Normal 2 2 4 3 2 5" xfId="13609" xr:uid="{00000000-0005-0000-0000-00002A350000}"/>
    <cellStyle name="Normal 2 2 4 3 2 5 2" xfId="13610" xr:uid="{00000000-0005-0000-0000-00002B350000}"/>
    <cellStyle name="Normal 2 2 4 3 2 5 2 2" xfId="13611" xr:uid="{00000000-0005-0000-0000-00002C350000}"/>
    <cellStyle name="Normal 2 2 4 3 2 5 3" xfId="13612" xr:uid="{00000000-0005-0000-0000-00002D350000}"/>
    <cellStyle name="Normal 2 2 4 3 2 6" xfId="13613" xr:uid="{00000000-0005-0000-0000-00002E350000}"/>
    <cellStyle name="Normal 2 2 4 3 2 6 2" xfId="13614" xr:uid="{00000000-0005-0000-0000-00002F350000}"/>
    <cellStyle name="Normal 2 2 4 3 2 7" xfId="13615" xr:uid="{00000000-0005-0000-0000-000030350000}"/>
    <cellStyle name="Normal 2 2 4 3 3" xfId="13616" xr:uid="{00000000-0005-0000-0000-000031350000}"/>
    <cellStyle name="Normal 2 2 4 3 3 2" xfId="13617" xr:uid="{00000000-0005-0000-0000-000032350000}"/>
    <cellStyle name="Normal 2 2 4 3 3 2 2" xfId="13618" xr:uid="{00000000-0005-0000-0000-000033350000}"/>
    <cellStyle name="Normal 2 2 4 3 3 2 2 2" xfId="13619" xr:uid="{00000000-0005-0000-0000-000034350000}"/>
    <cellStyle name="Normal 2 2 4 3 3 2 2 2 2" xfId="13620" xr:uid="{00000000-0005-0000-0000-000035350000}"/>
    <cellStyle name="Normal 2 2 4 3 3 2 2 2 2 2" xfId="13621" xr:uid="{00000000-0005-0000-0000-000036350000}"/>
    <cellStyle name="Normal 2 2 4 3 3 2 2 2 3" xfId="13622" xr:uid="{00000000-0005-0000-0000-000037350000}"/>
    <cellStyle name="Normal 2 2 4 3 3 2 2 3" xfId="13623" xr:uid="{00000000-0005-0000-0000-000038350000}"/>
    <cellStyle name="Normal 2 2 4 3 3 2 2 3 2" xfId="13624" xr:uid="{00000000-0005-0000-0000-000039350000}"/>
    <cellStyle name="Normal 2 2 4 3 3 2 2 4" xfId="13625" xr:uid="{00000000-0005-0000-0000-00003A350000}"/>
    <cellStyle name="Normal 2 2 4 3 3 2 3" xfId="13626" xr:uid="{00000000-0005-0000-0000-00003B350000}"/>
    <cellStyle name="Normal 2 2 4 3 3 2 3 2" xfId="13627" xr:uid="{00000000-0005-0000-0000-00003C350000}"/>
    <cellStyle name="Normal 2 2 4 3 3 2 3 2 2" xfId="13628" xr:uid="{00000000-0005-0000-0000-00003D350000}"/>
    <cellStyle name="Normal 2 2 4 3 3 2 3 3" xfId="13629" xr:uid="{00000000-0005-0000-0000-00003E350000}"/>
    <cellStyle name="Normal 2 2 4 3 3 2 4" xfId="13630" xr:uid="{00000000-0005-0000-0000-00003F350000}"/>
    <cellStyle name="Normal 2 2 4 3 3 2 4 2" xfId="13631" xr:uid="{00000000-0005-0000-0000-000040350000}"/>
    <cellStyle name="Normal 2 2 4 3 3 2 5" xfId="13632" xr:uid="{00000000-0005-0000-0000-000041350000}"/>
    <cellStyle name="Normal 2 2 4 3 3 3" xfId="13633" xr:uid="{00000000-0005-0000-0000-000042350000}"/>
    <cellStyle name="Normal 2 2 4 3 3 3 2" xfId="13634" xr:uid="{00000000-0005-0000-0000-000043350000}"/>
    <cellStyle name="Normal 2 2 4 3 3 3 2 2" xfId="13635" xr:uid="{00000000-0005-0000-0000-000044350000}"/>
    <cellStyle name="Normal 2 2 4 3 3 3 2 2 2" xfId="13636" xr:uid="{00000000-0005-0000-0000-000045350000}"/>
    <cellStyle name="Normal 2 2 4 3 3 3 2 3" xfId="13637" xr:uid="{00000000-0005-0000-0000-000046350000}"/>
    <cellStyle name="Normal 2 2 4 3 3 3 3" xfId="13638" xr:uid="{00000000-0005-0000-0000-000047350000}"/>
    <cellStyle name="Normal 2 2 4 3 3 3 3 2" xfId="13639" xr:uid="{00000000-0005-0000-0000-000048350000}"/>
    <cellStyle name="Normal 2 2 4 3 3 3 4" xfId="13640" xr:uid="{00000000-0005-0000-0000-000049350000}"/>
    <cellStyle name="Normal 2 2 4 3 3 4" xfId="13641" xr:uid="{00000000-0005-0000-0000-00004A350000}"/>
    <cellStyle name="Normal 2 2 4 3 3 4 2" xfId="13642" xr:uid="{00000000-0005-0000-0000-00004B350000}"/>
    <cellStyle name="Normal 2 2 4 3 3 4 2 2" xfId="13643" xr:uid="{00000000-0005-0000-0000-00004C350000}"/>
    <cellStyle name="Normal 2 2 4 3 3 4 3" xfId="13644" xr:uid="{00000000-0005-0000-0000-00004D350000}"/>
    <cellStyle name="Normal 2 2 4 3 3 5" xfId="13645" xr:uid="{00000000-0005-0000-0000-00004E350000}"/>
    <cellStyle name="Normal 2 2 4 3 3 5 2" xfId="13646" xr:uid="{00000000-0005-0000-0000-00004F350000}"/>
    <cellStyle name="Normal 2 2 4 3 3 6" xfId="13647" xr:uid="{00000000-0005-0000-0000-000050350000}"/>
    <cellStyle name="Normal 2 2 4 3 4" xfId="13648" xr:uid="{00000000-0005-0000-0000-000051350000}"/>
    <cellStyle name="Normal 2 2 4 3 4 2" xfId="13649" xr:uid="{00000000-0005-0000-0000-000052350000}"/>
    <cellStyle name="Normal 2 2 4 3 4 2 2" xfId="13650" xr:uid="{00000000-0005-0000-0000-000053350000}"/>
    <cellStyle name="Normal 2 2 4 3 4 2 2 2" xfId="13651" xr:uid="{00000000-0005-0000-0000-000054350000}"/>
    <cellStyle name="Normal 2 2 4 3 4 2 2 2 2" xfId="13652" xr:uid="{00000000-0005-0000-0000-000055350000}"/>
    <cellStyle name="Normal 2 2 4 3 4 2 2 3" xfId="13653" xr:uid="{00000000-0005-0000-0000-000056350000}"/>
    <cellStyle name="Normal 2 2 4 3 4 2 3" xfId="13654" xr:uid="{00000000-0005-0000-0000-000057350000}"/>
    <cellStyle name="Normal 2 2 4 3 4 2 3 2" xfId="13655" xr:uid="{00000000-0005-0000-0000-000058350000}"/>
    <cellStyle name="Normal 2 2 4 3 4 2 4" xfId="13656" xr:uid="{00000000-0005-0000-0000-000059350000}"/>
    <cellStyle name="Normal 2 2 4 3 4 3" xfId="13657" xr:uid="{00000000-0005-0000-0000-00005A350000}"/>
    <cellStyle name="Normal 2 2 4 3 4 3 2" xfId="13658" xr:uid="{00000000-0005-0000-0000-00005B350000}"/>
    <cellStyle name="Normal 2 2 4 3 4 3 2 2" xfId="13659" xr:uid="{00000000-0005-0000-0000-00005C350000}"/>
    <cellStyle name="Normal 2 2 4 3 4 3 3" xfId="13660" xr:uid="{00000000-0005-0000-0000-00005D350000}"/>
    <cellStyle name="Normal 2 2 4 3 4 4" xfId="13661" xr:uid="{00000000-0005-0000-0000-00005E350000}"/>
    <cellStyle name="Normal 2 2 4 3 4 4 2" xfId="13662" xr:uid="{00000000-0005-0000-0000-00005F350000}"/>
    <cellStyle name="Normal 2 2 4 3 4 5" xfId="13663" xr:uid="{00000000-0005-0000-0000-000060350000}"/>
    <cellStyle name="Normal 2 2 4 3 5" xfId="13664" xr:uid="{00000000-0005-0000-0000-000061350000}"/>
    <cellStyle name="Normal 2 2 4 3 5 2" xfId="13665" xr:uid="{00000000-0005-0000-0000-000062350000}"/>
    <cellStyle name="Normal 2 2 4 3 5 2 2" xfId="13666" xr:uid="{00000000-0005-0000-0000-000063350000}"/>
    <cellStyle name="Normal 2 2 4 3 5 2 2 2" xfId="13667" xr:uid="{00000000-0005-0000-0000-000064350000}"/>
    <cellStyle name="Normal 2 2 4 3 5 2 3" xfId="13668" xr:uid="{00000000-0005-0000-0000-000065350000}"/>
    <cellStyle name="Normal 2 2 4 3 5 3" xfId="13669" xr:uid="{00000000-0005-0000-0000-000066350000}"/>
    <cellStyle name="Normal 2 2 4 3 5 3 2" xfId="13670" xr:uid="{00000000-0005-0000-0000-000067350000}"/>
    <cellStyle name="Normal 2 2 4 3 5 4" xfId="13671" xr:uid="{00000000-0005-0000-0000-000068350000}"/>
    <cellStyle name="Normal 2 2 4 3 6" xfId="13672" xr:uid="{00000000-0005-0000-0000-000069350000}"/>
    <cellStyle name="Normal 2 2 4 3 6 2" xfId="13673" xr:uid="{00000000-0005-0000-0000-00006A350000}"/>
    <cellStyle name="Normal 2 2 4 3 6 2 2" xfId="13674" xr:uid="{00000000-0005-0000-0000-00006B350000}"/>
    <cellStyle name="Normal 2 2 4 3 6 3" xfId="13675" xr:uid="{00000000-0005-0000-0000-00006C350000}"/>
    <cellStyle name="Normal 2 2 4 3 7" xfId="13676" xr:uid="{00000000-0005-0000-0000-00006D350000}"/>
    <cellStyle name="Normal 2 2 4 3 7 2" xfId="13677" xr:uid="{00000000-0005-0000-0000-00006E350000}"/>
    <cellStyle name="Normal 2 2 4 3 8" xfId="13678" xr:uid="{00000000-0005-0000-0000-00006F350000}"/>
    <cellStyle name="Normal 2 2 4 4" xfId="13679" xr:uid="{00000000-0005-0000-0000-000070350000}"/>
    <cellStyle name="Normal 2 2 4 4 2" xfId="13680" xr:uid="{00000000-0005-0000-0000-000071350000}"/>
    <cellStyle name="Normal 2 2 4 4 2 2" xfId="13681" xr:uid="{00000000-0005-0000-0000-000072350000}"/>
    <cellStyle name="Normal 2 2 4 4 2 2 2" xfId="13682" xr:uid="{00000000-0005-0000-0000-000073350000}"/>
    <cellStyle name="Normal 2 2 4 4 2 2 2 2" xfId="13683" xr:uid="{00000000-0005-0000-0000-000074350000}"/>
    <cellStyle name="Normal 2 2 4 4 2 2 2 2 2" xfId="13684" xr:uid="{00000000-0005-0000-0000-000075350000}"/>
    <cellStyle name="Normal 2 2 4 4 2 2 2 2 2 2" xfId="13685" xr:uid="{00000000-0005-0000-0000-000076350000}"/>
    <cellStyle name="Normal 2 2 4 4 2 2 2 2 3" xfId="13686" xr:uid="{00000000-0005-0000-0000-000077350000}"/>
    <cellStyle name="Normal 2 2 4 4 2 2 2 3" xfId="13687" xr:uid="{00000000-0005-0000-0000-000078350000}"/>
    <cellStyle name="Normal 2 2 4 4 2 2 2 3 2" xfId="13688" xr:uid="{00000000-0005-0000-0000-000079350000}"/>
    <cellStyle name="Normal 2 2 4 4 2 2 2 4" xfId="13689" xr:uid="{00000000-0005-0000-0000-00007A350000}"/>
    <cellStyle name="Normal 2 2 4 4 2 2 3" xfId="13690" xr:uid="{00000000-0005-0000-0000-00007B350000}"/>
    <cellStyle name="Normal 2 2 4 4 2 2 3 2" xfId="13691" xr:uid="{00000000-0005-0000-0000-00007C350000}"/>
    <cellStyle name="Normal 2 2 4 4 2 2 3 2 2" xfId="13692" xr:uid="{00000000-0005-0000-0000-00007D350000}"/>
    <cellStyle name="Normal 2 2 4 4 2 2 3 3" xfId="13693" xr:uid="{00000000-0005-0000-0000-00007E350000}"/>
    <cellStyle name="Normal 2 2 4 4 2 2 4" xfId="13694" xr:uid="{00000000-0005-0000-0000-00007F350000}"/>
    <cellStyle name="Normal 2 2 4 4 2 2 4 2" xfId="13695" xr:uid="{00000000-0005-0000-0000-000080350000}"/>
    <cellStyle name="Normal 2 2 4 4 2 2 5" xfId="13696" xr:uid="{00000000-0005-0000-0000-000081350000}"/>
    <cellStyle name="Normal 2 2 4 4 2 3" xfId="13697" xr:uid="{00000000-0005-0000-0000-000082350000}"/>
    <cellStyle name="Normal 2 2 4 4 2 3 2" xfId="13698" xr:uid="{00000000-0005-0000-0000-000083350000}"/>
    <cellStyle name="Normal 2 2 4 4 2 3 2 2" xfId="13699" xr:uid="{00000000-0005-0000-0000-000084350000}"/>
    <cellStyle name="Normal 2 2 4 4 2 3 2 2 2" xfId="13700" xr:uid="{00000000-0005-0000-0000-000085350000}"/>
    <cellStyle name="Normal 2 2 4 4 2 3 2 3" xfId="13701" xr:uid="{00000000-0005-0000-0000-000086350000}"/>
    <cellStyle name="Normal 2 2 4 4 2 3 3" xfId="13702" xr:uid="{00000000-0005-0000-0000-000087350000}"/>
    <cellStyle name="Normal 2 2 4 4 2 3 3 2" xfId="13703" xr:uid="{00000000-0005-0000-0000-000088350000}"/>
    <cellStyle name="Normal 2 2 4 4 2 3 4" xfId="13704" xr:uid="{00000000-0005-0000-0000-000089350000}"/>
    <cellStyle name="Normal 2 2 4 4 2 4" xfId="13705" xr:uid="{00000000-0005-0000-0000-00008A350000}"/>
    <cellStyle name="Normal 2 2 4 4 2 4 2" xfId="13706" xr:uid="{00000000-0005-0000-0000-00008B350000}"/>
    <cellStyle name="Normal 2 2 4 4 2 4 2 2" xfId="13707" xr:uid="{00000000-0005-0000-0000-00008C350000}"/>
    <cellStyle name="Normal 2 2 4 4 2 4 3" xfId="13708" xr:uid="{00000000-0005-0000-0000-00008D350000}"/>
    <cellStyle name="Normal 2 2 4 4 2 5" xfId="13709" xr:uid="{00000000-0005-0000-0000-00008E350000}"/>
    <cellStyle name="Normal 2 2 4 4 2 5 2" xfId="13710" xr:uid="{00000000-0005-0000-0000-00008F350000}"/>
    <cellStyle name="Normal 2 2 4 4 2 6" xfId="13711" xr:uid="{00000000-0005-0000-0000-000090350000}"/>
    <cellStyle name="Normal 2 2 4 4 3" xfId="13712" xr:uid="{00000000-0005-0000-0000-000091350000}"/>
    <cellStyle name="Normal 2 2 4 4 3 2" xfId="13713" xr:uid="{00000000-0005-0000-0000-000092350000}"/>
    <cellStyle name="Normal 2 2 4 4 3 2 2" xfId="13714" xr:uid="{00000000-0005-0000-0000-000093350000}"/>
    <cellStyle name="Normal 2 2 4 4 3 2 2 2" xfId="13715" xr:uid="{00000000-0005-0000-0000-000094350000}"/>
    <cellStyle name="Normal 2 2 4 4 3 2 2 2 2" xfId="13716" xr:uid="{00000000-0005-0000-0000-000095350000}"/>
    <cellStyle name="Normal 2 2 4 4 3 2 2 3" xfId="13717" xr:uid="{00000000-0005-0000-0000-000096350000}"/>
    <cellStyle name="Normal 2 2 4 4 3 2 3" xfId="13718" xr:uid="{00000000-0005-0000-0000-000097350000}"/>
    <cellStyle name="Normal 2 2 4 4 3 2 3 2" xfId="13719" xr:uid="{00000000-0005-0000-0000-000098350000}"/>
    <cellStyle name="Normal 2 2 4 4 3 2 4" xfId="13720" xr:uid="{00000000-0005-0000-0000-000099350000}"/>
    <cellStyle name="Normal 2 2 4 4 3 3" xfId="13721" xr:uid="{00000000-0005-0000-0000-00009A350000}"/>
    <cellStyle name="Normal 2 2 4 4 3 3 2" xfId="13722" xr:uid="{00000000-0005-0000-0000-00009B350000}"/>
    <cellStyle name="Normal 2 2 4 4 3 3 2 2" xfId="13723" xr:uid="{00000000-0005-0000-0000-00009C350000}"/>
    <cellStyle name="Normal 2 2 4 4 3 3 3" xfId="13724" xr:uid="{00000000-0005-0000-0000-00009D350000}"/>
    <cellStyle name="Normal 2 2 4 4 3 4" xfId="13725" xr:uid="{00000000-0005-0000-0000-00009E350000}"/>
    <cellStyle name="Normal 2 2 4 4 3 4 2" xfId="13726" xr:uid="{00000000-0005-0000-0000-00009F350000}"/>
    <cellStyle name="Normal 2 2 4 4 3 5" xfId="13727" xr:uid="{00000000-0005-0000-0000-0000A0350000}"/>
    <cellStyle name="Normal 2 2 4 4 4" xfId="13728" xr:uid="{00000000-0005-0000-0000-0000A1350000}"/>
    <cellStyle name="Normal 2 2 4 4 4 2" xfId="13729" xr:uid="{00000000-0005-0000-0000-0000A2350000}"/>
    <cellStyle name="Normal 2 2 4 4 4 2 2" xfId="13730" xr:uid="{00000000-0005-0000-0000-0000A3350000}"/>
    <cellStyle name="Normal 2 2 4 4 4 2 2 2" xfId="13731" xr:uid="{00000000-0005-0000-0000-0000A4350000}"/>
    <cellStyle name="Normal 2 2 4 4 4 2 3" xfId="13732" xr:uid="{00000000-0005-0000-0000-0000A5350000}"/>
    <cellStyle name="Normal 2 2 4 4 4 3" xfId="13733" xr:uid="{00000000-0005-0000-0000-0000A6350000}"/>
    <cellStyle name="Normal 2 2 4 4 4 3 2" xfId="13734" xr:uid="{00000000-0005-0000-0000-0000A7350000}"/>
    <cellStyle name="Normal 2 2 4 4 4 4" xfId="13735" xr:uid="{00000000-0005-0000-0000-0000A8350000}"/>
    <cellStyle name="Normal 2 2 4 4 5" xfId="13736" xr:uid="{00000000-0005-0000-0000-0000A9350000}"/>
    <cellStyle name="Normal 2 2 4 4 5 2" xfId="13737" xr:uid="{00000000-0005-0000-0000-0000AA350000}"/>
    <cellStyle name="Normal 2 2 4 4 5 2 2" xfId="13738" xr:uid="{00000000-0005-0000-0000-0000AB350000}"/>
    <cellStyle name="Normal 2 2 4 4 5 3" xfId="13739" xr:uid="{00000000-0005-0000-0000-0000AC350000}"/>
    <cellStyle name="Normal 2 2 4 4 6" xfId="13740" xr:uid="{00000000-0005-0000-0000-0000AD350000}"/>
    <cellStyle name="Normal 2 2 4 4 6 2" xfId="13741" xr:uid="{00000000-0005-0000-0000-0000AE350000}"/>
    <cellStyle name="Normal 2 2 4 4 7" xfId="13742" xr:uid="{00000000-0005-0000-0000-0000AF350000}"/>
    <cellStyle name="Normal 2 2 4 5" xfId="13743" xr:uid="{00000000-0005-0000-0000-0000B0350000}"/>
    <cellStyle name="Normal 2 2 4 5 2" xfId="13744" xr:uid="{00000000-0005-0000-0000-0000B1350000}"/>
    <cellStyle name="Normal 2 2 4 5 2 2" xfId="13745" xr:uid="{00000000-0005-0000-0000-0000B2350000}"/>
    <cellStyle name="Normal 2 2 4 5 2 2 2" xfId="13746" xr:uid="{00000000-0005-0000-0000-0000B3350000}"/>
    <cellStyle name="Normal 2 2 4 5 2 2 2 2" xfId="13747" xr:uid="{00000000-0005-0000-0000-0000B4350000}"/>
    <cellStyle name="Normal 2 2 4 5 2 2 2 2 2" xfId="13748" xr:uid="{00000000-0005-0000-0000-0000B5350000}"/>
    <cellStyle name="Normal 2 2 4 5 2 2 2 3" xfId="13749" xr:uid="{00000000-0005-0000-0000-0000B6350000}"/>
    <cellStyle name="Normal 2 2 4 5 2 2 3" xfId="13750" xr:uid="{00000000-0005-0000-0000-0000B7350000}"/>
    <cellStyle name="Normal 2 2 4 5 2 2 3 2" xfId="13751" xr:uid="{00000000-0005-0000-0000-0000B8350000}"/>
    <cellStyle name="Normal 2 2 4 5 2 2 4" xfId="13752" xr:uid="{00000000-0005-0000-0000-0000B9350000}"/>
    <cellStyle name="Normal 2 2 4 5 2 3" xfId="13753" xr:uid="{00000000-0005-0000-0000-0000BA350000}"/>
    <cellStyle name="Normal 2 2 4 5 2 3 2" xfId="13754" xr:uid="{00000000-0005-0000-0000-0000BB350000}"/>
    <cellStyle name="Normal 2 2 4 5 2 3 2 2" xfId="13755" xr:uid="{00000000-0005-0000-0000-0000BC350000}"/>
    <cellStyle name="Normal 2 2 4 5 2 3 3" xfId="13756" xr:uid="{00000000-0005-0000-0000-0000BD350000}"/>
    <cellStyle name="Normal 2 2 4 5 2 4" xfId="13757" xr:uid="{00000000-0005-0000-0000-0000BE350000}"/>
    <cellStyle name="Normal 2 2 4 5 2 4 2" xfId="13758" xr:uid="{00000000-0005-0000-0000-0000BF350000}"/>
    <cellStyle name="Normal 2 2 4 5 2 5" xfId="13759" xr:uid="{00000000-0005-0000-0000-0000C0350000}"/>
    <cellStyle name="Normal 2 2 4 5 3" xfId="13760" xr:uid="{00000000-0005-0000-0000-0000C1350000}"/>
    <cellStyle name="Normal 2 2 4 5 3 2" xfId="13761" xr:uid="{00000000-0005-0000-0000-0000C2350000}"/>
    <cellStyle name="Normal 2 2 4 5 3 2 2" xfId="13762" xr:uid="{00000000-0005-0000-0000-0000C3350000}"/>
    <cellStyle name="Normal 2 2 4 5 3 2 2 2" xfId="13763" xr:uid="{00000000-0005-0000-0000-0000C4350000}"/>
    <cellStyle name="Normal 2 2 4 5 3 2 3" xfId="13764" xr:uid="{00000000-0005-0000-0000-0000C5350000}"/>
    <cellStyle name="Normal 2 2 4 5 3 3" xfId="13765" xr:uid="{00000000-0005-0000-0000-0000C6350000}"/>
    <cellStyle name="Normal 2 2 4 5 3 3 2" xfId="13766" xr:uid="{00000000-0005-0000-0000-0000C7350000}"/>
    <cellStyle name="Normal 2 2 4 5 3 4" xfId="13767" xr:uid="{00000000-0005-0000-0000-0000C8350000}"/>
    <cellStyle name="Normal 2 2 4 5 4" xfId="13768" xr:uid="{00000000-0005-0000-0000-0000C9350000}"/>
    <cellStyle name="Normal 2 2 4 5 4 2" xfId="13769" xr:uid="{00000000-0005-0000-0000-0000CA350000}"/>
    <cellStyle name="Normal 2 2 4 5 4 2 2" xfId="13770" xr:uid="{00000000-0005-0000-0000-0000CB350000}"/>
    <cellStyle name="Normal 2 2 4 5 4 3" xfId="13771" xr:uid="{00000000-0005-0000-0000-0000CC350000}"/>
    <cellStyle name="Normal 2 2 4 5 5" xfId="13772" xr:uid="{00000000-0005-0000-0000-0000CD350000}"/>
    <cellStyle name="Normal 2 2 4 5 5 2" xfId="13773" xr:uid="{00000000-0005-0000-0000-0000CE350000}"/>
    <cellStyle name="Normal 2 2 4 5 6" xfId="13774" xr:uid="{00000000-0005-0000-0000-0000CF350000}"/>
    <cellStyle name="Normal 2 2 4 6" xfId="13775" xr:uid="{00000000-0005-0000-0000-0000D0350000}"/>
    <cellStyle name="Normal 2 2 4 6 2" xfId="13776" xr:uid="{00000000-0005-0000-0000-0000D1350000}"/>
    <cellStyle name="Normal 2 2 4 6 2 2" xfId="13777" xr:uid="{00000000-0005-0000-0000-0000D2350000}"/>
    <cellStyle name="Normal 2 2 4 6 2 2 2" xfId="13778" xr:uid="{00000000-0005-0000-0000-0000D3350000}"/>
    <cellStyle name="Normal 2 2 4 6 2 2 2 2" xfId="13779" xr:uid="{00000000-0005-0000-0000-0000D4350000}"/>
    <cellStyle name="Normal 2 2 4 6 2 2 3" xfId="13780" xr:uid="{00000000-0005-0000-0000-0000D5350000}"/>
    <cellStyle name="Normal 2 2 4 6 2 3" xfId="13781" xr:uid="{00000000-0005-0000-0000-0000D6350000}"/>
    <cellStyle name="Normal 2 2 4 6 2 3 2" xfId="13782" xr:uid="{00000000-0005-0000-0000-0000D7350000}"/>
    <cellStyle name="Normal 2 2 4 6 2 4" xfId="13783" xr:uid="{00000000-0005-0000-0000-0000D8350000}"/>
    <cellStyle name="Normal 2 2 4 6 3" xfId="13784" xr:uid="{00000000-0005-0000-0000-0000D9350000}"/>
    <cellStyle name="Normal 2 2 4 6 3 2" xfId="13785" xr:uid="{00000000-0005-0000-0000-0000DA350000}"/>
    <cellStyle name="Normal 2 2 4 6 3 2 2" xfId="13786" xr:uid="{00000000-0005-0000-0000-0000DB350000}"/>
    <cellStyle name="Normal 2 2 4 6 3 3" xfId="13787" xr:uid="{00000000-0005-0000-0000-0000DC350000}"/>
    <cellStyle name="Normal 2 2 4 6 4" xfId="13788" xr:uid="{00000000-0005-0000-0000-0000DD350000}"/>
    <cellStyle name="Normal 2 2 4 6 4 2" xfId="13789" xr:uid="{00000000-0005-0000-0000-0000DE350000}"/>
    <cellStyle name="Normal 2 2 4 6 5" xfId="13790" xr:uid="{00000000-0005-0000-0000-0000DF350000}"/>
    <cellStyle name="Normal 2 2 4 7" xfId="13791" xr:uid="{00000000-0005-0000-0000-0000E0350000}"/>
    <cellStyle name="Normal 2 2 4 7 2" xfId="13792" xr:uid="{00000000-0005-0000-0000-0000E1350000}"/>
    <cellStyle name="Normal 2 2 4 7 2 2" xfId="13793" xr:uid="{00000000-0005-0000-0000-0000E2350000}"/>
    <cellStyle name="Normal 2 2 4 7 2 2 2" xfId="13794" xr:uid="{00000000-0005-0000-0000-0000E3350000}"/>
    <cellStyle name="Normal 2 2 4 7 2 3" xfId="13795" xr:uid="{00000000-0005-0000-0000-0000E4350000}"/>
    <cellStyle name="Normal 2 2 4 7 3" xfId="13796" xr:uid="{00000000-0005-0000-0000-0000E5350000}"/>
    <cellStyle name="Normal 2 2 4 7 3 2" xfId="13797" xr:uid="{00000000-0005-0000-0000-0000E6350000}"/>
    <cellStyle name="Normal 2 2 4 7 4" xfId="13798" xr:uid="{00000000-0005-0000-0000-0000E7350000}"/>
    <cellStyle name="Normal 2 2 4 8" xfId="13799" xr:uid="{00000000-0005-0000-0000-0000E8350000}"/>
    <cellStyle name="Normal 2 2 4 8 2" xfId="13800" xr:uid="{00000000-0005-0000-0000-0000E9350000}"/>
    <cellStyle name="Normal 2 2 4 8 2 2" xfId="13801" xr:uid="{00000000-0005-0000-0000-0000EA350000}"/>
    <cellStyle name="Normal 2 2 4 8 3" xfId="13802" xr:uid="{00000000-0005-0000-0000-0000EB350000}"/>
    <cellStyle name="Normal 2 2 4 9" xfId="13803" xr:uid="{00000000-0005-0000-0000-0000EC350000}"/>
    <cellStyle name="Normal 2 2 4 9 2" xfId="13804" xr:uid="{00000000-0005-0000-0000-0000ED350000}"/>
    <cellStyle name="Normal 2 2 5" xfId="13805" xr:uid="{00000000-0005-0000-0000-0000EE350000}"/>
    <cellStyle name="Normal 2 2 5 2" xfId="13806" xr:uid="{00000000-0005-0000-0000-0000EF350000}"/>
    <cellStyle name="Normal 2 2 5 2 2" xfId="13807" xr:uid="{00000000-0005-0000-0000-0000F0350000}"/>
    <cellStyle name="Normal 2 2 5 2 2 2" xfId="13808" xr:uid="{00000000-0005-0000-0000-0000F1350000}"/>
    <cellStyle name="Normal 2 2 5 2 2 2 2" xfId="13809" xr:uid="{00000000-0005-0000-0000-0000F2350000}"/>
    <cellStyle name="Normal 2 2 5 2 2 2 2 2" xfId="13810" xr:uid="{00000000-0005-0000-0000-0000F3350000}"/>
    <cellStyle name="Normal 2 2 5 2 2 2 2 2 2" xfId="13811" xr:uid="{00000000-0005-0000-0000-0000F4350000}"/>
    <cellStyle name="Normal 2 2 5 2 2 2 2 2 2 2" xfId="13812" xr:uid="{00000000-0005-0000-0000-0000F5350000}"/>
    <cellStyle name="Normal 2 2 5 2 2 2 2 2 2 2 2" xfId="13813" xr:uid="{00000000-0005-0000-0000-0000F6350000}"/>
    <cellStyle name="Normal 2 2 5 2 2 2 2 2 2 3" xfId="13814" xr:uid="{00000000-0005-0000-0000-0000F7350000}"/>
    <cellStyle name="Normal 2 2 5 2 2 2 2 2 3" xfId="13815" xr:uid="{00000000-0005-0000-0000-0000F8350000}"/>
    <cellStyle name="Normal 2 2 5 2 2 2 2 2 3 2" xfId="13816" xr:uid="{00000000-0005-0000-0000-0000F9350000}"/>
    <cellStyle name="Normal 2 2 5 2 2 2 2 2 4" xfId="13817" xr:uid="{00000000-0005-0000-0000-0000FA350000}"/>
    <cellStyle name="Normal 2 2 5 2 2 2 2 3" xfId="13818" xr:uid="{00000000-0005-0000-0000-0000FB350000}"/>
    <cellStyle name="Normal 2 2 5 2 2 2 2 3 2" xfId="13819" xr:uid="{00000000-0005-0000-0000-0000FC350000}"/>
    <cellStyle name="Normal 2 2 5 2 2 2 2 3 2 2" xfId="13820" xr:uid="{00000000-0005-0000-0000-0000FD350000}"/>
    <cellStyle name="Normal 2 2 5 2 2 2 2 3 3" xfId="13821" xr:uid="{00000000-0005-0000-0000-0000FE350000}"/>
    <cellStyle name="Normal 2 2 5 2 2 2 2 4" xfId="13822" xr:uid="{00000000-0005-0000-0000-0000FF350000}"/>
    <cellStyle name="Normal 2 2 5 2 2 2 2 4 2" xfId="13823" xr:uid="{00000000-0005-0000-0000-000000360000}"/>
    <cellStyle name="Normal 2 2 5 2 2 2 2 5" xfId="13824" xr:uid="{00000000-0005-0000-0000-000001360000}"/>
    <cellStyle name="Normal 2 2 5 2 2 2 3" xfId="13825" xr:uid="{00000000-0005-0000-0000-000002360000}"/>
    <cellStyle name="Normal 2 2 5 2 2 2 3 2" xfId="13826" xr:uid="{00000000-0005-0000-0000-000003360000}"/>
    <cellStyle name="Normal 2 2 5 2 2 2 3 2 2" xfId="13827" xr:uid="{00000000-0005-0000-0000-000004360000}"/>
    <cellStyle name="Normal 2 2 5 2 2 2 3 2 2 2" xfId="13828" xr:uid="{00000000-0005-0000-0000-000005360000}"/>
    <cellStyle name="Normal 2 2 5 2 2 2 3 2 3" xfId="13829" xr:uid="{00000000-0005-0000-0000-000006360000}"/>
    <cellStyle name="Normal 2 2 5 2 2 2 3 3" xfId="13830" xr:uid="{00000000-0005-0000-0000-000007360000}"/>
    <cellStyle name="Normal 2 2 5 2 2 2 3 3 2" xfId="13831" xr:uid="{00000000-0005-0000-0000-000008360000}"/>
    <cellStyle name="Normal 2 2 5 2 2 2 3 4" xfId="13832" xr:uid="{00000000-0005-0000-0000-000009360000}"/>
    <cellStyle name="Normal 2 2 5 2 2 2 4" xfId="13833" xr:uid="{00000000-0005-0000-0000-00000A360000}"/>
    <cellStyle name="Normal 2 2 5 2 2 2 4 2" xfId="13834" xr:uid="{00000000-0005-0000-0000-00000B360000}"/>
    <cellStyle name="Normal 2 2 5 2 2 2 4 2 2" xfId="13835" xr:uid="{00000000-0005-0000-0000-00000C360000}"/>
    <cellStyle name="Normal 2 2 5 2 2 2 4 3" xfId="13836" xr:uid="{00000000-0005-0000-0000-00000D360000}"/>
    <cellStyle name="Normal 2 2 5 2 2 2 5" xfId="13837" xr:uid="{00000000-0005-0000-0000-00000E360000}"/>
    <cellStyle name="Normal 2 2 5 2 2 2 5 2" xfId="13838" xr:uid="{00000000-0005-0000-0000-00000F360000}"/>
    <cellStyle name="Normal 2 2 5 2 2 2 6" xfId="13839" xr:uid="{00000000-0005-0000-0000-000010360000}"/>
    <cellStyle name="Normal 2 2 5 2 2 3" xfId="13840" xr:uid="{00000000-0005-0000-0000-000011360000}"/>
    <cellStyle name="Normal 2 2 5 2 2 3 2" xfId="13841" xr:uid="{00000000-0005-0000-0000-000012360000}"/>
    <cellStyle name="Normal 2 2 5 2 2 3 2 2" xfId="13842" xr:uid="{00000000-0005-0000-0000-000013360000}"/>
    <cellStyle name="Normal 2 2 5 2 2 3 2 2 2" xfId="13843" xr:uid="{00000000-0005-0000-0000-000014360000}"/>
    <cellStyle name="Normal 2 2 5 2 2 3 2 2 2 2" xfId="13844" xr:uid="{00000000-0005-0000-0000-000015360000}"/>
    <cellStyle name="Normal 2 2 5 2 2 3 2 2 3" xfId="13845" xr:uid="{00000000-0005-0000-0000-000016360000}"/>
    <cellStyle name="Normal 2 2 5 2 2 3 2 3" xfId="13846" xr:uid="{00000000-0005-0000-0000-000017360000}"/>
    <cellStyle name="Normal 2 2 5 2 2 3 2 3 2" xfId="13847" xr:uid="{00000000-0005-0000-0000-000018360000}"/>
    <cellStyle name="Normal 2 2 5 2 2 3 2 4" xfId="13848" xr:uid="{00000000-0005-0000-0000-000019360000}"/>
    <cellStyle name="Normal 2 2 5 2 2 3 3" xfId="13849" xr:uid="{00000000-0005-0000-0000-00001A360000}"/>
    <cellStyle name="Normal 2 2 5 2 2 3 3 2" xfId="13850" xr:uid="{00000000-0005-0000-0000-00001B360000}"/>
    <cellStyle name="Normal 2 2 5 2 2 3 3 2 2" xfId="13851" xr:uid="{00000000-0005-0000-0000-00001C360000}"/>
    <cellStyle name="Normal 2 2 5 2 2 3 3 3" xfId="13852" xr:uid="{00000000-0005-0000-0000-00001D360000}"/>
    <cellStyle name="Normal 2 2 5 2 2 3 4" xfId="13853" xr:uid="{00000000-0005-0000-0000-00001E360000}"/>
    <cellStyle name="Normal 2 2 5 2 2 3 4 2" xfId="13854" xr:uid="{00000000-0005-0000-0000-00001F360000}"/>
    <cellStyle name="Normal 2 2 5 2 2 3 5" xfId="13855" xr:uid="{00000000-0005-0000-0000-000020360000}"/>
    <cellStyle name="Normal 2 2 5 2 2 4" xfId="13856" xr:uid="{00000000-0005-0000-0000-000021360000}"/>
    <cellStyle name="Normal 2 2 5 2 2 4 2" xfId="13857" xr:uid="{00000000-0005-0000-0000-000022360000}"/>
    <cellStyle name="Normal 2 2 5 2 2 4 2 2" xfId="13858" xr:uid="{00000000-0005-0000-0000-000023360000}"/>
    <cellStyle name="Normal 2 2 5 2 2 4 2 2 2" xfId="13859" xr:uid="{00000000-0005-0000-0000-000024360000}"/>
    <cellStyle name="Normal 2 2 5 2 2 4 2 3" xfId="13860" xr:uid="{00000000-0005-0000-0000-000025360000}"/>
    <cellStyle name="Normal 2 2 5 2 2 4 3" xfId="13861" xr:uid="{00000000-0005-0000-0000-000026360000}"/>
    <cellStyle name="Normal 2 2 5 2 2 4 3 2" xfId="13862" xr:uid="{00000000-0005-0000-0000-000027360000}"/>
    <cellStyle name="Normal 2 2 5 2 2 4 4" xfId="13863" xr:uid="{00000000-0005-0000-0000-000028360000}"/>
    <cellStyle name="Normal 2 2 5 2 2 5" xfId="13864" xr:uid="{00000000-0005-0000-0000-000029360000}"/>
    <cellStyle name="Normal 2 2 5 2 2 5 2" xfId="13865" xr:uid="{00000000-0005-0000-0000-00002A360000}"/>
    <cellStyle name="Normal 2 2 5 2 2 5 2 2" xfId="13866" xr:uid="{00000000-0005-0000-0000-00002B360000}"/>
    <cellStyle name="Normal 2 2 5 2 2 5 3" xfId="13867" xr:uid="{00000000-0005-0000-0000-00002C360000}"/>
    <cellStyle name="Normal 2 2 5 2 2 6" xfId="13868" xr:uid="{00000000-0005-0000-0000-00002D360000}"/>
    <cellStyle name="Normal 2 2 5 2 2 6 2" xfId="13869" xr:uid="{00000000-0005-0000-0000-00002E360000}"/>
    <cellStyle name="Normal 2 2 5 2 2 7" xfId="13870" xr:uid="{00000000-0005-0000-0000-00002F360000}"/>
    <cellStyle name="Normal 2 2 5 2 3" xfId="13871" xr:uid="{00000000-0005-0000-0000-000030360000}"/>
    <cellStyle name="Normal 2 2 5 2 3 2" xfId="13872" xr:uid="{00000000-0005-0000-0000-000031360000}"/>
    <cellStyle name="Normal 2 2 5 2 3 2 2" xfId="13873" xr:uid="{00000000-0005-0000-0000-000032360000}"/>
    <cellStyle name="Normal 2 2 5 2 3 2 2 2" xfId="13874" xr:uid="{00000000-0005-0000-0000-000033360000}"/>
    <cellStyle name="Normal 2 2 5 2 3 2 2 2 2" xfId="13875" xr:uid="{00000000-0005-0000-0000-000034360000}"/>
    <cellStyle name="Normal 2 2 5 2 3 2 2 2 2 2" xfId="13876" xr:uid="{00000000-0005-0000-0000-000035360000}"/>
    <cellStyle name="Normal 2 2 5 2 3 2 2 2 3" xfId="13877" xr:uid="{00000000-0005-0000-0000-000036360000}"/>
    <cellStyle name="Normal 2 2 5 2 3 2 2 3" xfId="13878" xr:uid="{00000000-0005-0000-0000-000037360000}"/>
    <cellStyle name="Normal 2 2 5 2 3 2 2 3 2" xfId="13879" xr:uid="{00000000-0005-0000-0000-000038360000}"/>
    <cellStyle name="Normal 2 2 5 2 3 2 2 4" xfId="13880" xr:uid="{00000000-0005-0000-0000-000039360000}"/>
    <cellStyle name="Normal 2 2 5 2 3 2 3" xfId="13881" xr:uid="{00000000-0005-0000-0000-00003A360000}"/>
    <cellStyle name="Normal 2 2 5 2 3 2 3 2" xfId="13882" xr:uid="{00000000-0005-0000-0000-00003B360000}"/>
    <cellStyle name="Normal 2 2 5 2 3 2 3 2 2" xfId="13883" xr:uid="{00000000-0005-0000-0000-00003C360000}"/>
    <cellStyle name="Normal 2 2 5 2 3 2 3 3" xfId="13884" xr:uid="{00000000-0005-0000-0000-00003D360000}"/>
    <cellStyle name="Normal 2 2 5 2 3 2 4" xfId="13885" xr:uid="{00000000-0005-0000-0000-00003E360000}"/>
    <cellStyle name="Normal 2 2 5 2 3 2 4 2" xfId="13886" xr:uid="{00000000-0005-0000-0000-00003F360000}"/>
    <cellStyle name="Normal 2 2 5 2 3 2 5" xfId="13887" xr:uid="{00000000-0005-0000-0000-000040360000}"/>
    <cellStyle name="Normal 2 2 5 2 3 3" xfId="13888" xr:uid="{00000000-0005-0000-0000-000041360000}"/>
    <cellStyle name="Normal 2 2 5 2 3 3 2" xfId="13889" xr:uid="{00000000-0005-0000-0000-000042360000}"/>
    <cellStyle name="Normal 2 2 5 2 3 3 2 2" xfId="13890" xr:uid="{00000000-0005-0000-0000-000043360000}"/>
    <cellStyle name="Normal 2 2 5 2 3 3 2 2 2" xfId="13891" xr:uid="{00000000-0005-0000-0000-000044360000}"/>
    <cellStyle name="Normal 2 2 5 2 3 3 2 3" xfId="13892" xr:uid="{00000000-0005-0000-0000-000045360000}"/>
    <cellStyle name="Normal 2 2 5 2 3 3 3" xfId="13893" xr:uid="{00000000-0005-0000-0000-000046360000}"/>
    <cellStyle name="Normal 2 2 5 2 3 3 3 2" xfId="13894" xr:uid="{00000000-0005-0000-0000-000047360000}"/>
    <cellStyle name="Normal 2 2 5 2 3 3 4" xfId="13895" xr:uid="{00000000-0005-0000-0000-000048360000}"/>
    <cellStyle name="Normal 2 2 5 2 3 4" xfId="13896" xr:uid="{00000000-0005-0000-0000-000049360000}"/>
    <cellStyle name="Normal 2 2 5 2 3 4 2" xfId="13897" xr:uid="{00000000-0005-0000-0000-00004A360000}"/>
    <cellStyle name="Normal 2 2 5 2 3 4 2 2" xfId="13898" xr:uid="{00000000-0005-0000-0000-00004B360000}"/>
    <cellStyle name="Normal 2 2 5 2 3 4 3" xfId="13899" xr:uid="{00000000-0005-0000-0000-00004C360000}"/>
    <cellStyle name="Normal 2 2 5 2 3 5" xfId="13900" xr:uid="{00000000-0005-0000-0000-00004D360000}"/>
    <cellStyle name="Normal 2 2 5 2 3 5 2" xfId="13901" xr:uid="{00000000-0005-0000-0000-00004E360000}"/>
    <cellStyle name="Normal 2 2 5 2 3 6" xfId="13902" xr:uid="{00000000-0005-0000-0000-00004F360000}"/>
    <cellStyle name="Normal 2 2 5 2 4" xfId="13903" xr:uid="{00000000-0005-0000-0000-000050360000}"/>
    <cellStyle name="Normal 2 2 5 2 4 2" xfId="13904" xr:uid="{00000000-0005-0000-0000-000051360000}"/>
    <cellStyle name="Normal 2 2 5 2 4 2 2" xfId="13905" xr:uid="{00000000-0005-0000-0000-000052360000}"/>
    <cellStyle name="Normal 2 2 5 2 4 2 2 2" xfId="13906" xr:uid="{00000000-0005-0000-0000-000053360000}"/>
    <cellStyle name="Normal 2 2 5 2 4 2 2 2 2" xfId="13907" xr:uid="{00000000-0005-0000-0000-000054360000}"/>
    <cellStyle name="Normal 2 2 5 2 4 2 2 3" xfId="13908" xr:uid="{00000000-0005-0000-0000-000055360000}"/>
    <cellStyle name="Normal 2 2 5 2 4 2 3" xfId="13909" xr:uid="{00000000-0005-0000-0000-000056360000}"/>
    <cellStyle name="Normal 2 2 5 2 4 2 3 2" xfId="13910" xr:uid="{00000000-0005-0000-0000-000057360000}"/>
    <cellStyle name="Normal 2 2 5 2 4 2 4" xfId="13911" xr:uid="{00000000-0005-0000-0000-000058360000}"/>
    <cellStyle name="Normal 2 2 5 2 4 3" xfId="13912" xr:uid="{00000000-0005-0000-0000-000059360000}"/>
    <cellStyle name="Normal 2 2 5 2 4 3 2" xfId="13913" xr:uid="{00000000-0005-0000-0000-00005A360000}"/>
    <cellStyle name="Normal 2 2 5 2 4 3 2 2" xfId="13914" xr:uid="{00000000-0005-0000-0000-00005B360000}"/>
    <cellStyle name="Normal 2 2 5 2 4 3 3" xfId="13915" xr:uid="{00000000-0005-0000-0000-00005C360000}"/>
    <cellStyle name="Normal 2 2 5 2 4 4" xfId="13916" xr:uid="{00000000-0005-0000-0000-00005D360000}"/>
    <cellStyle name="Normal 2 2 5 2 4 4 2" xfId="13917" xr:uid="{00000000-0005-0000-0000-00005E360000}"/>
    <cellStyle name="Normal 2 2 5 2 4 5" xfId="13918" xr:uid="{00000000-0005-0000-0000-00005F360000}"/>
    <cellStyle name="Normal 2 2 5 2 5" xfId="13919" xr:uid="{00000000-0005-0000-0000-000060360000}"/>
    <cellStyle name="Normal 2 2 5 2 5 2" xfId="13920" xr:uid="{00000000-0005-0000-0000-000061360000}"/>
    <cellStyle name="Normal 2 2 5 2 5 2 2" xfId="13921" xr:uid="{00000000-0005-0000-0000-000062360000}"/>
    <cellStyle name="Normal 2 2 5 2 5 2 2 2" xfId="13922" xr:uid="{00000000-0005-0000-0000-000063360000}"/>
    <cellStyle name="Normal 2 2 5 2 5 2 3" xfId="13923" xr:uid="{00000000-0005-0000-0000-000064360000}"/>
    <cellStyle name="Normal 2 2 5 2 5 3" xfId="13924" xr:uid="{00000000-0005-0000-0000-000065360000}"/>
    <cellStyle name="Normal 2 2 5 2 5 3 2" xfId="13925" xr:uid="{00000000-0005-0000-0000-000066360000}"/>
    <cellStyle name="Normal 2 2 5 2 5 4" xfId="13926" xr:uid="{00000000-0005-0000-0000-000067360000}"/>
    <cellStyle name="Normal 2 2 5 2 6" xfId="13927" xr:uid="{00000000-0005-0000-0000-000068360000}"/>
    <cellStyle name="Normal 2 2 5 2 6 2" xfId="13928" xr:uid="{00000000-0005-0000-0000-000069360000}"/>
    <cellStyle name="Normal 2 2 5 2 6 2 2" xfId="13929" xr:uid="{00000000-0005-0000-0000-00006A360000}"/>
    <cellStyle name="Normal 2 2 5 2 6 3" xfId="13930" xr:uid="{00000000-0005-0000-0000-00006B360000}"/>
    <cellStyle name="Normal 2 2 5 2 7" xfId="13931" xr:uid="{00000000-0005-0000-0000-00006C360000}"/>
    <cellStyle name="Normal 2 2 5 2 7 2" xfId="13932" xr:uid="{00000000-0005-0000-0000-00006D360000}"/>
    <cellStyle name="Normal 2 2 5 2 8" xfId="13933" xr:uid="{00000000-0005-0000-0000-00006E360000}"/>
    <cellStyle name="Normal 2 2 5 3" xfId="13934" xr:uid="{00000000-0005-0000-0000-00006F360000}"/>
    <cellStyle name="Normal 2 2 5 3 2" xfId="13935" xr:uid="{00000000-0005-0000-0000-000070360000}"/>
    <cellStyle name="Normal 2 2 5 3 2 2" xfId="13936" xr:uid="{00000000-0005-0000-0000-000071360000}"/>
    <cellStyle name="Normal 2 2 5 3 2 2 2" xfId="13937" xr:uid="{00000000-0005-0000-0000-000072360000}"/>
    <cellStyle name="Normal 2 2 5 3 2 2 2 2" xfId="13938" xr:uid="{00000000-0005-0000-0000-000073360000}"/>
    <cellStyle name="Normal 2 2 5 3 2 2 2 2 2" xfId="13939" xr:uid="{00000000-0005-0000-0000-000074360000}"/>
    <cellStyle name="Normal 2 2 5 3 2 2 2 2 2 2" xfId="13940" xr:uid="{00000000-0005-0000-0000-000075360000}"/>
    <cellStyle name="Normal 2 2 5 3 2 2 2 2 3" xfId="13941" xr:uid="{00000000-0005-0000-0000-000076360000}"/>
    <cellStyle name="Normal 2 2 5 3 2 2 2 3" xfId="13942" xr:uid="{00000000-0005-0000-0000-000077360000}"/>
    <cellStyle name="Normal 2 2 5 3 2 2 2 3 2" xfId="13943" xr:uid="{00000000-0005-0000-0000-000078360000}"/>
    <cellStyle name="Normal 2 2 5 3 2 2 2 4" xfId="13944" xr:uid="{00000000-0005-0000-0000-000079360000}"/>
    <cellStyle name="Normal 2 2 5 3 2 2 3" xfId="13945" xr:uid="{00000000-0005-0000-0000-00007A360000}"/>
    <cellStyle name="Normal 2 2 5 3 2 2 3 2" xfId="13946" xr:uid="{00000000-0005-0000-0000-00007B360000}"/>
    <cellStyle name="Normal 2 2 5 3 2 2 3 2 2" xfId="13947" xr:uid="{00000000-0005-0000-0000-00007C360000}"/>
    <cellStyle name="Normal 2 2 5 3 2 2 3 3" xfId="13948" xr:uid="{00000000-0005-0000-0000-00007D360000}"/>
    <cellStyle name="Normal 2 2 5 3 2 2 4" xfId="13949" xr:uid="{00000000-0005-0000-0000-00007E360000}"/>
    <cellStyle name="Normal 2 2 5 3 2 2 4 2" xfId="13950" xr:uid="{00000000-0005-0000-0000-00007F360000}"/>
    <cellStyle name="Normal 2 2 5 3 2 2 5" xfId="13951" xr:uid="{00000000-0005-0000-0000-000080360000}"/>
    <cellStyle name="Normal 2 2 5 3 2 3" xfId="13952" xr:uid="{00000000-0005-0000-0000-000081360000}"/>
    <cellStyle name="Normal 2 2 5 3 2 3 2" xfId="13953" xr:uid="{00000000-0005-0000-0000-000082360000}"/>
    <cellStyle name="Normal 2 2 5 3 2 3 2 2" xfId="13954" xr:uid="{00000000-0005-0000-0000-000083360000}"/>
    <cellStyle name="Normal 2 2 5 3 2 3 2 2 2" xfId="13955" xr:uid="{00000000-0005-0000-0000-000084360000}"/>
    <cellStyle name="Normal 2 2 5 3 2 3 2 3" xfId="13956" xr:uid="{00000000-0005-0000-0000-000085360000}"/>
    <cellStyle name="Normal 2 2 5 3 2 3 3" xfId="13957" xr:uid="{00000000-0005-0000-0000-000086360000}"/>
    <cellStyle name="Normal 2 2 5 3 2 3 3 2" xfId="13958" xr:uid="{00000000-0005-0000-0000-000087360000}"/>
    <cellStyle name="Normal 2 2 5 3 2 3 4" xfId="13959" xr:uid="{00000000-0005-0000-0000-000088360000}"/>
    <cellStyle name="Normal 2 2 5 3 2 4" xfId="13960" xr:uid="{00000000-0005-0000-0000-000089360000}"/>
    <cellStyle name="Normal 2 2 5 3 2 4 2" xfId="13961" xr:uid="{00000000-0005-0000-0000-00008A360000}"/>
    <cellStyle name="Normal 2 2 5 3 2 4 2 2" xfId="13962" xr:uid="{00000000-0005-0000-0000-00008B360000}"/>
    <cellStyle name="Normal 2 2 5 3 2 4 3" xfId="13963" xr:uid="{00000000-0005-0000-0000-00008C360000}"/>
    <cellStyle name="Normal 2 2 5 3 2 5" xfId="13964" xr:uid="{00000000-0005-0000-0000-00008D360000}"/>
    <cellStyle name="Normal 2 2 5 3 2 5 2" xfId="13965" xr:uid="{00000000-0005-0000-0000-00008E360000}"/>
    <cellStyle name="Normal 2 2 5 3 2 6" xfId="13966" xr:uid="{00000000-0005-0000-0000-00008F360000}"/>
    <cellStyle name="Normal 2 2 5 3 3" xfId="13967" xr:uid="{00000000-0005-0000-0000-000090360000}"/>
    <cellStyle name="Normal 2 2 5 3 3 2" xfId="13968" xr:uid="{00000000-0005-0000-0000-000091360000}"/>
    <cellStyle name="Normal 2 2 5 3 3 2 2" xfId="13969" xr:uid="{00000000-0005-0000-0000-000092360000}"/>
    <cellStyle name="Normal 2 2 5 3 3 2 2 2" xfId="13970" xr:uid="{00000000-0005-0000-0000-000093360000}"/>
    <cellStyle name="Normal 2 2 5 3 3 2 2 2 2" xfId="13971" xr:uid="{00000000-0005-0000-0000-000094360000}"/>
    <cellStyle name="Normal 2 2 5 3 3 2 2 3" xfId="13972" xr:uid="{00000000-0005-0000-0000-000095360000}"/>
    <cellStyle name="Normal 2 2 5 3 3 2 3" xfId="13973" xr:uid="{00000000-0005-0000-0000-000096360000}"/>
    <cellStyle name="Normal 2 2 5 3 3 2 3 2" xfId="13974" xr:uid="{00000000-0005-0000-0000-000097360000}"/>
    <cellStyle name="Normal 2 2 5 3 3 2 4" xfId="13975" xr:uid="{00000000-0005-0000-0000-000098360000}"/>
    <cellStyle name="Normal 2 2 5 3 3 3" xfId="13976" xr:uid="{00000000-0005-0000-0000-000099360000}"/>
    <cellStyle name="Normal 2 2 5 3 3 3 2" xfId="13977" xr:uid="{00000000-0005-0000-0000-00009A360000}"/>
    <cellStyle name="Normal 2 2 5 3 3 3 2 2" xfId="13978" xr:uid="{00000000-0005-0000-0000-00009B360000}"/>
    <cellStyle name="Normal 2 2 5 3 3 3 3" xfId="13979" xr:uid="{00000000-0005-0000-0000-00009C360000}"/>
    <cellStyle name="Normal 2 2 5 3 3 4" xfId="13980" xr:uid="{00000000-0005-0000-0000-00009D360000}"/>
    <cellStyle name="Normal 2 2 5 3 3 4 2" xfId="13981" xr:uid="{00000000-0005-0000-0000-00009E360000}"/>
    <cellStyle name="Normal 2 2 5 3 3 5" xfId="13982" xr:uid="{00000000-0005-0000-0000-00009F360000}"/>
    <cellStyle name="Normal 2 2 5 3 4" xfId="13983" xr:uid="{00000000-0005-0000-0000-0000A0360000}"/>
    <cellStyle name="Normal 2 2 5 3 4 2" xfId="13984" xr:uid="{00000000-0005-0000-0000-0000A1360000}"/>
    <cellStyle name="Normal 2 2 5 3 4 2 2" xfId="13985" xr:uid="{00000000-0005-0000-0000-0000A2360000}"/>
    <cellStyle name="Normal 2 2 5 3 4 2 2 2" xfId="13986" xr:uid="{00000000-0005-0000-0000-0000A3360000}"/>
    <cellStyle name="Normal 2 2 5 3 4 2 3" xfId="13987" xr:uid="{00000000-0005-0000-0000-0000A4360000}"/>
    <cellStyle name="Normal 2 2 5 3 4 3" xfId="13988" xr:uid="{00000000-0005-0000-0000-0000A5360000}"/>
    <cellStyle name="Normal 2 2 5 3 4 3 2" xfId="13989" xr:uid="{00000000-0005-0000-0000-0000A6360000}"/>
    <cellStyle name="Normal 2 2 5 3 4 4" xfId="13990" xr:uid="{00000000-0005-0000-0000-0000A7360000}"/>
    <cellStyle name="Normal 2 2 5 3 5" xfId="13991" xr:uid="{00000000-0005-0000-0000-0000A8360000}"/>
    <cellStyle name="Normal 2 2 5 3 5 2" xfId="13992" xr:uid="{00000000-0005-0000-0000-0000A9360000}"/>
    <cellStyle name="Normal 2 2 5 3 5 2 2" xfId="13993" xr:uid="{00000000-0005-0000-0000-0000AA360000}"/>
    <cellStyle name="Normal 2 2 5 3 5 3" xfId="13994" xr:uid="{00000000-0005-0000-0000-0000AB360000}"/>
    <cellStyle name="Normal 2 2 5 3 6" xfId="13995" xr:uid="{00000000-0005-0000-0000-0000AC360000}"/>
    <cellStyle name="Normal 2 2 5 3 6 2" xfId="13996" xr:uid="{00000000-0005-0000-0000-0000AD360000}"/>
    <cellStyle name="Normal 2 2 5 3 7" xfId="13997" xr:uid="{00000000-0005-0000-0000-0000AE360000}"/>
    <cellStyle name="Normal 2 2 5 4" xfId="13998" xr:uid="{00000000-0005-0000-0000-0000AF360000}"/>
    <cellStyle name="Normal 2 2 5 4 2" xfId="13999" xr:uid="{00000000-0005-0000-0000-0000B0360000}"/>
    <cellStyle name="Normal 2 2 5 4 2 2" xfId="14000" xr:uid="{00000000-0005-0000-0000-0000B1360000}"/>
    <cellStyle name="Normal 2 2 5 4 2 2 2" xfId="14001" xr:uid="{00000000-0005-0000-0000-0000B2360000}"/>
    <cellStyle name="Normal 2 2 5 4 2 2 2 2" xfId="14002" xr:uid="{00000000-0005-0000-0000-0000B3360000}"/>
    <cellStyle name="Normal 2 2 5 4 2 2 2 2 2" xfId="14003" xr:uid="{00000000-0005-0000-0000-0000B4360000}"/>
    <cellStyle name="Normal 2 2 5 4 2 2 2 3" xfId="14004" xr:uid="{00000000-0005-0000-0000-0000B5360000}"/>
    <cellStyle name="Normal 2 2 5 4 2 2 3" xfId="14005" xr:uid="{00000000-0005-0000-0000-0000B6360000}"/>
    <cellStyle name="Normal 2 2 5 4 2 2 3 2" xfId="14006" xr:uid="{00000000-0005-0000-0000-0000B7360000}"/>
    <cellStyle name="Normal 2 2 5 4 2 2 4" xfId="14007" xr:uid="{00000000-0005-0000-0000-0000B8360000}"/>
    <cellStyle name="Normal 2 2 5 4 2 3" xfId="14008" xr:uid="{00000000-0005-0000-0000-0000B9360000}"/>
    <cellStyle name="Normal 2 2 5 4 2 3 2" xfId="14009" xr:uid="{00000000-0005-0000-0000-0000BA360000}"/>
    <cellStyle name="Normal 2 2 5 4 2 3 2 2" xfId="14010" xr:uid="{00000000-0005-0000-0000-0000BB360000}"/>
    <cellStyle name="Normal 2 2 5 4 2 3 3" xfId="14011" xr:uid="{00000000-0005-0000-0000-0000BC360000}"/>
    <cellStyle name="Normal 2 2 5 4 2 4" xfId="14012" xr:uid="{00000000-0005-0000-0000-0000BD360000}"/>
    <cellStyle name="Normal 2 2 5 4 2 4 2" xfId="14013" xr:uid="{00000000-0005-0000-0000-0000BE360000}"/>
    <cellStyle name="Normal 2 2 5 4 2 5" xfId="14014" xr:uid="{00000000-0005-0000-0000-0000BF360000}"/>
    <cellStyle name="Normal 2 2 5 4 3" xfId="14015" xr:uid="{00000000-0005-0000-0000-0000C0360000}"/>
    <cellStyle name="Normal 2 2 5 4 3 2" xfId="14016" xr:uid="{00000000-0005-0000-0000-0000C1360000}"/>
    <cellStyle name="Normal 2 2 5 4 3 2 2" xfId="14017" xr:uid="{00000000-0005-0000-0000-0000C2360000}"/>
    <cellStyle name="Normal 2 2 5 4 3 2 2 2" xfId="14018" xr:uid="{00000000-0005-0000-0000-0000C3360000}"/>
    <cellStyle name="Normal 2 2 5 4 3 2 3" xfId="14019" xr:uid="{00000000-0005-0000-0000-0000C4360000}"/>
    <cellStyle name="Normal 2 2 5 4 3 3" xfId="14020" xr:uid="{00000000-0005-0000-0000-0000C5360000}"/>
    <cellStyle name="Normal 2 2 5 4 3 3 2" xfId="14021" xr:uid="{00000000-0005-0000-0000-0000C6360000}"/>
    <cellStyle name="Normal 2 2 5 4 3 4" xfId="14022" xr:uid="{00000000-0005-0000-0000-0000C7360000}"/>
    <cellStyle name="Normal 2 2 5 4 4" xfId="14023" xr:uid="{00000000-0005-0000-0000-0000C8360000}"/>
    <cellStyle name="Normal 2 2 5 4 4 2" xfId="14024" xr:uid="{00000000-0005-0000-0000-0000C9360000}"/>
    <cellStyle name="Normal 2 2 5 4 4 2 2" xfId="14025" xr:uid="{00000000-0005-0000-0000-0000CA360000}"/>
    <cellStyle name="Normal 2 2 5 4 4 3" xfId="14026" xr:uid="{00000000-0005-0000-0000-0000CB360000}"/>
    <cellStyle name="Normal 2 2 5 4 5" xfId="14027" xr:uid="{00000000-0005-0000-0000-0000CC360000}"/>
    <cellStyle name="Normal 2 2 5 4 5 2" xfId="14028" xr:uid="{00000000-0005-0000-0000-0000CD360000}"/>
    <cellStyle name="Normal 2 2 5 4 6" xfId="14029" xr:uid="{00000000-0005-0000-0000-0000CE360000}"/>
    <cellStyle name="Normal 2 2 5 5" xfId="14030" xr:uid="{00000000-0005-0000-0000-0000CF360000}"/>
    <cellStyle name="Normal 2 2 5 5 2" xfId="14031" xr:uid="{00000000-0005-0000-0000-0000D0360000}"/>
    <cellStyle name="Normal 2 2 5 5 2 2" xfId="14032" xr:uid="{00000000-0005-0000-0000-0000D1360000}"/>
    <cellStyle name="Normal 2 2 5 5 2 2 2" xfId="14033" xr:uid="{00000000-0005-0000-0000-0000D2360000}"/>
    <cellStyle name="Normal 2 2 5 5 2 2 2 2" xfId="14034" xr:uid="{00000000-0005-0000-0000-0000D3360000}"/>
    <cellStyle name="Normal 2 2 5 5 2 2 3" xfId="14035" xr:uid="{00000000-0005-0000-0000-0000D4360000}"/>
    <cellStyle name="Normal 2 2 5 5 2 3" xfId="14036" xr:uid="{00000000-0005-0000-0000-0000D5360000}"/>
    <cellStyle name="Normal 2 2 5 5 2 3 2" xfId="14037" xr:uid="{00000000-0005-0000-0000-0000D6360000}"/>
    <cellStyle name="Normal 2 2 5 5 2 4" xfId="14038" xr:uid="{00000000-0005-0000-0000-0000D7360000}"/>
    <cellStyle name="Normal 2 2 5 5 3" xfId="14039" xr:uid="{00000000-0005-0000-0000-0000D8360000}"/>
    <cellStyle name="Normal 2 2 5 5 3 2" xfId="14040" xr:uid="{00000000-0005-0000-0000-0000D9360000}"/>
    <cellStyle name="Normal 2 2 5 5 3 2 2" xfId="14041" xr:uid="{00000000-0005-0000-0000-0000DA360000}"/>
    <cellStyle name="Normal 2 2 5 5 3 3" xfId="14042" xr:uid="{00000000-0005-0000-0000-0000DB360000}"/>
    <cellStyle name="Normal 2 2 5 5 4" xfId="14043" xr:uid="{00000000-0005-0000-0000-0000DC360000}"/>
    <cellStyle name="Normal 2 2 5 5 4 2" xfId="14044" xr:uid="{00000000-0005-0000-0000-0000DD360000}"/>
    <cellStyle name="Normal 2 2 5 5 5" xfId="14045" xr:uid="{00000000-0005-0000-0000-0000DE360000}"/>
    <cellStyle name="Normal 2 2 5 6" xfId="14046" xr:uid="{00000000-0005-0000-0000-0000DF360000}"/>
    <cellStyle name="Normal 2 2 5 6 2" xfId="14047" xr:uid="{00000000-0005-0000-0000-0000E0360000}"/>
    <cellStyle name="Normal 2 2 5 6 2 2" xfId="14048" xr:uid="{00000000-0005-0000-0000-0000E1360000}"/>
    <cellStyle name="Normal 2 2 5 6 2 2 2" xfId="14049" xr:uid="{00000000-0005-0000-0000-0000E2360000}"/>
    <cellStyle name="Normal 2 2 5 6 2 3" xfId="14050" xr:uid="{00000000-0005-0000-0000-0000E3360000}"/>
    <cellStyle name="Normal 2 2 5 6 3" xfId="14051" xr:uid="{00000000-0005-0000-0000-0000E4360000}"/>
    <cellStyle name="Normal 2 2 5 6 3 2" xfId="14052" xr:uid="{00000000-0005-0000-0000-0000E5360000}"/>
    <cellStyle name="Normal 2 2 5 6 4" xfId="14053" xr:uid="{00000000-0005-0000-0000-0000E6360000}"/>
    <cellStyle name="Normal 2 2 5 7" xfId="14054" xr:uid="{00000000-0005-0000-0000-0000E7360000}"/>
    <cellStyle name="Normal 2 2 5 7 2" xfId="14055" xr:uid="{00000000-0005-0000-0000-0000E8360000}"/>
    <cellStyle name="Normal 2 2 5 7 2 2" xfId="14056" xr:uid="{00000000-0005-0000-0000-0000E9360000}"/>
    <cellStyle name="Normal 2 2 5 7 3" xfId="14057" xr:uid="{00000000-0005-0000-0000-0000EA360000}"/>
    <cellStyle name="Normal 2 2 5 8" xfId="14058" xr:uid="{00000000-0005-0000-0000-0000EB360000}"/>
    <cellStyle name="Normal 2 2 5 8 2" xfId="14059" xr:uid="{00000000-0005-0000-0000-0000EC360000}"/>
    <cellStyle name="Normal 2 2 5 9" xfId="14060" xr:uid="{00000000-0005-0000-0000-0000ED360000}"/>
    <cellStyle name="Normal 2 2 6" xfId="14061" xr:uid="{00000000-0005-0000-0000-0000EE360000}"/>
    <cellStyle name="Normal 2 2 6 2" xfId="14062" xr:uid="{00000000-0005-0000-0000-0000EF360000}"/>
    <cellStyle name="Normal 2 2 6 2 2" xfId="14063" xr:uid="{00000000-0005-0000-0000-0000F0360000}"/>
    <cellStyle name="Normal 2 2 6 2 2 2" xfId="14064" xr:uid="{00000000-0005-0000-0000-0000F1360000}"/>
    <cellStyle name="Normal 2 2 6 2 2 2 2" xfId="14065" xr:uid="{00000000-0005-0000-0000-0000F2360000}"/>
    <cellStyle name="Normal 2 2 6 2 2 2 2 2" xfId="14066" xr:uid="{00000000-0005-0000-0000-0000F3360000}"/>
    <cellStyle name="Normal 2 2 6 2 2 2 2 2 2" xfId="14067" xr:uid="{00000000-0005-0000-0000-0000F4360000}"/>
    <cellStyle name="Normal 2 2 6 2 2 2 2 2 2 2" xfId="14068" xr:uid="{00000000-0005-0000-0000-0000F5360000}"/>
    <cellStyle name="Normal 2 2 6 2 2 2 2 2 3" xfId="14069" xr:uid="{00000000-0005-0000-0000-0000F6360000}"/>
    <cellStyle name="Normal 2 2 6 2 2 2 2 3" xfId="14070" xr:uid="{00000000-0005-0000-0000-0000F7360000}"/>
    <cellStyle name="Normal 2 2 6 2 2 2 2 3 2" xfId="14071" xr:uid="{00000000-0005-0000-0000-0000F8360000}"/>
    <cellStyle name="Normal 2 2 6 2 2 2 2 4" xfId="14072" xr:uid="{00000000-0005-0000-0000-0000F9360000}"/>
    <cellStyle name="Normal 2 2 6 2 2 2 3" xfId="14073" xr:uid="{00000000-0005-0000-0000-0000FA360000}"/>
    <cellStyle name="Normal 2 2 6 2 2 2 3 2" xfId="14074" xr:uid="{00000000-0005-0000-0000-0000FB360000}"/>
    <cellStyle name="Normal 2 2 6 2 2 2 3 2 2" xfId="14075" xr:uid="{00000000-0005-0000-0000-0000FC360000}"/>
    <cellStyle name="Normal 2 2 6 2 2 2 3 3" xfId="14076" xr:uid="{00000000-0005-0000-0000-0000FD360000}"/>
    <cellStyle name="Normal 2 2 6 2 2 2 4" xfId="14077" xr:uid="{00000000-0005-0000-0000-0000FE360000}"/>
    <cellStyle name="Normal 2 2 6 2 2 2 4 2" xfId="14078" xr:uid="{00000000-0005-0000-0000-0000FF360000}"/>
    <cellStyle name="Normal 2 2 6 2 2 2 5" xfId="14079" xr:uid="{00000000-0005-0000-0000-000000370000}"/>
    <cellStyle name="Normal 2 2 6 2 2 3" xfId="14080" xr:uid="{00000000-0005-0000-0000-000001370000}"/>
    <cellStyle name="Normal 2 2 6 2 2 3 2" xfId="14081" xr:uid="{00000000-0005-0000-0000-000002370000}"/>
    <cellStyle name="Normal 2 2 6 2 2 3 2 2" xfId="14082" xr:uid="{00000000-0005-0000-0000-000003370000}"/>
    <cellStyle name="Normal 2 2 6 2 2 3 2 2 2" xfId="14083" xr:uid="{00000000-0005-0000-0000-000004370000}"/>
    <cellStyle name="Normal 2 2 6 2 2 3 2 3" xfId="14084" xr:uid="{00000000-0005-0000-0000-000005370000}"/>
    <cellStyle name="Normal 2 2 6 2 2 3 3" xfId="14085" xr:uid="{00000000-0005-0000-0000-000006370000}"/>
    <cellStyle name="Normal 2 2 6 2 2 3 3 2" xfId="14086" xr:uid="{00000000-0005-0000-0000-000007370000}"/>
    <cellStyle name="Normal 2 2 6 2 2 3 4" xfId="14087" xr:uid="{00000000-0005-0000-0000-000008370000}"/>
    <cellStyle name="Normal 2 2 6 2 2 4" xfId="14088" xr:uid="{00000000-0005-0000-0000-000009370000}"/>
    <cellStyle name="Normal 2 2 6 2 2 4 2" xfId="14089" xr:uid="{00000000-0005-0000-0000-00000A370000}"/>
    <cellStyle name="Normal 2 2 6 2 2 4 2 2" xfId="14090" xr:uid="{00000000-0005-0000-0000-00000B370000}"/>
    <cellStyle name="Normal 2 2 6 2 2 4 3" xfId="14091" xr:uid="{00000000-0005-0000-0000-00000C370000}"/>
    <cellStyle name="Normal 2 2 6 2 2 5" xfId="14092" xr:uid="{00000000-0005-0000-0000-00000D370000}"/>
    <cellStyle name="Normal 2 2 6 2 2 5 2" xfId="14093" xr:uid="{00000000-0005-0000-0000-00000E370000}"/>
    <cellStyle name="Normal 2 2 6 2 2 6" xfId="14094" xr:uid="{00000000-0005-0000-0000-00000F370000}"/>
    <cellStyle name="Normal 2 2 6 2 3" xfId="14095" xr:uid="{00000000-0005-0000-0000-000010370000}"/>
    <cellStyle name="Normal 2 2 6 2 3 2" xfId="14096" xr:uid="{00000000-0005-0000-0000-000011370000}"/>
    <cellStyle name="Normal 2 2 6 2 3 2 2" xfId="14097" xr:uid="{00000000-0005-0000-0000-000012370000}"/>
    <cellStyle name="Normal 2 2 6 2 3 2 2 2" xfId="14098" xr:uid="{00000000-0005-0000-0000-000013370000}"/>
    <cellStyle name="Normal 2 2 6 2 3 2 2 2 2" xfId="14099" xr:uid="{00000000-0005-0000-0000-000014370000}"/>
    <cellStyle name="Normal 2 2 6 2 3 2 2 3" xfId="14100" xr:uid="{00000000-0005-0000-0000-000015370000}"/>
    <cellStyle name="Normal 2 2 6 2 3 2 3" xfId="14101" xr:uid="{00000000-0005-0000-0000-000016370000}"/>
    <cellStyle name="Normal 2 2 6 2 3 2 3 2" xfId="14102" xr:uid="{00000000-0005-0000-0000-000017370000}"/>
    <cellStyle name="Normal 2 2 6 2 3 2 4" xfId="14103" xr:uid="{00000000-0005-0000-0000-000018370000}"/>
    <cellStyle name="Normal 2 2 6 2 3 3" xfId="14104" xr:uid="{00000000-0005-0000-0000-000019370000}"/>
    <cellStyle name="Normal 2 2 6 2 3 3 2" xfId="14105" xr:uid="{00000000-0005-0000-0000-00001A370000}"/>
    <cellStyle name="Normal 2 2 6 2 3 3 2 2" xfId="14106" xr:uid="{00000000-0005-0000-0000-00001B370000}"/>
    <cellStyle name="Normal 2 2 6 2 3 3 3" xfId="14107" xr:uid="{00000000-0005-0000-0000-00001C370000}"/>
    <cellStyle name="Normal 2 2 6 2 3 4" xfId="14108" xr:uid="{00000000-0005-0000-0000-00001D370000}"/>
    <cellStyle name="Normal 2 2 6 2 3 4 2" xfId="14109" xr:uid="{00000000-0005-0000-0000-00001E370000}"/>
    <cellStyle name="Normal 2 2 6 2 3 5" xfId="14110" xr:uid="{00000000-0005-0000-0000-00001F370000}"/>
    <cellStyle name="Normal 2 2 6 2 4" xfId="14111" xr:uid="{00000000-0005-0000-0000-000020370000}"/>
    <cellStyle name="Normal 2 2 6 2 4 2" xfId="14112" xr:uid="{00000000-0005-0000-0000-000021370000}"/>
    <cellStyle name="Normal 2 2 6 2 4 2 2" xfId="14113" xr:uid="{00000000-0005-0000-0000-000022370000}"/>
    <cellStyle name="Normal 2 2 6 2 4 2 2 2" xfId="14114" xr:uid="{00000000-0005-0000-0000-000023370000}"/>
    <cellStyle name="Normal 2 2 6 2 4 2 3" xfId="14115" xr:uid="{00000000-0005-0000-0000-000024370000}"/>
    <cellStyle name="Normal 2 2 6 2 4 3" xfId="14116" xr:uid="{00000000-0005-0000-0000-000025370000}"/>
    <cellStyle name="Normal 2 2 6 2 4 3 2" xfId="14117" xr:uid="{00000000-0005-0000-0000-000026370000}"/>
    <cellStyle name="Normal 2 2 6 2 4 4" xfId="14118" xr:uid="{00000000-0005-0000-0000-000027370000}"/>
    <cellStyle name="Normal 2 2 6 2 5" xfId="14119" xr:uid="{00000000-0005-0000-0000-000028370000}"/>
    <cellStyle name="Normal 2 2 6 2 5 2" xfId="14120" xr:uid="{00000000-0005-0000-0000-000029370000}"/>
    <cellStyle name="Normal 2 2 6 2 5 2 2" xfId="14121" xr:uid="{00000000-0005-0000-0000-00002A370000}"/>
    <cellStyle name="Normal 2 2 6 2 5 3" xfId="14122" xr:uid="{00000000-0005-0000-0000-00002B370000}"/>
    <cellStyle name="Normal 2 2 6 2 6" xfId="14123" xr:uid="{00000000-0005-0000-0000-00002C370000}"/>
    <cellStyle name="Normal 2 2 6 2 6 2" xfId="14124" xr:uid="{00000000-0005-0000-0000-00002D370000}"/>
    <cellStyle name="Normal 2 2 6 2 7" xfId="14125" xr:uid="{00000000-0005-0000-0000-00002E370000}"/>
    <cellStyle name="Normal 2 2 6 3" xfId="14126" xr:uid="{00000000-0005-0000-0000-00002F370000}"/>
    <cellStyle name="Normal 2 2 6 3 2" xfId="14127" xr:uid="{00000000-0005-0000-0000-000030370000}"/>
    <cellStyle name="Normal 2 2 6 3 2 2" xfId="14128" xr:uid="{00000000-0005-0000-0000-000031370000}"/>
    <cellStyle name="Normal 2 2 6 3 2 2 2" xfId="14129" xr:uid="{00000000-0005-0000-0000-000032370000}"/>
    <cellStyle name="Normal 2 2 6 3 2 2 2 2" xfId="14130" xr:uid="{00000000-0005-0000-0000-000033370000}"/>
    <cellStyle name="Normal 2 2 6 3 2 2 2 2 2" xfId="14131" xr:uid="{00000000-0005-0000-0000-000034370000}"/>
    <cellStyle name="Normal 2 2 6 3 2 2 2 3" xfId="14132" xr:uid="{00000000-0005-0000-0000-000035370000}"/>
    <cellStyle name="Normal 2 2 6 3 2 2 3" xfId="14133" xr:uid="{00000000-0005-0000-0000-000036370000}"/>
    <cellStyle name="Normal 2 2 6 3 2 2 3 2" xfId="14134" xr:uid="{00000000-0005-0000-0000-000037370000}"/>
    <cellStyle name="Normal 2 2 6 3 2 2 4" xfId="14135" xr:uid="{00000000-0005-0000-0000-000038370000}"/>
    <cellStyle name="Normal 2 2 6 3 2 3" xfId="14136" xr:uid="{00000000-0005-0000-0000-000039370000}"/>
    <cellStyle name="Normal 2 2 6 3 2 3 2" xfId="14137" xr:uid="{00000000-0005-0000-0000-00003A370000}"/>
    <cellStyle name="Normal 2 2 6 3 2 3 2 2" xfId="14138" xr:uid="{00000000-0005-0000-0000-00003B370000}"/>
    <cellStyle name="Normal 2 2 6 3 2 3 3" xfId="14139" xr:uid="{00000000-0005-0000-0000-00003C370000}"/>
    <cellStyle name="Normal 2 2 6 3 2 4" xfId="14140" xr:uid="{00000000-0005-0000-0000-00003D370000}"/>
    <cellStyle name="Normal 2 2 6 3 2 4 2" xfId="14141" xr:uid="{00000000-0005-0000-0000-00003E370000}"/>
    <cellStyle name="Normal 2 2 6 3 2 5" xfId="14142" xr:uid="{00000000-0005-0000-0000-00003F370000}"/>
    <cellStyle name="Normal 2 2 6 3 3" xfId="14143" xr:uid="{00000000-0005-0000-0000-000040370000}"/>
    <cellStyle name="Normal 2 2 6 3 3 2" xfId="14144" xr:uid="{00000000-0005-0000-0000-000041370000}"/>
    <cellStyle name="Normal 2 2 6 3 3 2 2" xfId="14145" xr:uid="{00000000-0005-0000-0000-000042370000}"/>
    <cellStyle name="Normal 2 2 6 3 3 2 2 2" xfId="14146" xr:uid="{00000000-0005-0000-0000-000043370000}"/>
    <cellStyle name="Normal 2 2 6 3 3 2 3" xfId="14147" xr:uid="{00000000-0005-0000-0000-000044370000}"/>
    <cellStyle name="Normal 2 2 6 3 3 3" xfId="14148" xr:uid="{00000000-0005-0000-0000-000045370000}"/>
    <cellStyle name="Normal 2 2 6 3 3 3 2" xfId="14149" xr:uid="{00000000-0005-0000-0000-000046370000}"/>
    <cellStyle name="Normal 2 2 6 3 3 4" xfId="14150" xr:uid="{00000000-0005-0000-0000-000047370000}"/>
    <cellStyle name="Normal 2 2 6 3 4" xfId="14151" xr:uid="{00000000-0005-0000-0000-000048370000}"/>
    <cellStyle name="Normal 2 2 6 3 4 2" xfId="14152" xr:uid="{00000000-0005-0000-0000-000049370000}"/>
    <cellStyle name="Normal 2 2 6 3 4 2 2" xfId="14153" xr:uid="{00000000-0005-0000-0000-00004A370000}"/>
    <cellStyle name="Normal 2 2 6 3 4 3" xfId="14154" xr:uid="{00000000-0005-0000-0000-00004B370000}"/>
    <cellStyle name="Normal 2 2 6 3 5" xfId="14155" xr:uid="{00000000-0005-0000-0000-00004C370000}"/>
    <cellStyle name="Normal 2 2 6 3 5 2" xfId="14156" xr:uid="{00000000-0005-0000-0000-00004D370000}"/>
    <cellStyle name="Normal 2 2 6 3 6" xfId="14157" xr:uid="{00000000-0005-0000-0000-00004E370000}"/>
    <cellStyle name="Normal 2 2 6 4" xfId="14158" xr:uid="{00000000-0005-0000-0000-00004F370000}"/>
    <cellStyle name="Normal 2 2 6 4 2" xfId="14159" xr:uid="{00000000-0005-0000-0000-000050370000}"/>
    <cellStyle name="Normal 2 2 6 4 2 2" xfId="14160" xr:uid="{00000000-0005-0000-0000-000051370000}"/>
    <cellStyle name="Normal 2 2 6 4 2 2 2" xfId="14161" xr:uid="{00000000-0005-0000-0000-000052370000}"/>
    <cellStyle name="Normal 2 2 6 4 2 2 2 2" xfId="14162" xr:uid="{00000000-0005-0000-0000-000053370000}"/>
    <cellStyle name="Normal 2 2 6 4 2 2 3" xfId="14163" xr:uid="{00000000-0005-0000-0000-000054370000}"/>
    <cellStyle name="Normal 2 2 6 4 2 3" xfId="14164" xr:uid="{00000000-0005-0000-0000-000055370000}"/>
    <cellStyle name="Normal 2 2 6 4 2 3 2" xfId="14165" xr:uid="{00000000-0005-0000-0000-000056370000}"/>
    <cellStyle name="Normal 2 2 6 4 2 4" xfId="14166" xr:uid="{00000000-0005-0000-0000-000057370000}"/>
    <cellStyle name="Normal 2 2 6 4 3" xfId="14167" xr:uid="{00000000-0005-0000-0000-000058370000}"/>
    <cellStyle name="Normal 2 2 6 4 3 2" xfId="14168" xr:uid="{00000000-0005-0000-0000-000059370000}"/>
    <cellStyle name="Normal 2 2 6 4 3 2 2" xfId="14169" xr:uid="{00000000-0005-0000-0000-00005A370000}"/>
    <cellStyle name="Normal 2 2 6 4 3 3" xfId="14170" xr:uid="{00000000-0005-0000-0000-00005B370000}"/>
    <cellStyle name="Normal 2 2 6 4 4" xfId="14171" xr:uid="{00000000-0005-0000-0000-00005C370000}"/>
    <cellStyle name="Normal 2 2 6 4 4 2" xfId="14172" xr:uid="{00000000-0005-0000-0000-00005D370000}"/>
    <cellStyle name="Normal 2 2 6 4 5" xfId="14173" xr:uid="{00000000-0005-0000-0000-00005E370000}"/>
    <cellStyle name="Normal 2 2 6 5" xfId="14174" xr:uid="{00000000-0005-0000-0000-00005F370000}"/>
    <cellStyle name="Normal 2 2 6 5 2" xfId="14175" xr:uid="{00000000-0005-0000-0000-000060370000}"/>
    <cellStyle name="Normal 2 2 6 5 2 2" xfId="14176" xr:uid="{00000000-0005-0000-0000-000061370000}"/>
    <cellStyle name="Normal 2 2 6 5 2 2 2" xfId="14177" xr:uid="{00000000-0005-0000-0000-000062370000}"/>
    <cellStyle name="Normal 2 2 6 5 2 3" xfId="14178" xr:uid="{00000000-0005-0000-0000-000063370000}"/>
    <cellStyle name="Normal 2 2 6 5 3" xfId="14179" xr:uid="{00000000-0005-0000-0000-000064370000}"/>
    <cellStyle name="Normal 2 2 6 5 3 2" xfId="14180" xr:uid="{00000000-0005-0000-0000-000065370000}"/>
    <cellStyle name="Normal 2 2 6 5 4" xfId="14181" xr:uid="{00000000-0005-0000-0000-000066370000}"/>
    <cellStyle name="Normal 2 2 6 6" xfId="14182" xr:uid="{00000000-0005-0000-0000-000067370000}"/>
    <cellStyle name="Normal 2 2 6 6 2" xfId="14183" xr:uid="{00000000-0005-0000-0000-000068370000}"/>
    <cellStyle name="Normal 2 2 6 6 2 2" xfId="14184" xr:uid="{00000000-0005-0000-0000-000069370000}"/>
    <cellStyle name="Normal 2 2 6 6 3" xfId="14185" xr:uid="{00000000-0005-0000-0000-00006A370000}"/>
    <cellStyle name="Normal 2 2 6 7" xfId="14186" xr:uid="{00000000-0005-0000-0000-00006B370000}"/>
    <cellStyle name="Normal 2 2 6 7 2" xfId="14187" xr:uid="{00000000-0005-0000-0000-00006C370000}"/>
    <cellStyle name="Normal 2 2 6 8" xfId="14188" xr:uid="{00000000-0005-0000-0000-00006D370000}"/>
    <cellStyle name="Normal 2 2 7" xfId="14189" xr:uid="{00000000-0005-0000-0000-00006E370000}"/>
    <cellStyle name="Normal 2 2 7 2" xfId="14190" xr:uid="{00000000-0005-0000-0000-00006F370000}"/>
    <cellStyle name="Normal 2 2 7 2 2" xfId="14191" xr:uid="{00000000-0005-0000-0000-000070370000}"/>
    <cellStyle name="Normal 2 2 7 2 2 2" xfId="14192" xr:uid="{00000000-0005-0000-0000-000071370000}"/>
    <cellStyle name="Normal 2 2 7 2 2 2 2" xfId="14193" xr:uid="{00000000-0005-0000-0000-000072370000}"/>
    <cellStyle name="Normal 2 2 7 2 2 2 2 2" xfId="14194" xr:uid="{00000000-0005-0000-0000-000073370000}"/>
    <cellStyle name="Normal 2 2 7 2 2 2 2 2 2" xfId="14195" xr:uid="{00000000-0005-0000-0000-000074370000}"/>
    <cellStyle name="Normal 2 2 7 2 2 2 2 3" xfId="14196" xr:uid="{00000000-0005-0000-0000-000075370000}"/>
    <cellStyle name="Normal 2 2 7 2 2 2 3" xfId="14197" xr:uid="{00000000-0005-0000-0000-000076370000}"/>
    <cellStyle name="Normal 2 2 7 2 2 2 3 2" xfId="14198" xr:uid="{00000000-0005-0000-0000-000077370000}"/>
    <cellStyle name="Normal 2 2 7 2 2 2 4" xfId="14199" xr:uid="{00000000-0005-0000-0000-000078370000}"/>
    <cellStyle name="Normal 2 2 7 2 2 3" xfId="14200" xr:uid="{00000000-0005-0000-0000-000079370000}"/>
    <cellStyle name="Normal 2 2 7 2 2 3 2" xfId="14201" xr:uid="{00000000-0005-0000-0000-00007A370000}"/>
    <cellStyle name="Normal 2 2 7 2 2 3 2 2" xfId="14202" xr:uid="{00000000-0005-0000-0000-00007B370000}"/>
    <cellStyle name="Normal 2 2 7 2 2 3 3" xfId="14203" xr:uid="{00000000-0005-0000-0000-00007C370000}"/>
    <cellStyle name="Normal 2 2 7 2 2 4" xfId="14204" xr:uid="{00000000-0005-0000-0000-00007D370000}"/>
    <cellStyle name="Normal 2 2 7 2 2 4 2" xfId="14205" xr:uid="{00000000-0005-0000-0000-00007E370000}"/>
    <cellStyle name="Normal 2 2 7 2 2 5" xfId="14206" xr:uid="{00000000-0005-0000-0000-00007F370000}"/>
    <cellStyle name="Normal 2 2 7 2 3" xfId="14207" xr:uid="{00000000-0005-0000-0000-000080370000}"/>
    <cellStyle name="Normal 2 2 7 2 3 2" xfId="14208" xr:uid="{00000000-0005-0000-0000-000081370000}"/>
    <cellStyle name="Normal 2 2 7 2 3 2 2" xfId="14209" xr:uid="{00000000-0005-0000-0000-000082370000}"/>
    <cellStyle name="Normal 2 2 7 2 3 2 2 2" xfId="14210" xr:uid="{00000000-0005-0000-0000-000083370000}"/>
    <cellStyle name="Normal 2 2 7 2 3 2 3" xfId="14211" xr:uid="{00000000-0005-0000-0000-000084370000}"/>
    <cellStyle name="Normal 2 2 7 2 3 3" xfId="14212" xr:uid="{00000000-0005-0000-0000-000085370000}"/>
    <cellStyle name="Normal 2 2 7 2 3 3 2" xfId="14213" xr:uid="{00000000-0005-0000-0000-000086370000}"/>
    <cellStyle name="Normal 2 2 7 2 3 4" xfId="14214" xr:uid="{00000000-0005-0000-0000-000087370000}"/>
    <cellStyle name="Normal 2 2 7 2 4" xfId="14215" xr:uid="{00000000-0005-0000-0000-000088370000}"/>
    <cellStyle name="Normal 2 2 7 2 4 2" xfId="14216" xr:uid="{00000000-0005-0000-0000-000089370000}"/>
    <cellStyle name="Normal 2 2 7 2 4 2 2" xfId="14217" xr:uid="{00000000-0005-0000-0000-00008A370000}"/>
    <cellStyle name="Normal 2 2 7 2 4 3" xfId="14218" xr:uid="{00000000-0005-0000-0000-00008B370000}"/>
    <cellStyle name="Normal 2 2 7 2 5" xfId="14219" xr:uid="{00000000-0005-0000-0000-00008C370000}"/>
    <cellStyle name="Normal 2 2 7 2 5 2" xfId="14220" xr:uid="{00000000-0005-0000-0000-00008D370000}"/>
    <cellStyle name="Normal 2 2 7 2 6" xfId="14221" xr:uid="{00000000-0005-0000-0000-00008E370000}"/>
    <cellStyle name="Normal 2 2 7 3" xfId="14222" xr:uid="{00000000-0005-0000-0000-00008F370000}"/>
    <cellStyle name="Normal 2 2 7 3 2" xfId="14223" xr:uid="{00000000-0005-0000-0000-000090370000}"/>
    <cellStyle name="Normal 2 2 7 3 2 2" xfId="14224" xr:uid="{00000000-0005-0000-0000-000091370000}"/>
    <cellStyle name="Normal 2 2 7 3 2 2 2" xfId="14225" xr:uid="{00000000-0005-0000-0000-000092370000}"/>
    <cellStyle name="Normal 2 2 7 3 2 2 2 2" xfId="14226" xr:uid="{00000000-0005-0000-0000-000093370000}"/>
    <cellStyle name="Normal 2 2 7 3 2 2 3" xfId="14227" xr:uid="{00000000-0005-0000-0000-000094370000}"/>
    <cellStyle name="Normal 2 2 7 3 2 3" xfId="14228" xr:uid="{00000000-0005-0000-0000-000095370000}"/>
    <cellStyle name="Normal 2 2 7 3 2 3 2" xfId="14229" xr:uid="{00000000-0005-0000-0000-000096370000}"/>
    <cellStyle name="Normal 2 2 7 3 2 4" xfId="14230" xr:uid="{00000000-0005-0000-0000-000097370000}"/>
    <cellStyle name="Normal 2 2 7 3 3" xfId="14231" xr:uid="{00000000-0005-0000-0000-000098370000}"/>
    <cellStyle name="Normal 2 2 7 3 3 2" xfId="14232" xr:uid="{00000000-0005-0000-0000-000099370000}"/>
    <cellStyle name="Normal 2 2 7 3 3 2 2" xfId="14233" xr:uid="{00000000-0005-0000-0000-00009A370000}"/>
    <cellStyle name="Normal 2 2 7 3 3 3" xfId="14234" xr:uid="{00000000-0005-0000-0000-00009B370000}"/>
    <cellStyle name="Normal 2 2 7 3 4" xfId="14235" xr:uid="{00000000-0005-0000-0000-00009C370000}"/>
    <cellStyle name="Normal 2 2 7 3 4 2" xfId="14236" xr:uid="{00000000-0005-0000-0000-00009D370000}"/>
    <cellStyle name="Normal 2 2 7 3 5" xfId="14237" xr:uid="{00000000-0005-0000-0000-00009E370000}"/>
    <cellStyle name="Normal 2 2 7 4" xfId="14238" xr:uid="{00000000-0005-0000-0000-00009F370000}"/>
    <cellStyle name="Normal 2 2 7 4 2" xfId="14239" xr:uid="{00000000-0005-0000-0000-0000A0370000}"/>
    <cellStyle name="Normal 2 2 7 4 2 2" xfId="14240" xr:uid="{00000000-0005-0000-0000-0000A1370000}"/>
    <cellStyle name="Normal 2 2 7 4 2 2 2" xfId="14241" xr:uid="{00000000-0005-0000-0000-0000A2370000}"/>
    <cellStyle name="Normal 2 2 7 4 2 3" xfId="14242" xr:uid="{00000000-0005-0000-0000-0000A3370000}"/>
    <cellStyle name="Normal 2 2 7 4 3" xfId="14243" xr:uid="{00000000-0005-0000-0000-0000A4370000}"/>
    <cellStyle name="Normal 2 2 7 4 3 2" xfId="14244" xr:uid="{00000000-0005-0000-0000-0000A5370000}"/>
    <cellStyle name="Normal 2 2 7 4 4" xfId="14245" xr:uid="{00000000-0005-0000-0000-0000A6370000}"/>
    <cellStyle name="Normal 2 2 7 5" xfId="14246" xr:uid="{00000000-0005-0000-0000-0000A7370000}"/>
    <cellStyle name="Normal 2 2 7 5 2" xfId="14247" xr:uid="{00000000-0005-0000-0000-0000A8370000}"/>
    <cellStyle name="Normal 2 2 7 5 2 2" xfId="14248" xr:uid="{00000000-0005-0000-0000-0000A9370000}"/>
    <cellStyle name="Normal 2 2 7 5 3" xfId="14249" xr:uid="{00000000-0005-0000-0000-0000AA370000}"/>
    <cellStyle name="Normal 2 2 7 6" xfId="14250" xr:uid="{00000000-0005-0000-0000-0000AB370000}"/>
    <cellStyle name="Normal 2 2 7 6 2" xfId="14251" xr:uid="{00000000-0005-0000-0000-0000AC370000}"/>
    <cellStyle name="Normal 2 2 7 7" xfId="14252" xr:uid="{00000000-0005-0000-0000-0000AD370000}"/>
    <cellStyle name="Normal 2 2 8" xfId="14253" xr:uid="{00000000-0005-0000-0000-0000AE370000}"/>
    <cellStyle name="Normal 2 2 8 2" xfId="14254" xr:uid="{00000000-0005-0000-0000-0000AF370000}"/>
    <cellStyle name="Normal 2 2 8 2 2" xfId="14255" xr:uid="{00000000-0005-0000-0000-0000B0370000}"/>
    <cellStyle name="Normal 2 2 8 2 2 2" xfId="14256" xr:uid="{00000000-0005-0000-0000-0000B1370000}"/>
    <cellStyle name="Normal 2 2 8 2 2 2 2" xfId="14257" xr:uid="{00000000-0005-0000-0000-0000B2370000}"/>
    <cellStyle name="Normal 2 2 8 2 2 2 2 2" xfId="14258" xr:uid="{00000000-0005-0000-0000-0000B3370000}"/>
    <cellStyle name="Normal 2 2 8 2 2 2 3" xfId="14259" xr:uid="{00000000-0005-0000-0000-0000B4370000}"/>
    <cellStyle name="Normal 2 2 8 2 2 3" xfId="14260" xr:uid="{00000000-0005-0000-0000-0000B5370000}"/>
    <cellStyle name="Normal 2 2 8 2 2 3 2" xfId="14261" xr:uid="{00000000-0005-0000-0000-0000B6370000}"/>
    <cellStyle name="Normal 2 2 8 2 2 4" xfId="14262" xr:uid="{00000000-0005-0000-0000-0000B7370000}"/>
    <cellStyle name="Normal 2 2 8 2 3" xfId="14263" xr:uid="{00000000-0005-0000-0000-0000B8370000}"/>
    <cellStyle name="Normal 2 2 8 2 3 2" xfId="14264" xr:uid="{00000000-0005-0000-0000-0000B9370000}"/>
    <cellStyle name="Normal 2 2 8 2 3 2 2" xfId="14265" xr:uid="{00000000-0005-0000-0000-0000BA370000}"/>
    <cellStyle name="Normal 2 2 8 2 3 3" xfId="14266" xr:uid="{00000000-0005-0000-0000-0000BB370000}"/>
    <cellStyle name="Normal 2 2 8 2 4" xfId="14267" xr:uid="{00000000-0005-0000-0000-0000BC370000}"/>
    <cellStyle name="Normal 2 2 8 2 4 2" xfId="14268" xr:uid="{00000000-0005-0000-0000-0000BD370000}"/>
    <cellStyle name="Normal 2 2 8 2 5" xfId="14269" xr:uid="{00000000-0005-0000-0000-0000BE370000}"/>
    <cellStyle name="Normal 2 2 8 3" xfId="14270" xr:uid="{00000000-0005-0000-0000-0000BF370000}"/>
    <cellStyle name="Normal 2 2 8 3 2" xfId="14271" xr:uid="{00000000-0005-0000-0000-0000C0370000}"/>
    <cellStyle name="Normal 2 2 8 3 2 2" xfId="14272" xr:uid="{00000000-0005-0000-0000-0000C1370000}"/>
    <cellStyle name="Normal 2 2 8 3 2 2 2" xfId="14273" xr:uid="{00000000-0005-0000-0000-0000C2370000}"/>
    <cellStyle name="Normal 2 2 8 3 2 3" xfId="14274" xr:uid="{00000000-0005-0000-0000-0000C3370000}"/>
    <cellStyle name="Normal 2 2 8 3 3" xfId="14275" xr:uid="{00000000-0005-0000-0000-0000C4370000}"/>
    <cellStyle name="Normal 2 2 8 3 3 2" xfId="14276" xr:uid="{00000000-0005-0000-0000-0000C5370000}"/>
    <cellStyle name="Normal 2 2 8 3 4" xfId="14277" xr:uid="{00000000-0005-0000-0000-0000C6370000}"/>
    <cellStyle name="Normal 2 2 8 4" xfId="14278" xr:uid="{00000000-0005-0000-0000-0000C7370000}"/>
    <cellStyle name="Normal 2 2 8 4 2" xfId="14279" xr:uid="{00000000-0005-0000-0000-0000C8370000}"/>
    <cellStyle name="Normal 2 2 8 4 2 2" xfId="14280" xr:uid="{00000000-0005-0000-0000-0000C9370000}"/>
    <cellStyle name="Normal 2 2 8 4 3" xfId="14281" xr:uid="{00000000-0005-0000-0000-0000CA370000}"/>
    <cellStyle name="Normal 2 2 8 5" xfId="14282" xr:uid="{00000000-0005-0000-0000-0000CB370000}"/>
    <cellStyle name="Normal 2 2 8 5 2" xfId="14283" xr:uid="{00000000-0005-0000-0000-0000CC370000}"/>
    <cellStyle name="Normal 2 2 8 6" xfId="14284" xr:uid="{00000000-0005-0000-0000-0000CD370000}"/>
    <cellStyle name="Normal 2 2 9" xfId="14285" xr:uid="{00000000-0005-0000-0000-0000CE370000}"/>
    <cellStyle name="Normal 2 2 9 2" xfId="14286" xr:uid="{00000000-0005-0000-0000-0000CF370000}"/>
    <cellStyle name="Normal 2 2 9 2 2" xfId="14287" xr:uid="{00000000-0005-0000-0000-0000D0370000}"/>
    <cellStyle name="Normal 2 2 9 2 2 2" xfId="14288" xr:uid="{00000000-0005-0000-0000-0000D1370000}"/>
    <cellStyle name="Normal 2 2 9 2 2 2 2" xfId="14289" xr:uid="{00000000-0005-0000-0000-0000D2370000}"/>
    <cellStyle name="Normal 2 2 9 2 2 3" xfId="14290" xr:uid="{00000000-0005-0000-0000-0000D3370000}"/>
    <cellStyle name="Normal 2 2 9 2 3" xfId="14291" xr:uid="{00000000-0005-0000-0000-0000D4370000}"/>
    <cellStyle name="Normal 2 2 9 2 3 2" xfId="14292" xr:uid="{00000000-0005-0000-0000-0000D5370000}"/>
    <cellStyle name="Normal 2 2 9 2 4" xfId="14293" xr:uid="{00000000-0005-0000-0000-0000D6370000}"/>
    <cellStyle name="Normal 2 2 9 3" xfId="14294" xr:uid="{00000000-0005-0000-0000-0000D7370000}"/>
    <cellStyle name="Normal 2 2 9 3 2" xfId="14295" xr:uid="{00000000-0005-0000-0000-0000D8370000}"/>
    <cellStyle name="Normal 2 2 9 3 2 2" xfId="14296" xr:uid="{00000000-0005-0000-0000-0000D9370000}"/>
    <cellStyle name="Normal 2 2 9 3 3" xfId="14297" xr:uid="{00000000-0005-0000-0000-0000DA370000}"/>
    <cellStyle name="Normal 2 2 9 4" xfId="14298" xr:uid="{00000000-0005-0000-0000-0000DB370000}"/>
    <cellStyle name="Normal 2 2 9 4 2" xfId="14299" xr:uid="{00000000-0005-0000-0000-0000DC370000}"/>
    <cellStyle name="Normal 2 2 9 5" xfId="14300" xr:uid="{00000000-0005-0000-0000-0000DD370000}"/>
    <cellStyle name="Normal 2 3" xfId="14301" xr:uid="{00000000-0005-0000-0000-0000DE370000}"/>
    <cellStyle name="Normal 2 4" xfId="14302" xr:uid="{00000000-0005-0000-0000-0000DF370000}"/>
    <cellStyle name="Normal 2 4 10" xfId="14303" xr:uid="{00000000-0005-0000-0000-0000E0370000}"/>
    <cellStyle name="Normal 2 4 2" xfId="14304" xr:uid="{00000000-0005-0000-0000-0000E1370000}"/>
    <cellStyle name="Normal 2 4 2 2" xfId="14305" xr:uid="{00000000-0005-0000-0000-0000E2370000}"/>
    <cellStyle name="Normal 2 4 2 2 2" xfId="14306" xr:uid="{00000000-0005-0000-0000-0000E3370000}"/>
    <cellStyle name="Normal 2 4 2 2 2 2" xfId="14307" xr:uid="{00000000-0005-0000-0000-0000E4370000}"/>
    <cellStyle name="Normal 2 4 2 2 2 2 2" xfId="14308" xr:uid="{00000000-0005-0000-0000-0000E5370000}"/>
    <cellStyle name="Normal 2 4 2 2 2 2 2 2" xfId="14309" xr:uid="{00000000-0005-0000-0000-0000E6370000}"/>
    <cellStyle name="Normal 2 4 2 2 2 2 2 2 2" xfId="14310" xr:uid="{00000000-0005-0000-0000-0000E7370000}"/>
    <cellStyle name="Normal 2 4 2 2 2 2 2 2 2 2" xfId="14311" xr:uid="{00000000-0005-0000-0000-0000E8370000}"/>
    <cellStyle name="Normal 2 4 2 2 2 2 2 2 2 2 2" xfId="14312" xr:uid="{00000000-0005-0000-0000-0000E9370000}"/>
    <cellStyle name="Normal 2 4 2 2 2 2 2 2 2 3" xfId="14313" xr:uid="{00000000-0005-0000-0000-0000EA370000}"/>
    <cellStyle name="Normal 2 4 2 2 2 2 2 2 3" xfId="14314" xr:uid="{00000000-0005-0000-0000-0000EB370000}"/>
    <cellStyle name="Normal 2 4 2 2 2 2 2 2 3 2" xfId="14315" xr:uid="{00000000-0005-0000-0000-0000EC370000}"/>
    <cellStyle name="Normal 2 4 2 2 2 2 2 2 4" xfId="14316" xr:uid="{00000000-0005-0000-0000-0000ED370000}"/>
    <cellStyle name="Normal 2 4 2 2 2 2 2 3" xfId="14317" xr:uid="{00000000-0005-0000-0000-0000EE370000}"/>
    <cellStyle name="Normal 2 4 2 2 2 2 2 3 2" xfId="14318" xr:uid="{00000000-0005-0000-0000-0000EF370000}"/>
    <cellStyle name="Normal 2 4 2 2 2 2 2 3 2 2" xfId="14319" xr:uid="{00000000-0005-0000-0000-0000F0370000}"/>
    <cellStyle name="Normal 2 4 2 2 2 2 2 3 3" xfId="14320" xr:uid="{00000000-0005-0000-0000-0000F1370000}"/>
    <cellStyle name="Normal 2 4 2 2 2 2 2 4" xfId="14321" xr:uid="{00000000-0005-0000-0000-0000F2370000}"/>
    <cellStyle name="Normal 2 4 2 2 2 2 2 4 2" xfId="14322" xr:uid="{00000000-0005-0000-0000-0000F3370000}"/>
    <cellStyle name="Normal 2 4 2 2 2 2 2 5" xfId="14323" xr:uid="{00000000-0005-0000-0000-0000F4370000}"/>
    <cellStyle name="Normal 2 4 2 2 2 2 3" xfId="14324" xr:uid="{00000000-0005-0000-0000-0000F5370000}"/>
    <cellStyle name="Normal 2 4 2 2 2 2 3 2" xfId="14325" xr:uid="{00000000-0005-0000-0000-0000F6370000}"/>
    <cellStyle name="Normal 2 4 2 2 2 2 3 2 2" xfId="14326" xr:uid="{00000000-0005-0000-0000-0000F7370000}"/>
    <cellStyle name="Normal 2 4 2 2 2 2 3 2 2 2" xfId="14327" xr:uid="{00000000-0005-0000-0000-0000F8370000}"/>
    <cellStyle name="Normal 2 4 2 2 2 2 3 2 3" xfId="14328" xr:uid="{00000000-0005-0000-0000-0000F9370000}"/>
    <cellStyle name="Normal 2 4 2 2 2 2 3 3" xfId="14329" xr:uid="{00000000-0005-0000-0000-0000FA370000}"/>
    <cellStyle name="Normal 2 4 2 2 2 2 3 3 2" xfId="14330" xr:uid="{00000000-0005-0000-0000-0000FB370000}"/>
    <cellStyle name="Normal 2 4 2 2 2 2 3 4" xfId="14331" xr:uid="{00000000-0005-0000-0000-0000FC370000}"/>
    <cellStyle name="Normal 2 4 2 2 2 2 4" xfId="14332" xr:uid="{00000000-0005-0000-0000-0000FD370000}"/>
    <cellStyle name="Normal 2 4 2 2 2 2 4 2" xfId="14333" xr:uid="{00000000-0005-0000-0000-0000FE370000}"/>
    <cellStyle name="Normal 2 4 2 2 2 2 4 2 2" xfId="14334" xr:uid="{00000000-0005-0000-0000-0000FF370000}"/>
    <cellStyle name="Normal 2 4 2 2 2 2 4 3" xfId="14335" xr:uid="{00000000-0005-0000-0000-000000380000}"/>
    <cellStyle name="Normal 2 4 2 2 2 2 5" xfId="14336" xr:uid="{00000000-0005-0000-0000-000001380000}"/>
    <cellStyle name="Normal 2 4 2 2 2 2 5 2" xfId="14337" xr:uid="{00000000-0005-0000-0000-000002380000}"/>
    <cellStyle name="Normal 2 4 2 2 2 2 6" xfId="14338" xr:uid="{00000000-0005-0000-0000-000003380000}"/>
    <cellStyle name="Normal 2 4 2 2 2 3" xfId="14339" xr:uid="{00000000-0005-0000-0000-000004380000}"/>
    <cellStyle name="Normal 2 4 2 2 2 3 2" xfId="14340" xr:uid="{00000000-0005-0000-0000-000005380000}"/>
    <cellStyle name="Normal 2 4 2 2 2 3 2 2" xfId="14341" xr:uid="{00000000-0005-0000-0000-000006380000}"/>
    <cellStyle name="Normal 2 4 2 2 2 3 2 2 2" xfId="14342" xr:uid="{00000000-0005-0000-0000-000007380000}"/>
    <cellStyle name="Normal 2 4 2 2 2 3 2 2 2 2" xfId="14343" xr:uid="{00000000-0005-0000-0000-000008380000}"/>
    <cellStyle name="Normal 2 4 2 2 2 3 2 2 3" xfId="14344" xr:uid="{00000000-0005-0000-0000-000009380000}"/>
    <cellStyle name="Normal 2 4 2 2 2 3 2 3" xfId="14345" xr:uid="{00000000-0005-0000-0000-00000A380000}"/>
    <cellStyle name="Normal 2 4 2 2 2 3 2 3 2" xfId="14346" xr:uid="{00000000-0005-0000-0000-00000B380000}"/>
    <cellStyle name="Normal 2 4 2 2 2 3 2 4" xfId="14347" xr:uid="{00000000-0005-0000-0000-00000C380000}"/>
    <cellStyle name="Normal 2 4 2 2 2 3 3" xfId="14348" xr:uid="{00000000-0005-0000-0000-00000D380000}"/>
    <cellStyle name="Normal 2 4 2 2 2 3 3 2" xfId="14349" xr:uid="{00000000-0005-0000-0000-00000E380000}"/>
    <cellStyle name="Normal 2 4 2 2 2 3 3 2 2" xfId="14350" xr:uid="{00000000-0005-0000-0000-00000F380000}"/>
    <cellStyle name="Normal 2 4 2 2 2 3 3 3" xfId="14351" xr:uid="{00000000-0005-0000-0000-000010380000}"/>
    <cellStyle name="Normal 2 4 2 2 2 3 4" xfId="14352" xr:uid="{00000000-0005-0000-0000-000011380000}"/>
    <cellStyle name="Normal 2 4 2 2 2 3 4 2" xfId="14353" xr:uid="{00000000-0005-0000-0000-000012380000}"/>
    <cellStyle name="Normal 2 4 2 2 2 3 5" xfId="14354" xr:uid="{00000000-0005-0000-0000-000013380000}"/>
    <cellStyle name="Normal 2 4 2 2 2 4" xfId="14355" xr:uid="{00000000-0005-0000-0000-000014380000}"/>
    <cellStyle name="Normal 2 4 2 2 2 4 2" xfId="14356" xr:uid="{00000000-0005-0000-0000-000015380000}"/>
    <cellStyle name="Normal 2 4 2 2 2 4 2 2" xfId="14357" xr:uid="{00000000-0005-0000-0000-000016380000}"/>
    <cellStyle name="Normal 2 4 2 2 2 4 2 2 2" xfId="14358" xr:uid="{00000000-0005-0000-0000-000017380000}"/>
    <cellStyle name="Normal 2 4 2 2 2 4 2 3" xfId="14359" xr:uid="{00000000-0005-0000-0000-000018380000}"/>
    <cellStyle name="Normal 2 4 2 2 2 4 3" xfId="14360" xr:uid="{00000000-0005-0000-0000-000019380000}"/>
    <cellStyle name="Normal 2 4 2 2 2 4 3 2" xfId="14361" xr:uid="{00000000-0005-0000-0000-00001A380000}"/>
    <cellStyle name="Normal 2 4 2 2 2 4 4" xfId="14362" xr:uid="{00000000-0005-0000-0000-00001B380000}"/>
    <cellStyle name="Normal 2 4 2 2 2 5" xfId="14363" xr:uid="{00000000-0005-0000-0000-00001C380000}"/>
    <cellStyle name="Normal 2 4 2 2 2 5 2" xfId="14364" xr:uid="{00000000-0005-0000-0000-00001D380000}"/>
    <cellStyle name="Normal 2 4 2 2 2 5 2 2" xfId="14365" xr:uid="{00000000-0005-0000-0000-00001E380000}"/>
    <cellStyle name="Normal 2 4 2 2 2 5 3" xfId="14366" xr:uid="{00000000-0005-0000-0000-00001F380000}"/>
    <cellStyle name="Normal 2 4 2 2 2 6" xfId="14367" xr:uid="{00000000-0005-0000-0000-000020380000}"/>
    <cellStyle name="Normal 2 4 2 2 2 6 2" xfId="14368" xr:uid="{00000000-0005-0000-0000-000021380000}"/>
    <cellStyle name="Normal 2 4 2 2 2 7" xfId="14369" xr:uid="{00000000-0005-0000-0000-000022380000}"/>
    <cellStyle name="Normal 2 4 2 2 3" xfId="14370" xr:uid="{00000000-0005-0000-0000-000023380000}"/>
    <cellStyle name="Normal 2 4 2 2 3 2" xfId="14371" xr:uid="{00000000-0005-0000-0000-000024380000}"/>
    <cellStyle name="Normal 2 4 2 2 3 2 2" xfId="14372" xr:uid="{00000000-0005-0000-0000-000025380000}"/>
    <cellStyle name="Normal 2 4 2 2 3 2 2 2" xfId="14373" xr:uid="{00000000-0005-0000-0000-000026380000}"/>
    <cellStyle name="Normal 2 4 2 2 3 2 2 2 2" xfId="14374" xr:uid="{00000000-0005-0000-0000-000027380000}"/>
    <cellStyle name="Normal 2 4 2 2 3 2 2 2 2 2" xfId="14375" xr:uid="{00000000-0005-0000-0000-000028380000}"/>
    <cellStyle name="Normal 2 4 2 2 3 2 2 2 3" xfId="14376" xr:uid="{00000000-0005-0000-0000-000029380000}"/>
    <cellStyle name="Normal 2 4 2 2 3 2 2 3" xfId="14377" xr:uid="{00000000-0005-0000-0000-00002A380000}"/>
    <cellStyle name="Normal 2 4 2 2 3 2 2 3 2" xfId="14378" xr:uid="{00000000-0005-0000-0000-00002B380000}"/>
    <cellStyle name="Normal 2 4 2 2 3 2 2 4" xfId="14379" xr:uid="{00000000-0005-0000-0000-00002C380000}"/>
    <cellStyle name="Normal 2 4 2 2 3 2 3" xfId="14380" xr:uid="{00000000-0005-0000-0000-00002D380000}"/>
    <cellStyle name="Normal 2 4 2 2 3 2 3 2" xfId="14381" xr:uid="{00000000-0005-0000-0000-00002E380000}"/>
    <cellStyle name="Normal 2 4 2 2 3 2 3 2 2" xfId="14382" xr:uid="{00000000-0005-0000-0000-00002F380000}"/>
    <cellStyle name="Normal 2 4 2 2 3 2 3 3" xfId="14383" xr:uid="{00000000-0005-0000-0000-000030380000}"/>
    <cellStyle name="Normal 2 4 2 2 3 2 4" xfId="14384" xr:uid="{00000000-0005-0000-0000-000031380000}"/>
    <cellStyle name="Normal 2 4 2 2 3 2 4 2" xfId="14385" xr:uid="{00000000-0005-0000-0000-000032380000}"/>
    <cellStyle name="Normal 2 4 2 2 3 2 5" xfId="14386" xr:uid="{00000000-0005-0000-0000-000033380000}"/>
    <cellStyle name="Normal 2 4 2 2 3 3" xfId="14387" xr:uid="{00000000-0005-0000-0000-000034380000}"/>
    <cellStyle name="Normal 2 4 2 2 3 3 2" xfId="14388" xr:uid="{00000000-0005-0000-0000-000035380000}"/>
    <cellStyle name="Normal 2 4 2 2 3 3 2 2" xfId="14389" xr:uid="{00000000-0005-0000-0000-000036380000}"/>
    <cellStyle name="Normal 2 4 2 2 3 3 2 2 2" xfId="14390" xr:uid="{00000000-0005-0000-0000-000037380000}"/>
    <cellStyle name="Normal 2 4 2 2 3 3 2 3" xfId="14391" xr:uid="{00000000-0005-0000-0000-000038380000}"/>
    <cellStyle name="Normal 2 4 2 2 3 3 3" xfId="14392" xr:uid="{00000000-0005-0000-0000-000039380000}"/>
    <cellStyle name="Normal 2 4 2 2 3 3 3 2" xfId="14393" xr:uid="{00000000-0005-0000-0000-00003A380000}"/>
    <cellStyle name="Normal 2 4 2 2 3 3 4" xfId="14394" xr:uid="{00000000-0005-0000-0000-00003B380000}"/>
    <cellStyle name="Normal 2 4 2 2 3 4" xfId="14395" xr:uid="{00000000-0005-0000-0000-00003C380000}"/>
    <cellStyle name="Normal 2 4 2 2 3 4 2" xfId="14396" xr:uid="{00000000-0005-0000-0000-00003D380000}"/>
    <cellStyle name="Normal 2 4 2 2 3 4 2 2" xfId="14397" xr:uid="{00000000-0005-0000-0000-00003E380000}"/>
    <cellStyle name="Normal 2 4 2 2 3 4 3" xfId="14398" xr:uid="{00000000-0005-0000-0000-00003F380000}"/>
    <cellStyle name="Normal 2 4 2 2 3 5" xfId="14399" xr:uid="{00000000-0005-0000-0000-000040380000}"/>
    <cellStyle name="Normal 2 4 2 2 3 5 2" xfId="14400" xr:uid="{00000000-0005-0000-0000-000041380000}"/>
    <cellStyle name="Normal 2 4 2 2 3 6" xfId="14401" xr:uid="{00000000-0005-0000-0000-000042380000}"/>
    <cellStyle name="Normal 2 4 2 2 4" xfId="14402" xr:uid="{00000000-0005-0000-0000-000043380000}"/>
    <cellStyle name="Normal 2 4 2 2 4 2" xfId="14403" xr:uid="{00000000-0005-0000-0000-000044380000}"/>
    <cellStyle name="Normal 2 4 2 2 4 2 2" xfId="14404" xr:uid="{00000000-0005-0000-0000-000045380000}"/>
    <cellStyle name="Normal 2 4 2 2 4 2 2 2" xfId="14405" xr:uid="{00000000-0005-0000-0000-000046380000}"/>
    <cellStyle name="Normal 2 4 2 2 4 2 2 2 2" xfId="14406" xr:uid="{00000000-0005-0000-0000-000047380000}"/>
    <cellStyle name="Normal 2 4 2 2 4 2 2 3" xfId="14407" xr:uid="{00000000-0005-0000-0000-000048380000}"/>
    <cellStyle name="Normal 2 4 2 2 4 2 3" xfId="14408" xr:uid="{00000000-0005-0000-0000-000049380000}"/>
    <cellStyle name="Normal 2 4 2 2 4 2 3 2" xfId="14409" xr:uid="{00000000-0005-0000-0000-00004A380000}"/>
    <cellStyle name="Normal 2 4 2 2 4 2 4" xfId="14410" xr:uid="{00000000-0005-0000-0000-00004B380000}"/>
    <cellStyle name="Normal 2 4 2 2 4 3" xfId="14411" xr:uid="{00000000-0005-0000-0000-00004C380000}"/>
    <cellStyle name="Normal 2 4 2 2 4 3 2" xfId="14412" xr:uid="{00000000-0005-0000-0000-00004D380000}"/>
    <cellStyle name="Normal 2 4 2 2 4 3 2 2" xfId="14413" xr:uid="{00000000-0005-0000-0000-00004E380000}"/>
    <cellStyle name="Normal 2 4 2 2 4 3 3" xfId="14414" xr:uid="{00000000-0005-0000-0000-00004F380000}"/>
    <cellStyle name="Normal 2 4 2 2 4 4" xfId="14415" xr:uid="{00000000-0005-0000-0000-000050380000}"/>
    <cellStyle name="Normal 2 4 2 2 4 4 2" xfId="14416" xr:uid="{00000000-0005-0000-0000-000051380000}"/>
    <cellStyle name="Normal 2 4 2 2 4 5" xfId="14417" xr:uid="{00000000-0005-0000-0000-000052380000}"/>
    <cellStyle name="Normal 2 4 2 2 5" xfId="14418" xr:uid="{00000000-0005-0000-0000-000053380000}"/>
    <cellStyle name="Normal 2 4 2 2 5 2" xfId="14419" xr:uid="{00000000-0005-0000-0000-000054380000}"/>
    <cellStyle name="Normal 2 4 2 2 5 2 2" xfId="14420" xr:uid="{00000000-0005-0000-0000-000055380000}"/>
    <cellStyle name="Normal 2 4 2 2 5 2 2 2" xfId="14421" xr:uid="{00000000-0005-0000-0000-000056380000}"/>
    <cellStyle name="Normal 2 4 2 2 5 2 3" xfId="14422" xr:uid="{00000000-0005-0000-0000-000057380000}"/>
    <cellStyle name="Normal 2 4 2 2 5 3" xfId="14423" xr:uid="{00000000-0005-0000-0000-000058380000}"/>
    <cellStyle name="Normal 2 4 2 2 5 3 2" xfId="14424" xr:uid="{00000000-0005-0000-0000-000059380000}"/>
    <cellStyle name="Normal 2 4 2 2 5 4" xfId="14425" xr:uid="{00000000-0005-0000-0000-00005A380000}"/>
    <cellStyle name="Normal 2 4 2 2 6" xfId="14426" xr:uid="{00000000-0005-0000-0000-00005B380000}"/>
    <cellStyle name="Normal 2 4 2 2 6 2" xfId="14427" xr:uid="{00000000-0005-0000-0000-00005C380000}"/>
    <cellStyle name="Normal 2 4 2 2 6 2 2" xfId="14428" xr:uid="{00000000-0005-0000-0000-00005D380000}"/>
    <cellStyle name="Normal 2 4 2 2 6 3" xfId="14429" xr:uid="{00000000-0005-0000-0000-00005E380000}"/>
    <cellStyle name="Normal 2 4 2 2 7" xfId="14430" xr:uid="{00000000-0005-0000-0000-00005F380000}"/>
    <cellStyle name="Normal 2 4 2 2 7 2" xfId="14431" xr:uid="{00000000-0005-0000-0000-000060380000}"/>
    <cellStyle name="Normal 2 4 2 2 8" xfId="14432" xr:uid="{00000000-0005-0000-0000-000061380000}"/>
    <cellStyle name="Normal 2 4 2 3" xfId="14433" xr:uid="{00000000-0005-0000-0000-000062380000}"/>
    <cellStyle name="Normal 2 4 2 3 2" xfId="14434" xr:uid="{00000000-0005-0000-0000-000063380000}"/>
    <cellStyle name="Normal 2 4 2 3 2 2" xfId="14435" xr:uid="{00000000-0005-0000-0000-000064380000}"/>
    <cellStyle name="Normal 2 4 2 3 2 2 2" xfId="14436" xr:uid="{00000000-0005-0000-0000-000065380000}"/>
    <cellStyle name="Normal 2 4 2 3 2 2 2 2" xfId="14437" xr:uid="{00000000-0005-0000-0000-000066380000}"/>
    <cellStyle name="Normal 2 4 2 3 2 2 2 2 2" xfId="14438" xr:uid="{00000000-0005-0000-0000-000067380000}"/>
    <cellStyle name="Normal 2 4 2 3 2 2 2 2 2 2" xfId="14439" xr:uid="{00000000-0005-0000-0000-000068380000}"/>
    <cellStyle name="Normal 2 4 2 3 2 2 2 2 3" xfId="14440" xr:uid="{00000000-0005-0000-0000-000069380000}"/>
    <cellStyle name="Normal 2 4 2 3 2 2 2 3" xfId="14441" xr:uid="{00000000-0005-0000-0000-00006A380000}"/>
    <cellStyle name="Normal 2 4 2 3 2 2 2 3 2" xfId="14442" xr:uid="{00000000-0005-0000-0000-00006B380000}"/>
    <cellStyle name="Normal 2 4 2 3 2 2 2 4" xfId="14443" xr:uid="{00000000-0005-0000-0000-00006C380000}"/>
    <cellStyle name="Normal 2 4 2 3 2 2 3" xfId="14444" xr:uid="{00000000-0005-0000-0000-00006D380000}"/>
    <cellStyle name="Normal 2 4 2 3 2 2 3 2" xfId="14445" xr:uid="{00000000-0005-0000-0000-00006E380000}"/>
    <cellStyle name="Normal 2 4 2 3 2 2 3 2 2" xfId="14446" xr:uid="{00000000-0005-0000-0000-00006F380000}"/>
    <cellStyle name="Normal 2 4 2 3 2 2 3 3" xfId="14447" xr:uid="{00000000-0005-0000-0000-000070380000}"/>
    <cellStyle name="Normal 2 4 2 3 2 2 4" xfId="14448" xr:uid="{00000000-0005-0000-0000-000071380000}"/>
    <cellStyle name="Normal 2 4 2 3 2 2 4 2" xfId="14449" xr:uid="{00000000-0005-0000-0000-000072380000}"/>
    <cellStyle name="Normal 2 4 2 3 2 2 5" xfId="14450" xr:uid="{00000000-0005-0000-0000-000073380000}"/>
    <cellStyle name="Normal 2 4 2 3 2 3" xfId="14451" xr:uid="{00000000-0005-0000-0000-000074380000}"/>
    <cellStyle name="Normal 2 4 2 3 2 3 2" xfId="14452" xr:uid="{00000000-0005-0000-0000-000075380000}"/>
    <cellStyle name="Normal 2 4 2 3 2 3 2 2" xfId="14453" xr:uid="{00000000-0005-0000-0000-000076380000}"/>
    <cellStyle name="Normal 2 4 2 3 2 3 2 2 2" xfId="14454" xr:uid="{00000000-0005-0000-0000-000077380000}"/>
    <cellStyle name="Normal 2 4 2 3 2 3 2 3" xfId="14455" xr:uid="{00000000-0005-0000-0000-000078380000}"/>
    <cellStyle name="Normal 2 4 2 3 2 3 3" xfId="14456" xr:uid="{00000000-0005-0000-0000-000079380000}"/>
    <cellStyle name="Normal 2 4 2 3 2 3 3 2" xfId="14457" xr:uid="{00000000-0005-0000-0000-00007A380000}"/>
    <cellStyle name="Normal 2 4 2 3 2 3 4" xfId="14458" xr:uid="{00000000-0005-0000-0000-00007B380000}"/>
    <cellStyle name="Normal 2 4 2 3 2 4" xfId="14459" xr:uid="{00000000-0005-0000-0000-00007C380000}"/>
    <cellStyle name="Normal 2 4 2 3 2 4 2" xfId="14460" xr:uid="{00000000-0005-0000-0000-00007D380000}"/>
    <cellStyle name="Normal 2 4 2 3 2 4 2 2" xfId="14461" xr:uid="{00000000-0005-0000-0000-00007E380000}"/>
    <cellStyle name="Normal 2 4 2 3 2 4 3" xfId="14462" xr:uid="{00000000-0005-0000-0000-00007F380000}"/>
    <cellStyle name="Normal 2 4 2 3 2 5" xfId="14463" xr:uid="{00000000-0005-0000-0000-000080380000}"/>
    <cellStyle name="Normal 2 4 2 3 2 5 2" xfId="14464" xr:uid="{00000000-0005-0000-0000-000081380000}"/>
    <cellStyle name="Normal 2 4 2 3 2 6" xfId="14465" xr:uid="{00000000-0005-0000-0000-000082380000}"/>
    <cellStyle name="Normal 2 4 2 3 3" xfId="14466" xr:uid="{00000000-0005-0000-0000-000083380000}"/>
    <cellStyle name="Normal 2 4 2 3 3 2" xfId="14467" xr:uid="{00000000-0005-0000-0000-000084380000}"/>
    <cellStyle name="Normal 2 4 2 3 3 2 2" xfId="14468" xr:uid="{00000000-0005-0000-0000-000085380000}"/>
    <cellStyle name="Normal 2 4 2 3 3 2 2 2" xfId="14469" xr:uid="{00000000-0005-0000-0000-000086380000}"/>
    <cellStyle name="Normal 2 4 2 3 3 2 2 2 2" xfId="14470" xr:uid="{00000000-0005-0000-0000-000087380000}"/>
    <cellStyle name="Normal 2 4 2 3 3 2 2 3" xfId="14471" xr:uid="{00000000-0005-0000-0000-000088380000}"/>
    <cellStyle name="Normal 2 4 2 3 3 2 3" xfId="14472" xr:uid="{00000000-0005-0000-0000-000089380000}"/>
    <cellStyle name="Normal 2 4 2 3 3 2 3 2" xfId="14473" xr:uid="{00000000-0005-0000-0000-00008A380000}"/>
    <cellStyle name="Normal 2 4 2 3 3 2 4" xfId="14474" xr:uid="{00000000-0005-0000-0000-00008B380000}"/>
    <cellStyle name="Normal 2 4 2 3 3 3" xfId="14475" xr:uid="{00000000-0005-0000-0000-00008C380000}"/>
    <cellStyle name="Normal 2 4 2 3 3 3 2" xfId="14476" xr:uid="{00000000-0005-0000-0000-00008D380000}"/>
    <cellStyle name="Normal 2 4 2 3 3 3 2 2" xfId="14477" xr:uid="{00000000-0005-0000-0000-00008E380000}"/>
    <cellStyle name="Normal 2 4 2 3 3 3 3" xfId="14478" xr:uid="{00000000-0005-0000-0000-00008F380000}"/>
    <cellStyle name="Normal 2 4 2 3 3 4" xfId="14479" xr:uid="{00000000-0005-0000-0000-000090380000}"/>
    <cellStyle name="Normal 2 4 2 3 3 4 2" xfId="14480" xr:uid="{00000000-0005-0000-0000-000091380000}"/>
    <cellStyle name="Normal 2 4 2 3 3 5" xfId="14481" xr:uid="{00000000-0005-0000-0000-000092380000}"/>
    <cellStyle name="Normal 2 4 2 3 4" xfId="14482" xr:uid="{00000000-0005-0000-0000-000093380000}"/>
    <cellStyle name="Normal 2 4 2 3 4 2" xfId="14483" xr:uid="{00000000-0005-0000-0000-000094380000}"/>
    <cellStyle name="Normal 2 4 2 3 4 2 2" xfId="14484" xr:uid="{00000000-0005-0000-0000-000095380000}"/>
    <cellStyle name="Normal 2 4 2 3 4 2 2 2" xfId="14485" xr:uid="{00000000-0005-0000-0000-000096380000}"/>
    <cellStyle name="Normal 2 4 2 3 4 2 3" xfId="14486" xr:uid="{00000000-0005-0000-0000-000097380000}"/>
    <cellStyle name="Normal 2 4 2 3 4 3" xfId="14487" xr:uid="{00000000-0005-0000-0000-000098380000}"/>
    <cellStyle name="Normal 2 4 2 3 4 3 2" xfId="14488" xr:uid="{00000000-0005-0000-0000-000099380000}"/>
    <cellStyle name="Normal 2 4 2 3 4 4" xfId="14489" xr:uid="{00000000-0005-0000-0000-00009A380000}"/>
    <cellStyle name="Normal 2 4 2 3 5" xfId="14490" xr:uid="{00000000-0005-0000-0000-00009B380000}"/>
    <cellStyle name="Normal 2 4 2 3 5 2" xfId="14491" xr:uid="{00000000-0005-0000-0000-00009C380000}"/>
    <cellStyle name="Normal 2 4 2 3 5 2 2" xfId="14492" xr:uid="{00000000-0005-0000-0000-00009D380000}"/>
    <cellStyle name="Normal 2 4 2 3 5 3" xfId="14493" xr:uid="{00000000-0005-0000-0000-00009E380000}"/>
    <cellStyle name="Normal 2 4 2 3 6" xfId="14494" xr:uid="{00000000-0005-0000-0000-00009F380000}"/>
    <cellStyle name="Normal 2 4 2 3 6 2" xfId="14495" xr:uid="{00000000-0005-0000-0000-0000A0380000}"/>
    <cellStyle name="Normal 2 4 2 3 7" xfId="14496" xr:uid="{00000000-0005-0000-0000-0000A1380000}"/>
    <cellStyle name="Normal 2 4 2 4" xfId="14497" xr:uid="{00000000-0005-0000-0000-0000A2380000}"/>
    <cellStyle name="Normal 2 4 2 4 2" xfId="14498" xr:uid="{00000000-0005-0000-0000-0000A3380000}"/>
    <cellStyle name="Normal 2 4 2 4 2 2" xfId="14499" xr:uid="{00000000-0005-0000-0000-0000A4380000}"/>
    <cellStyle name="Normal 2 4 2 4 2 2 2" xfId="14500" xr:uid="{00000000-0005-0000-0000-0000A5380000}"/>
    <cellStyle name="Normal 2 4 2 4 2 2 2 2" xfId="14501" xr:uid="{00000000-0005-0000-0000-0000A6380000}"/>
    <cellStyle name="Normal 2 4 2 4 2 2 2 2 2" xfId="14502" xr:uid="{00000000-0005-0000-0000-0000A7380000}"/>
    <cellStyle name="Normal 2 4 2 4 2 2 2 3" xfId="14503" xr:uid="{00000000-0005-0000-0000-0000A8380000}"/>
    <cellStyle name="Normal 2 4 2 4 2 2 3" xfId="14504" xr:uid="{00000000-0005-0000-0000-0000A9380000}"/>
    <cellStyle name="Normal 2 4 2 4 2 2 3 2" xfId="14505" xr:uid="{00000000-0005-0000-0000-0000AA380000}"/>
    <cellStyle name="Normal 2 4 2 4 2 2 4" xfId="14506" xr:uid="{00000000-0005-0000-0000-0000AB380000}"/>
    <cellStyle name="Normal 2 4 2 4 2 3" xfId="14507" xr:uid="{00000000-0005-0000-0000-0000AC380000}"/>
    <cellStyle name="Normal 2 4 2 4 2 3 2" xfId="14508" xr:uid="{00000000-0005-0000-0000-0000AD380000}"/>
    <cellStyle name="Normal 2 4 2 4 2 3 2 2" xfId="14509" xr:uid="{00000000-0005-0000-0000-0000AE380000}"/>
    <cellStyle name="Normal 2 4 2 4 2 3 3" xfId="14510" xr:uid="{00000000-0005-0000-0000-0000AF380000}"/>
    <cellStyle name="Normal 2 4 2 4 2 4" xfId="14511" xr:uid="{00000000-0005-0000-0000-0000B0380000}"/>
    <cellStyle name="Normal 2 4 2 4 2 4 2" xfId="14512" xr:uid="{00000000-0005-0000-0000-0000B1380000}"/>
    <cellStyle name="Normal 2 4 2 4 2 5" xfId="14513" xr:uid="{00000000-0005-0000-0000-0000B2380000}"/>
    <cellStyle name="Normal 2 4 2 4 3" xfId="14514" xr:uid="{00000000-0005-0000-0000-0000B3380000}"/>
    <cellStyle name="Normal 2 4 2 4 3 2" xfId="14515" xr:uid="{00000000-0005-0000-0000-0000B4380000}"/>
    <cellStyle name="Normal 2 4 2 4 3 2 2" xfId="14516" xr:uid="{00000000-0005-0000-0000-0000B5380000}"/>
    <cellStyle name="Normal 2 4 2 4 3 2 2 2" xfId="14517" xr:uid="{00000000-0005-0000-0000-0000B6380000}"/>
    <cellStyle name="Normal 2 4 2 4 3 2 3" xfId="14518" xr:uid="{00000000-0005-0000-0000-0000B7380000}"/>
    <cellStyle name="Normal 2 4 2 4 3 3" xfId="14519" xr:uid="{00000000-0005-0000-0000-0000B8380000}"/>
    <cellStyle name="Normal 2 4 2 4 3 3 2" xfId="14520" xr:uid="{00000000-0005-0000-0000-0000B9380000}"/>
    <cellStyle name="Normal 2 4 2 4 3 4" xfId="14521" xr:uid="{00000000-0005-0000-0000-0000BA380000}"/>
    <cellStyle name="Normal 2 4 2 4 4" xfId="14522" xr:uid="{00000000-0005-0000-0000-0000BB380000}"/>
    <cellStyle name="Normal 2 4 2 4 4 2" xfId="14523" xr:uid="{00000000-0005-0000-0000-0000BC380000}"/>
    <cellStyle name="Normal 2 4 2 4 4 2 2" xfId="14524" xr:uid="{00000000-0005-0000-0000-0000BD380000}"/>
    <cellStyle name="Normal 2 4 2 4 4 3" xfId="14525" xr:uid="{00000000-0005-0000-0000-0000BE380000}"/>
    <cellStyle name="Normal 2 4 2 4 5" xfId="14526" xr:uid="{00000000-0005-0000-0000-0000BF380000}"/>
    <cellStyle name="Normal 2 4 2 4 5 2" xfId="14527" xr:uid="{00000000-0005-0000-0000-0000C0380000}"/>
    <cellStyle name="Normal 2 4 2 4 6" xfId="14528" xr:uid="{00000000-0005-0000-0000-0000C1380000}"/>
    <cellStyle name="Normal 2 4 2 5" xfId="14529" xr:uid="{00000000-0005-0000-0000-0000C2380000}"/>
    <cellStyle name="Normal 2 4 2 5 2" xfId="14530" xr:uid="{00000000-0005-0000-0000-0000C3380000}"/>
    <cellStyle name="Normal 2 4 2 5 2 2" xfId="14531" xr:uid="{00000000-0005-0000-0000-0000C4380000}"/>
    <cellStyle name="Normal 2 4 2 5 2 2 2" xfId="14532" xr:uid="{00000000-0005-0000-0000-0000C5380000}"/>
    <cellStyle name="Normal 2 4 2 5 2 2 2 2" xfId="14533" xr:uid="{00000000-0005-0000-0000-0000C6380000}"/>
    <cellStyle name="Normal 2 4 2 5 2 2 3" xfId="14534" xr:uid="{00000000-0005-0000-0000-0000C7380000}"/>
    <cellStyle name="Normal 2 4 2 5 2 3" xfId="14535" xr:uid="{00000000-0005-0000-0000-0000C8380000}"/>
    <cellStyle name="Normal 2 4 2 5 2 3 2" xfId="14536" xr:uid="{00000000-0005-0000-0000-0000C9380000}"/>
    <cellStyle name="Normal 2 4 2 5 2 4" xfId="14537" xr:uid="{00000000-0005-0000-0000-0000CA380000}"/>
    <cellStyle name="Normal 2 4 2 5 3" xfId="14538" xr:uid="{00000000-0005-0000-0000-0000CB380000}"/>
    <cellStyle name="Normal 2 4 2 5 3 2" xfId="14539" xr:uid="{00000000-0005-0000-0000-0000CC380000}"/>
    <cellStyle name="Normal 2 4 2 5 3 2 2" xfId="14540" xr:uid="{00000000-0005-0000-0000-0000CD380000}"/>
    <cellStyle name="Normal 2 4 2 5 3 3" xfId="14541" xr:uid="{00000000-0005-0000-0000-0000CE380000}"/>
    <cellStyle name="Normal 2 4 2 5 4" xfId="14542" xr:uid="{00000000-0005-0000-0000-0000CF380000}"/>
    <cellStyle name="Normal 2 4 2 5 4 2" xfId="14543" xr:uid="{00000000-0005-0000-0000-0000D0380000}"/>
    <cellStyle name="Normal 2 4 2 5 5" xfId="14544" xr:uid="{00000000-0005-0000-0000-0000D1380000}"/>
    <cellStyle name="Normal 2 4 2 6" xfId="14545" xr:uid="{00000000-0005-0000-0000-0000D2380000}"/>
    <cellStyle name="Normal 2 4 2 6 2" xfId="14546" xr:uid="{00000000-0005-0000-0000-0000D3380000}"/>
    <cellStyle name="Normal 2 4 2 6 2 2" xfId="14547" xr:uid="{00000000-0005-0000-0000-0000D4380000}"/>
    <cellStyle name="Normal 2 4 2 6 2 2 2" xfId="14548" xr:uid="{00000000-0005-0000-0000-0000D5380000}"/>
    <cellStyle name="Normal 2 4 2 6 2 3" xfId="14549" xr:uid="{00000000-0005-0000-0000-0000D6380000}"/>
    <cellStyle name="Normal 2 4 2 6 3" xfId="14550" xr:uid="{00000000-0005-0000-0000-0000D7380000}"/>
    <cellStyle name="Normal 2 4 2 6 3 2" xfId="14551" xr:uid="{00000000-0005-0000-0000-0000D8380000}"/>
    <cellStyle name="Normal 2 4 2 6 4" xfId="14552" xr:uid="{00000000-0005-0000-0000-0000D9380000}"/>
    <cellStyle name="Normal 2 4 2 7" xfId="14553" xr:uid="{00000000-0005-0000-0000-0000DA380000}"/>
    <cellStyle name="Normal 2 4 2 7 2" xfId="14554" xr:uid="{00000000-0005-0000-0000-0000DB380000}"/>
    <cellStyle name="Normal 2 4 2 7 2 2" xfId="14555" xr:uid="{00000000-0005-0000-0000-0000DC380000}"/>
    <cellStyle name="Normal 2 4 2 7 3" xfId="14556" xr:uid="{00000000-0005-0000-0000-0000DD380000}"/>
    <cellStyle name="Normal 2 4 2 8" xfId="14557" xr:uid="{00000000-0005-0000-0000-0000DE380000}"/>
    <cellStyle name="Normal 2 4 2 8 2" xfId="14558" xr:uid="{00000000-0005-0000-0000-0000DF380000}"/>
    <cellStyle name="Normal 2 4 2 9" xfId="14559" xr:uid="{00000000-0005-0000-0000-0000E0380000}"/>
    <cellStyle name="Normal 2 4 3" xfId="14560" xr:uid="{00000000-0005-0000-0000-0000E1380000}"/>
    <cellStyle name="Normal 2 4 3 2" xfId="14561" xr:uid="{00000000-0005-0000-0000-0000E2380000}"/>
    <cellStyle name="Normal 2 4 3 2 2" xfId="14562" xr:uid="{00000000-0005-0000-0000-0000E3380000}"/>
    <cellStyle name="Normal 2 4 3 2 2 2" xfId="14563" xr:uid="{00000000-0005-0000-0000-0000E4380000}"/>
    <cellStyle name="Normal 2 4 3 2 2 2 2" xfId="14564" xr:uid="{00000000-0005-0000-0000-0000E5380000}"/>
    <cellStyle name="Normal 2 4 3 2 2 2 2 2" xfId="14565" xr:uid="{00000000-0005-0000-0000-0000E6380000}"/>
    <cellStyle name="Normal 2 4 3 2 2 2 2 2 2" xfId="14566" xr:uid="{00000000-0005-0000-0000-0000E7380000}"/>
    <cellStyle name="Normal 2 4 3 2 2 2 2 2 2 2" xfId="14567" xr:uid="{00000000-0005-0000-0000-0000E8380000}"/>
    <cellStyle name="Normal 2 4 3 2 2 2 2 2 3" xfId="14568" xr:uid="{00000000-0005-0000-0000-0000E9380000}"/>
    <cellStyle name="Normal 2 4 3 2 2 2 2 3" xfId="14569" xr:uid="{00000000-0005-0000-0000-0000EA380000}"/>
    <cellStyle name="Normal 2 4 3 2 2 2 2 3 2" xfId="14570" xr:uid="{00000000-0005-0000-0000-0000EB380000}"/>
    <cellStyle name="Normal 2 4 3 2 2 2 2 4" xfId="14571" xr:uid="{00000000-0005-0000-0000-0000EC380000}"/>
    <cellStyle name="Normal 2 4 3 2 2 2 3" xfId="14572" xr:uid="{00000000-0005-0000-0000-0000ED380000}"/>
    <cellStyle name="Normal 2 4 3 2 2 2 3 2" xfId="14573" xr:uid="{00000000-0005-0000-0000-0000EE380000}"/>
    <cellStyle name="Normal 2 4 3 2 2 2 3 2 2" xfId="14574" xr:uid="{00000000-0005-0000-0000-0000EF380000}"/>
    <cellStyle name="Normal 2 4 3 2 2 2 3 3" xfId="14575" xr:uid="{00000000-0005-0000-0000-0000F0380000}"/>
    <cellStyle name="Normal 2 4 3 2 2 2 4" xfId="14576" xr:uid="{00000000-0005-0000-0000-0000F1380000}"/>
    <cellStyle name="Normal 2 4 3 2 2 2 4 2" xfId="14577" xr:uid="{00000000-0005-0000-0000-0000F2380000}"/>
    <cellStyle name="Normal 2 4 3 2 2 2 5" xfId="14578" xr:uid="{00000000-0005-0000-0000-0000F3380000}"/>
    <cellStyle name="Normal 2 4 3 2 2 3" xfId="14579" xr:uid="{00000000-0005-0000-0000-0000F4380000}"/>
    <cellStyle name="Normal 2 4 3 2 2 3 2" xfId="14580" xr:uid="{00000000-0005-0000-0000-0000F5380000}"/>
    <cellStyle name="Normal 2 4 3 2 2 3 2 2" xfId="14581" xr:uid="{00000000-0005-0000-0000-0000F6380000}"/>
    <cellStyle name="Normal 2 4 3 2 2 3 2 2 2" xfId="14582" xr:uid="{00000000-0005-0000-0000-0000F7380000}"/>
    <cellStyle name="Normal 2 4 3 2 2 3 2 3" xfId="14583" xr:uid="{00000000-0005-0000-0000-0000F8380000}"/>
    <cellStyle name="Normal 2 4 3 2 2 3 3" xfId="14584" xr:uid="{00000000-0005-0000-0000-0000F9380000}"/>
    <cellStyle name="Normal 2 4 3 2 2 3 3 2" xfId="14585" xr:uid="{00000000-0005-0000-0000-0000FA380000}"/>
    <cellStyle name="Normal 2 4 3 2 2 3 4" xfId="14586" xr:uid="{00000000-0005-0000-0000-0000FB380000}"/>
    <cellStyle name="Normal 2 4 3 2 2 4" xfId="14587" xr:uid="{00000000-0005-0000-0000-0000FC380000}"/>
    <cellStyle name="Normal 2 4 3 2 2 4 2" xfId="14588" xr:uid="{00000000-0005-0000-0000-0000FD380000}"/>
    <cellStyle name="Normal 2 4 3 2 2 4 2 2" xfId="14589" xr:uid="{00000000-0005-0000-0000-0000FE380000}"/>
    <cellStyle name="Normal 2 4 3 2 2 4 3" xfId="14590" xr:uid="{00000000-0005-0000-0000-0000FF380000}"/>
    <cellStyle name="Normal 2 4 3 2 2 5" xfId="14591" xr:uid="{00000000-0005-0000-0000-000000390000}"/>
    <cellStyle name="Normal 2 4 3 2 2 5 2" xfId="14592" xr:uid="{00000000-0005-0000-0000-000001390000}"/>
    <cellStyle name="Normal 2 4 3 2 2 6" xfId="14593" xr:uid="{00000000-0005-0000-0000-000002390000}"/>
    <cellStyle name="Normal 2 4 3 2 3" xfId="14594" xr:uid="{00000000-0005-0000-0000-000003390000}"/>
    <cellStyle name="Normal 2 4 3 2 3 2" xfId="14595" xr:uid="{00000000-0005-0000-0000-000004390000}"/>
    <cellStyle name="Normal 2 4 3 2 3 2 2" xfId="14596" xr:uid="{00000000-0005-0000-0000-000005390000}"/>
    <cellStyle name="Normal 2 4 3 2 3 2 2 2" xfId="14597" xr:uid="{00000000-0005-0000-0000-000006390000}"/>
    <cellStyle name="Normal 2 4 3 2 3 2 2 2 2" xfId="14598" xr:uid="{00000000-0005-0000-0000-000007390000}"/>
    <cellStyle name="Normal 2 4 3 2 3 2 2 3" xfId="14599" xr:uid="{00000000-0005-0000-0000-000008390000}"/>
    <cellStyle name="Normal 2 4 3 2 3 2 3" xfId="14600" xr:uid="{00000000-0005-0000-0000-000009390000}"/>
    <cellStyle name="Normal 2 4 3 2 3 2 3 2" xfId="14601" xr:uid="{00000000-0005-0000-0000-00000A390000}"/>
    <cellStyle name="Normal 2 4 3 2 3 2 4" xfId="14602" xr:uid="{00000000-0005-0000-0000-00000B390000}"/>
    <cellStyle name="Normal 2 4 3 2 3 3" xfId="14603" xr:uid="{00000000-0005-0000-0000-00000C390000}"/>
    <cellStyle name="Normal 2 4 3 2 3 3 2" xfId="14604" xr:uid="{00000000-0005-0000-0000-00000D390000}"/>
    <cellStyle name="Normal 2 4 3 2 3 3 2 2" xfId="14605" xr:uid="{00000000-0005-0000-0000-00000E390000}"/>
    <cellStyle name="Normal 2 4 3 2 3 3 3" xfId="14606" xr:uid="{00000000-0005-0000-0000-00000F390000}"/>
    <cellStyle name="Normal 2 4 3 2 3 4" xfId="14607" xr:uid="{00000000-0005-0000-0000-000010390000}"/>
    <cellStyle name="Normal 2 4 3 2 3 4 2" xfId="14608" xr:uid="{00000000-0005-0000-0000-000011390000}"/>
    <cellStyle name="Normal 2 4 3 2 3 5" xfId="14609" xr:uid="{00000000-0005-0000-0000-000012390000}"/>
    <cellStyle name="Normal 2 4 3 2 4" xfId="14610" xr:uid="{00000000-0005-0000-0000-000013390000}"/>
    <cellStyle name="Normal 2 4 3 2 4 2" xfId="14611" xr:uid="{00000000-0005-0000-0000-000014390000}"/>
    <cellStyle name="Normal 2 4 3 2 4 2 2" xfId="14612" xr:uid="{00000000-0005-0000-0000-000015390000}"/>
    <cellStyle name="Normal 2 4 3 2 4 2 2 2" xfId="14613" xr:uid="{00000000-0005-0000-0000-000016390000}"/>
    <cellStyle name="Normal 2 4 3 2 4 2 3" xfId="14614" xr:uid="{00000000-0005-0000-0000-000017390000}"/>
    <cellStyle name="Normal 2 4 3 2 4 3" xfId="14615" xr:uid="{00000000-0005-0000-0000-000018390000}"/>
    <cellStyle name="Normal 2 4 3 2 4 3 2" xfId="14616" xr:uid="{00000000-0005-0000-0000-000019390000}"/>
    <cellStyle name="Normal 2 4 3 2 4 4" xfId="14617" xr:uid="{00000000-0005-0000-0000-00001A390000}"/>
    <cellStyle name="Normal 2 4 3 2 5" xfId="14618" xr:uid="{00000000-0005-0000-0000-00001B390000}"/>
    <cellStyle name="Normal 2 4 3 2 5 2" xfId="14619" xr:uid="{00000000-0005-0000-0000-00001C390000}"/>
    <cellStyle name="Normal 2 4 3 2 5 2 2" xfId="14620" xr:uid="{00000000-0005-0000-0000-00001D390000}"/>
    <cellStyle name="Normal 2 4 3 2 5 3" xfId="14621" xr:uid="{00000000-0005-0000-0000-00001E390000}"/>
    <cellStyle name="Normal 2 4 3 2 6" xfId="14622" xr:uid="{00000000-0005-0000-0000-00001F390000}"/>
    <cellStyle name="Normal 2 4 3 2 6 2" xfId="14623" xr:uid="{00000000-0005-0000-0000-000020390000}"/>
    <cellStyle name="Normal 2 4 3 2 7" xfId="14624" xr:uid="{00000000-0005-0000-0000-000021390000}"/>
    <cellStyle name="Normal 2 4 3 3" xfId="14625" xr:uid="{00000000-0005-0000-0000-000022390000}"/>
    <cellStyle name="Normal 2 4 3 3 2" xfId="14626" xr:uid="{00000000-0005-0000-0000-000023390000}"/>
    <cellStyle name="Normal 2 4 3 3 2 2" xfId="14627" xr:uid="{00000000-0005-0000-0000-000024390000}"/>
    <cellStyle name="Normal 2 4 3 3 2 2 2" xfId="14628" xr:uid="{00000000-0005-0000-0000-000025390000}"/>
    <cellStyle name="Normal 2 4 3 3 2 2 2 2" xfId="14629" xr:uid="{00000000-0005-0000-0000-000026390000}"/>
    <cellStyle name="Normal 2 4 3 3 2 2 2 2 2" xfId="14630" xr:uid="{00000000-0005-0000-0000-000027390000}"/>
    <cellStyle name="Normal 2 4 3 3 2 2 2 3" xfId="14631" xr:uid="{00000000-0005-0000-0000-000028390000}"/>
    <cellStyle name="Normal 2 4 3 3 2 2 3" xfId="14632" xr:uid="{00000000-0005-0000-0000-000029390000}"/>
    <cellStyle name="Normal 2 4 3 3 2 2 3 2" xfId="14633" xr:uid="{00000000-0005-0000-0000-00002A390000}"/>
    <cellStyle name="Normal 2 4 3 3 2 2 4" xfId="14634" xr:uid="{00000000-0005-0000-0000-00002B390000}"/>
    <cellStyle name="Normal 2 4 3 3 2 3" xfId="14635" xr:uid="{00000000-0005-0000-0000-00002C390000}"/>
    <cellStyle name="Normal 2 4 3 3 2 3 2" xfId="14636" xr:uid="{00000000-0005-0000-0000-00002D390000}"/>
    <cellStyle name="Normal 2 4 3 3 2 3 2 2" xfId="14637" xr:uid="{00000000-0005-0000-0000-00002E390000}"/>
    <cellStyle name="Normal 2 4 3 3 2 3 3" xfId="14638" xr:uid="{00000000-0005-0000-0000-00002F390000}"/>
    <cellStyle name="Normal 2 4 3 3 2 4" xfId="14639" xr:uid="{00000000-0005-0000-0000-000030390000}"/>
    <cellStyle name="Normal 2 4 3 3 2 4 2" xfId="14640" xr:uid="{00000000-0005-0000-0000-000031390000}"/>
    <cellStyle name="Normal 2 4 3 3 2 5" xfId="14641" xr:uid="{00000000-0005-0000-0000-000032390000}"/>
    <cellStyle name="Normal 2 4 3 3 3" xfId="14642" xr:uid="{00000000-0005-0000-0000-000033390000}"/>
    <cellStyle name="Normal 2 4 3 3 3 2" xfId="14643" xr:uid="{00000000-0005-0000-0000-000034390000}"/>
    <cellStyle name="Normal 2 4 3 3 3 2 2" xfId="14644" xr:uid="{00000000-0005-0000-0000-000035390000}"/>
    <cellStyle name="Normal 2 4 3 3 3 2 2 2" xfId="14645" xr:uid="{00000000-0005-0000-0000-000036390000}"/>
    <cellStyle name="Normal 2 4 3 3 3 2 3" xfId="14646" xr:uid="{00000000-0005-0000-0000-000037390000}"/>
    <cellStyle name="Normal 2 4 3 3 3 3" xfId="14647" xr:uid="{00000000-0005-0000-0000-000038390000}"/>
    <cellStyle name="Normal 2 4 3 3 3 3 2" xfId="14648" xr:uid="{00000000-0005-0000-0000-000039390000}"/>
    <cellStyle name="Normal 2 4 3 3 3 4" xfId="14649" xr:uid="{00000000-0005-0000-0000-00003A390000}"/>
    <cellStyle name="Normal 2 4 3 3 4" xfId="14650" xr:uid="{00000000-0005-0000-0000-00003B390000}"/>
    <cellStyle name="Normal 2 4 3 3 4 2" xfId="14651" xr:uid="{00000000-0005-0000-0000-00003C390000}"/>
    <cellStyle name="Normal 2 4 3 3 4 2 2" xfId="14652" xr:uid="{00000000-0005-0000-0000-00003D390000}"/>
    <cellStyle name="Normal 2 4 3 3 4 3" xfId="14653" xr:uid="{00000000-0005-0000-0000-00003E390000}"/>
    <cellStyle name="Normal 2 4 3 3 5" xfId="14654" xr:uid="{00000000-0005-0000-0000-00003F390000}"/>
    <cellStyle name="Normal 2 4 3 3 5 2" xfId="14655" xr:uid="{00000000-0005-0000-0000-000040390000}"/>
    <cellStyle name="Normal 2 4 3 3 6" xfId="14656" xr:uid="{00000000-0005-0000-0000-000041390000}"/>
    <cellStyle name="Normal 2 4 3 4" xfId="14657" xr:uid="{00000000-0005-0000-0000-000042390000}"/>
    <cellStyle name="Normal 2 4 3 4 2" xfId="14658" xr:uid="{00000000-0005-0000-0000-000043390000}"/>
    <cellStyle name="Normal 2 4 3 4 2 2" xfId="14659" xr:uid="{00000000-0005-0000-0000-000044390000}"/>
    <cellStyle name="Normal 2 4 3 4 2 2 2" xfId="14660" xr:uid="{00000000-0005-0000-0000-000045390000}"/>
    <cellStyle name="Normal 2 4 3 4 2 2 2 2" xfId="14661" xr:uid="{00000000-0005-0000-0000-000046390000}"/>
    <cellStyle name="Normal 2 4 3 4 2 2 3" xfId="14662" xr:uid="{00000000-0005-0000-0000-000047390000}"/>
    <cellStyle name="Normal 2 4 3 4 2 3" xfId="14663" xr:uid="{00000000-0005-0000-0000-000048390000}"/>
    <cellStyle name="Normal 2 4 3 4 2 3 2" xfId="14664" xr:uid="{00000000-0005-0000-0000-000049390000}"/>
    <cellStyle name="Normal 2 4 3 4 2 4" xfId="14665" xr:uid="{00000000-0005-0000-0000-00004A390000}"/>
    <cellStyle name="Normal 2 4 3 4 3" xfId="14666" xr:uid="{00000000-0005-0000-0000-00004B390000}"/>
    <cellStyle name="Normal 2 4 3 4 3 2" xfId="14667" xr:uid="{00000000-0005-0000-0000-00004C390000}"/>
    <cellStyle name="Normal 2 4 3 4 3 2 2" xfId="14668" xr:uid="{00000000-0005-0000-0000-00004D390000}"/>
    <cellStyle name="Normal 2 4 3 4 3 3" xfId="14669" xr:uid="{00000000-0005-0000-0000-00004E390000}"/>
    <cellStyle name="Normal 2 4 3 4 4" xfId="14670" xr:uid="{00000000-0005-0000-0000-00004F390000}"/>
    <cellStyle name="Normal 2 4 3 4 4 2" xfId="14671" xr:uid="{00000000-0005-0000-0000-000050390000}"/>
    <cellStyle name="Normal 2 4 3 4 5" xfId="14672" xr:uid="{00000000-0005-0000-0000-000051390000}"/>
    <cellStyle name="Normal 2 4 3 5" xfId="14673" xr:uid="{00000000-0005-0000-0000-000052390000}"/>
    <cellStyle name="Normal 2 4 3 5 2" xfId="14674" xr:uid="{00000000-0005-0000-0000-000053390000}"/>
    <cellStyle name="Normal 2 4 3 5 2 2" xfId="14675" xr:uid="{00000000-0005-0000-0000-000054390000}"/>
    <cellStyle name="Normal 2 4 3 5 2 2 2" xfId="14676" xr:uid="{00000000-0005-0000-0000-000055390000}"/>
    <cellStyle name="Normal 2 4 3 5 2 3" xfId="14677" xr:uid="{00000000-0005-0000-0000-000056390000}"/>
    <cellStyle name="Normal 2 4 3 5 3" xfId="14678" xr:uid="{00000000-0005-0000-0000-000057390000}"/>
    <cellStyle name="Normal 2 4 3 5 3 2" xfId="14679" xr:uid="{00000000-0005-0000-0000-000058390000}"/>
    <cellStyle name="Normal 2 4 3 5 4" xfId="14680" xr:uid="{00000000-0005-0000-0000-000059390000}"/>
    <cellStyle name="Normal 2 4 3 6" xfId="14681" xr:uid="{00000000-0005-0000-0000-00005A390000}"/>
    <cellStyle name="Normal 2 4 3 6 2" xfId="14682" xr:uid="{00000000-0005-0000-0000-00005B390000}"/>
    <cellStyle name="Normal 2 4 3 6 2 2" xfId="14683" xr:uid="{00000000-0005-0000-0000-00005C390000}"/>
    <cellStyle name="Normal 2 4 3 6 3" xfId="14684" xr:uid="{00000000-0005-0000-0000-00005D390000}"/>
    <cellStyle name="Normal 2 4 3 7" xfId="14685" xr:uid="{00000000-0005-0000-0000-00005E390000}"/>
    <cellStyle name="Normal 2 4 3 7 2" xfId="14686" xr:uid="{00000000-0005-0000-0000-00005F390000}"/>
    <cellStyle name="Normal 2 4 3 8" xfId="14687" xr:uid="{00000000-0005-0000-0000-000060390000}"/>
    <cellStyle name="Normal 2 4 4" xfId="14688" xr:uid="{00000000-0005-0000-0000-000061390000}"/>
    <cellStyle name="Normal 2 4 4 2" xfId="14689" xr:uid="{00000000-0005-0000-0000-000062390000}"/>
    <cellStyle name="Normal 2 4 4 2 2" xfId="14690" xr:uid="{00000000-0005-0000-0000-000063390000}"/>
    <cellStyle name="Normal 2 4 4 2 2 2" xfId="14691" xr:uid="{00000000-0005-0000-0000-000064390000}"/>
    <cellStyle name="Normal 2 4 4 2 2 2 2" xfId="14692" xr:uid="{00000000-0005-0000-0000-000065390000}"/>
    <cellStyle name="Normal 2 4 4 2 2 2 2 2" xfId="14693" xr:uid="{00000000-0005-0000-0000-000066390000}"/>
    <cellStyle name="Normal 2 4 4 2 2 2 2 2 2" xfId="14694" xr:uid="{00000000-0005-0000-0000-000067390000}"/>
    <cellStyle name="Normal 2 4 4 2 2 2 2 3" xfId="14695" xr:uid="{00000000-0005-0000-0000-000068390000}"/>
    <cellStyle name="Normal 2 4 4 2 2 2 3" xfId="14696" xr:uid="{00000000-0005-0000-0000-000069390000}"/>
    <cellStyle name="Normal 2 4 4 2 2 2 3 2" xfId="14697" xr:uid="{00000000-0005-0000-0000-00006A390000}"/>
    <cellStyle name="Normal 2 4 4 2 2 2 4" xfId="14698" xr:uid="{00000000-0005-0000-0000-00006B390000}"/>
    <cellStyle name="Normal 2 4 4 2 2 3" xfId="14699" xr:uid="{00000000-0005-0000-0000-00006C390000}"/>
    <cellStyle name="Normal 2 4 4 2 2 3 2" xfId="14700" xr:uid="{00000000-0005-0000-0000-00006D390000}"/>
    <cellStyle name="Normal 2 4 4 2 2 3 2 2" xfId="14701" xr:uid="{00000000-0005-0000-0000-00006E390000}"/>
    <cellStyle name="Normal 2 4 4 2 2 3 3" xfId="14702" xr:uid="{00000000-0005-0000-0000-00006F390000}"/>
    <cellStyle name="Normal 2 4 4 2 2 4" xfId="14703" xr:uid="{00000000-0005-0000-0000-000070390000}"/>
    <cellStyle name="Normal 2 4 4 2 2 4 2" xfId="14704" xr:uid="{00000000-0005-0000-0000-000071390000}"/>
    <cellStyle name="Normal 2 4 4 2 2 5" xfId="14705" xr:uid="{00000000-0005-0000-0000-000072390000}"/>
    <cellStyle name="Normal 2 4 4 2 3" xfId="14706" xr:uid="{00000000-0005-0000-0000-000073390000}"/>
    <cellStyle name="Normal 2 4 4 2 3 2" xfId="14707" xr:uid="{00000000-0005-0000-0000-000074390000}"/>
    <cellStyle name="Normal 2 4 4 2 3 2 2" xfId="14708" xr:uid="{00000000-0005-0000-0000-000075390000}"/>
    <cellStyle name="Normal 2 4 4 2 3 2 2 2" xfId="14709" xr:uid="{00000000-0005-0000-0000-000076390000}"/>
    <cellStyle name="Normal 2 4 4 2 3 2 3" xfId="14710" xr:uid="{00000000-0005-0000-0000-000077390000}"/>
    <cellStyle name="Normal 2 4 4 2 3 3" xfId="14711" xr:uid="{00000000-0005-0000-0000-000078390000}"/>
    <cellStyle name="Normal 2 4 4 2 3 3 2" xfId="14712" xr:uid="{00000000-0005-0000-0000-000079390000}"/>
    <cellStyle name="Normal 2 4 4 2 3 4" xfId="14713" xr:uid="{00000000-0005-0000-0000-00007A390000}"/>
    <cellStyle name="Normal 2 4 4 2 4" xfId="14714" xr:uid="{00000000-0005-0000-0000-00007B390000}"/>
    <cellStyle name="Normal 2 4 4 2 4 2" xfId="14715" xr:uid="{00000000-0005-0000-0000-00007C390000}"/>
    <cellStyle name="Normal 2 4 4 2 4 2 2" xfId="14716" xr:uid="{00000000-0005-0000-0000-00007D390000}"/>
    <cellStyle name="Normal 2 4 4 2 4 3" xfId="14717" xr:uid="{00000000-0005-0000-0000-00007E390000}"/>
    <cellStyle name="Normal 2 4 4 2 5" xfId="14718" xr:uid="{00000000-0005-0000-0000-00007F390000}"/>
    <cellStyle name="Normal 2 4 4 2 5 2" xfId="14719" xr:uid="{00000000-0005-0000-0000-000080390000}"/>
    <cellStyle name="Normal 2 4 4 2 6" xfId="14720" xr:uid="{00000000-0005-0000-0000-000081390000}"/>
    <cellStyle name="Normal 2 4 4 3" xfId="14721" xr:uid="{00000000-0005-0000-0000-000082390000}"/>
    <cellStyle name="Normal 2 4 4 3 2" xfId="14722" xr:uid="{00000000-0005-0000-0000-000083390000}"/>
    <cellStyle name="Normal 2 4 4 3 2 2" xfId="14723" xr:uid="{00000000-0005-0000-0000-000084390000}"/>
    <cellStyle name="Normal 2 4 4 3 2 2 2" xfId="14724" xr:uid="{00000000-0005-0000-0000-000085390000}"/>
    <cellStyle name="Normal 2 4 4 3 2 2 2 2" xfId="14725" xr:uid="{00000000-0005-0000-0000-000086390000}"/>
    <cellStyle name="Normal 2 4 4 3 2 2 3" xfId="14726" xr:uid="{00000000-0005-0000-0000-000087390000}"/>
    <cellStyle name="Normal 2 4 4 3 2 3" xfId="14727" xr:uid="{00000000-0005-0000-0000-000088390000}"/>
    <cellStyle name="Normal 2 4 4 3 2 3 2" xfId="14728" xr:uid="{00000000-0005-0000-0000-000089390000}"/>
    <cellStyle name="Normal 2 4 4 3 2 4" xfId="14729" xr:uid="{00000000-0005-0000-0000-00008A390000}"/>
    <cellStyle name="Normal 2 4 4 3 3" xfId="14730" xr:uid="{00000000-0005-0000-0000-00008B390000}"/>
    <cellStyle name="Normal 2 4 4 3 3 2" xfId="14731" xr:uid="{00000000-0005-0000-0000-00008C390000}"/>
    <cellStyle name="Normal 2 4 4 3 3 2 2" xfId="14732" xr:uid="{00000000-0005-0000-0000-00008D390000}"/>
    <cellStyle name="Normal 2 4 4 3 3 3" xfId="14733" xr:uid="{00000000-0005-0000-0000-00008E390000}"/>
    <cellStyle name="Normal 2 4 4 3 4" xfId="14734" xr:uid="{00000000-0005-0000-0000-00008F390000}"/>
    <cellStyle name="Normal 2 4 4 3 4 2" xfId="14735" xr:uid="{00000000-0005-0000-0000-000090390000}"/>
    <cellStyle name="Normal 2 4 4 3 5" xfId="14736" xr:uid="{00000000-0005-0000-0000-000091390000}"/>
    <cellStyle name="Normal 2 4 4 4" xfId="14737" xr:uid="{00000000-0005-0000-0000-000092390000}"/>
    <cellStyle name="Normal 2 4 4 4 2" xfId="14738" xr:uid="{00000000-0005-0000-0000-000093390000}"/>
    <cellStyle name="Normal 2 4 4 4 2 2" xfId="14739" xr:uid="{00000000-0005-0000-0000-000094390000}"/>
    <cellStyle name="Normal 2 4 4 4 2 2 2" xfId="14740" xr:uid="{00000000-0005-0000-0000-000095390000}"/>
    <cellStyle name="Normal 2 4 4 4 2 3" xfId="14741" xr:uid="{00000000-0005-0000-0000-000096390000}"/>
    <cellStyle name="Normal 2 4 4 4 3" xfId="14742" xr:uid="{00000000-0005-0000-0000-000097390000}"/>
    <cellStyle name="Normal 2 4 4 4 3 2" xfId="14743" xr:uid="{00000000-0005-0000-0000-000098390000}"/>
    <cellStyle name="Normal 2 4 4 4 4" xfId="14744" xr:uid="{00000000-0005-0000-0000-000099390000}"/>
    <cellStyle name="Normal 2 4 4 5" xfId="14745" xr:uid="{00000000-0005-0000-0000-00009A390000}"/>
    <cellStyle name="Normal 2 4 4 5 2" xfId="14746" xr:uid="{00000000-0005-0000-0000-00009B390000}"/>
    <cellStyle name="Normal 2 4 4 5 2 2" xfId="14747" xr:uid="{00000000-0005-0000-0000-00009C390000}"/>
    <cellStyle name="Normal 2 4 4 5 3" xfId="14748" xr:uid="{00000000-0005-0000-0000-00009D390000}"/>
    <cellStyle name="Normal 2 4 4 6" xfId="14749" xr:uid="{00000000-0005-0000-0000-00009E390000}"/>
    <cellStyle name="Normal 2 4 4 6 2" xfId="14750" xr:uid="{00000000-0005-0000-0000-00009F390000}"/>
    <cellStyle name="Normal 2 4 4 7" xfId="14751" xr:uid="{00000000-0005-0000-0000-0000A0390000}"/>
    <cellStyle name="Normal 2 4 5" xfId="14752" xr:uid="{00000000-0005-0000-0000-0000A1390000}"/>
    <cellStyle name="Normal 2 4 5 2" xfId="14753" xr:uid="{00000000-0005-0000-0000-0000A2390000}"/>
    <cellStyle name="Normal 2 4 5 2 2" xfId="14754" xr:uid="{00000000-0005-0000-0000-0000A3390000}"/>
    <cellStyle name="Normal 2 4 5 2 2 2" xfId="14755" xr:uid="{00000000-0005-0000-0000-0000A4390000}"/>
    <cellStyle name="Normal 2 4 5 2 2 2 2" xfId="14756" xr:uid="{00000000-0005-0000-0000-0000A5390000}"/>
    <cellStyle name="Normal 2 4 5 2 2 2 2 2" xfId="14757" xr:uid="{00000000-0005-0000-0000-0000A6390000}"/>
    <cellStyle name="Normal 2 4 5 2 2 2 3" xfId="14758" xr:uid="{00000000-0005-0000-0000-0000A7390000}"/>
    <cellStyle name="Normal 2 4 5 2 2 3" xfId="14759" xr:uid="{00000000-0005-0000-0000-0000A8390000}"/>
    <cellStyle name="Normal 2 4 5 2 2 3 2" xfId="14760" xr:uid="{00000000-0005-0000-0000-0000A9390000}"/>
    <cellStyle name="Normal 2 4 5 2 2 4" xfId="14761" xr:uid="{00000000-0005-0000-0000-0000AA390000}"/>
    <cellStyle name="Normal 2 4 5 2 3" xfId="14762" xr:uid="{00000000-0005-0000-0000-0000AB390000}"/>
    <cellStyle name="Normal 2 4 5 2 3 2" xfId="14763" xr:uid="{00000000-0005-0000-0000-0000AC390000}"/>
    <cellStyle name="Normal 2 4 5 2 3 2 2" xfId="14764" xr:uid="{00000000-0005-0000-0000-0000AD390000}"/>
    <cellStyle name="Normal 2 4 5 2 3 3" xfId="14765" xr:uid="{00000000-0005-0000-0000-0000AE390000}"/>
    <cellStyle name="Normal 2 4 5 2 4" xfId="14766" xr:uid="{00000000-0005-0000-0000-0000AF390000}"/>
    <cellStyle name="Normal 2 4 5 2 4 2" xfId="14767" xr:uid="{00000000-0005-0000-0000-0000B0390000}"/>
    <cellStyle name="Normal 2 4 5 2 5" xfId="14768" xr:uid="{00000000-0005-0000-0000-0000B1390000}"/>
    <cellStyle name="Normal 2 4 5 3" xfId="14769" xr:uid="{00000000-0005-0000-0000-0000B2390000}"/>
    <cellStyle name="Normal 2 4 5 3 2" xfId="14770" xr:uid="{00000000-0005-0000-0000-0000B3390000}"/>
    <cellStyle name="Normal 2 4 5 3 2 2" xfId="14771" xr:uid="{00000000-0005-0000-0000-0000B4390000}"/>
    <cellStyle name="Normal 2 4 5 3 2 2 2" xfId="14772" xr:uid="{00000000-0005-0000-0000-0000B5390000}"/>
    <cellStyle name="Normal 2 4 5 3 2 3" xfId="14773" xr:uid="{00000000-0005-0000-0000-0000B6390000}"/>
    <cellStyle name="Normal 2 4 5 3 3" xfId="14774" xr:uid="{00000000-0005-0000-0000-0000B7390000}"/>
    <cellStyle name="Normal 2 4 5 3 3 2" xfId="14775" xr:uid="{00000000-0005-0000-0000-0000B8390000}"/>
    <cellStyle name="Normal 2 4 5 3 4" xfId="14776" xr:uid="{00000000-0005-0000-0000-0000B9390000}"/>
    <cellStyle name="Normal 2 4 5 4" xfId="14777" xr:uid="{00000000-0005-0000-0000-0000BA390000}"/>
    <cellStyle name="Normal 2 4 5 4 2" xfId="14778" xr:uid="{00000000-0005-0000-0000-0000BB390000}"/>
    <cellStyle name="Normal 2 4 5 4 2 2" xfId="14779" xr:uid="{00000000-0005-0000-0000-0000BC390000}"/>
    <cellStyle name="Normal 2 4 5 4 3" xfId="14780" xr:uid="{00000000-0005-0000-0000-0000BD390000}"/>
    <cellStyle name="Normal 2 4 5 5" xfId="14781" xr:uid="{00000000-0005-0000-0000-0000BE390000}"/>
    <cellStyle name="Normal 2 4 5 5 2" xfId="14782" xr:uid="{00000000-0005-0000-0000-0000BF390000}"/>
    <cellStyle name="Normal 2 4 5 6" xfId="14783" xr:uid="{00000000-0005-0000-0000-0000C0390000}"/>
    <cellStyle name="Normal 2 4 6" xfId="14784" xr:uid="{00000000-0005-0000-0000-0000C1390000}"/>
    <cellStyle name="Normal 2 4 6 2" xfId="14785" xr:uid="{00000000-0005-0000-0000-0000C2390000}"/>
    <cellStyle name="Normal 2 4 6 2 2" xfId="14786" xr:uid="{00000000-0005-0000-0000-0000C3390000}"/>
    <cellStyle name="Normal 2 4 6 2 2 2" xfId="14787" xr:uid="{00000000-0005-0000-0000-0000C4390000}"/>
    <cellStyle name="Normal 2 4 6 2 2 2 2" xfId="14788" xr:uid="{00000000-0005-0000-0000-0000C5390000}"/>
    <cellStyle name="Normal 2 4 6 2 2 3" xfId="14789" xr:uid="{00000000-0005-0000-0000-0000C6390000}"/>
    <cellStyle name="Normal 2 4 6 2 3" xfId="14790" xr:uid="{00000000-0005-0000-0000-0000C7390000}"/>
    <cellStyle name="Normal 2 4 6 2 3 2" xfId="14791" xr:uid="{00000000-0005-0000-0000-0000C8390000}"/>
    <cellStyle name="Normal 2 4 6 2 4" xfId="14792" xr:uid="{00000000-0005-0000-0000-0000C9390000}"/>
    <cellStyle name="Normal 2 4 6 3" xfId="14793" xr:uid="{00000000-0005-0000-0000-0000CA390000}"/>
    <cellStyle name="Normal 2 4 6 3 2" xfId="14794" xr:uid="{00000000-0005-0000-0000-0000CB390000}"/>
    <cellStyle name="Normal 2 4 6 3 2 2" xfId="14795" xr:uid="{00000000-0005-0000-0000-0000CC390000}"/>
    <cellStyle name="Normal 2 4 6 3 3" xfId="14796" xr:uid="{00000000-0005-0000-0000-0000CD390000}"/>
    <cellStyle name="Normal 2 4 6 4" xfId="14797" xr:uid="{00000000-0005-0000-0000-0000CE390000}"/>
    <cellStyle name="Normal 2 4 6 4 2" xfId="14798" xr:uid="{00000000-0005-0000-0000-0000CF390000}"/>
    <cellStyle name="Normal 2 4 6 5" xfId="14799" xr:uid="{00000000-0005-0000-0000-0000D0390000}"/>
    <cellStyle name="Normal 2 4 7" xfId="14800" xr:uid="{00000000-0005-0000-0000-0000D1390000}"/>
    <cellStyle name="Normal 2 4 7 2" xfId="14801" xr:uid="{00000000-0005-0000-0000-0000D2390000}"/>
    <cellStyle name="Normal 2 4 7 2 2" xfId="14802" xr:uid="{00000000-0005-0000-0000-0000D3390000}"/>
    <cellStyle name="Normal 2 4 7 2 2 2" xfId="14803" xr:uid="{00000000-0005-0000-0000-0000D4390000}"/>
    <cellStyle name="Normal 2 4 7 2 3" xfId="14804" xr:uid="{00000000-0005-0000-0000-0000D5390000}"/>
    <cellStyle name="Normal 2 4 7 3" xfId="14805" xr:uid="{00000000-0005-0000-0000-0000D6390000}"/>
    <cellStyle name="Normal 2 4 7 3 2" xfId="14806" xr:uid="{00000000-0005-0000-0000-0000D7390000}"/>
    <cellStyle name="Normal 2 4 7 4" xfId="14807" xr:uid="{00000000-0005-0000-0000-0000D8390000}"/>
    <cellStyle name="Normal 2 4 8" xfId="14808" xr:uid="{00000000-0005-0000-0000-0000D9390000}"/>
    <cellStyle name="Normal 2 4 8 2" xfId="14809" xr:uid="{00000000-0005-0000-0000-0000DA390000}"/>
    <cellStyle name="Normal 2 4 8 2 2" xfId="14810" xr:uid="{00000000-0005-0000-0000-0000DB390000}"/>
    <cellStyle name="Normal 2 4 8 3" xfId="14811" xr:uid="{00000000-0005-0000-0000-0000DC390000}"/>
    <cellStyle name="Normal 2 4 9" xfId="14812" xr:uid="{00000000-0005-0000-0000-0000DD390000}"/>
    <cellStyle name="Normal 2 4 9 2" xfId="14813" xr:uid="{00000000-0005-0000-0000-0000DE390000}"/>
    <cellStyle name="Normal 2 5" xfId="14814" xr:uid="{00000000-0005-0000-0000-0000DF390000}"/>
    <cellStyle name="Normal 2 5 2" xfId="14815" xr:uid="{00000000-0005-0000-0000-0000E0390000}"/>
    <cellStyle name="Normal 2 5 2 2" xfId="14816" xr:uid="{00000000-0005-0000-0000-0000E1390000}"/>
    <cellStyle name="Normal 2 5 2 2 2" xfId="14817" xr:uid="{00000000-0005-0000-0000-0000E2390000}"/>
    <cellStyle name="Normal 2 5 2 2 2 2" xfId="14818" xr:uid="{00000000-0005-0000-0000-0000E3390000}"/>
    <cellStyle name="Normal 2 5 2 2 2 2 2" xfId="14819" xr:uid="{00000000-0005-0000-0000-0000E4390000}"/>
    <cellStyle name="Normal 2 5 2 2 2 2 2 2" xfId="14820" xr:uid="{00000000-0005-0000-0000-0000E5390000}"/>
    <cellStyle name="Normal 2 5 2 2 2 2 2 2 2" xfId="14821" xr:uid="{00000000-0005-0000-0000-0000E6390000}"/>
    <cellStyle name="Normal 2 5 2 2 2 2 2 2 2 2" xfId="14822" xr:uid="{00000000-0005-0000-0000-0000E7390000}"/>
    <cellStyle name="Normal 2 5 2 2 2 2 2 2 3" xfId="14823" xr:uid="{00000000-0005-0000-0000-0000E8390000}"/>
    <cellStyle name="Normal 2 5 2 2 2 2 2 3" xfId="14824" xr:uid="{00000000-0005-0000-0000-0000E9390000}"/>
    <cellStyle name="Normal 2 5 2 2 2 2 2 3 2" xfId="14825" xr:uid="{00000000-0005-0000-0000-0000EA390000}"/>
    <cellStyle name="Normal 2 5 2 2 2 2 2 4" xfId="14826" xr:uid="{00000000-0005-0000-0000-0000EB390000}"/>
    <cellStyle name="Normal 2 5 2 2 2 2 3" xfId="14827" xr:uid="{00000000-0005-0000-0000-0000EC390000}"/>
    <cellStyle name="Normal 2 5 2 2 2 2 3 2" xfId="14828" xr:uid="{00000000-0005-0000-0000-0000ED390000}"/>
    <cellStyle name="Normal 2 5 2 2 2 2 3 2 2" xfId="14829" xr:uid="{00000000-0005-0000-0000-0000EE390000}"/>
    <cellStyle name="Normal 2 5 2 2 2 2 3 3" xfId="14830" xr:uid="{00000000-0005-0000-0000-0000EF390000}"/>
    <cellStyle name="Normal 2 5 2 2 2 2 4" xfId="14831" xr:uid="{00000000-0005-0000-0000-0000F0390000}"/>
    <cellStyle name="Normal 2 5 2 2 2 2 4 2" xfId="14832" xr:uid="{00000000-0005-0000-0000-0000F1390000}"/>
    <cellStyle name="Normal 2 5 2 2 2 2 5" xfId="14833" xr:uid="{00000000-0005-0000-0000-0000F2390000}"/>
    <cellStyle name="Normal 2 5 2 2 2 3" xfId="14834" xr:uid="{00000000-0005-0000-0000-0000F3390000}"/>
    <cellStyle name="Normal 2 5 2 2 2 3 2" xfId="14835" xr:uid="{00000000-0005-0000-0000-0000F4390000}"/>
    <cellStyle name="Normal 2 5 2 2 2 3 2 2" xfId="14836" xr:uid="{00000000-0005-0000-0000-0000F5390000}"/>
    <cellStyle name="Normal 2 5 2 2 2 3 2 2 2" xfId="14837" xr:uid="{00000000-0005-0000-0000-0000F6390000}"/>
    <cellStyle name="Normal 2 5 2 2 2 3 2 3" xfId="14838" xr:uid="{00000000-0005-0000-0000-0000F7390000}"/>
    <cellStyle name="Normal 2 5 2 2 2 3 3" xfId="14839" xr:uid="{00000000-0005-0000-0000-0000F8390000}"/>
    <cellStyle name="Normal 2 5 2 2 2 3 3 2" xfId="14840" xr:uid="{00000000-0005-0000-0000-0000F9390000}"/>
    <cellStyle name="Normal 2 5 2 2 2 3 4" xfId="14841" xr:uid="{00000000-0005-0000-0000-0000FA390000}"/>
    <cellStyle name="Normal 2 5 2 2 2 4" xfId="14842" xr:uid="{00000000-0005-0000-0000-0000FB390000}"/>
    <cellStyle name="Normal 2 5 2 2 2 4 2" xfId="14843" xr:uid="{00000000-0005-0000-0000-0000FC390000}"/>
    <cellStyle name="Normal 2 5 2 2 2 4 2 2" xfId="14844" xr:uid="{00000000-0005-0000-0000-0000FD390000}"/>
    <cellStyle name="Normal 2 5 2 2 2 4 3" xfId="14845" xr:uid="{00000000-0005-0000-0000-0000FE390000}"/>
    <cellStyle name="Normal 2 5 2 2 2 5" xfId="14846" xr:uid="{00000000-0005-0000-0000-0000FF390000}"/>
    <cellStyle name="Normal 2 5 2 2 2 5 2" xfId="14847" xr:uid="{00000000-0005-0000-0000-0000003A0000}"/>
    <cellStyle name="Normal 2 5 2 2 2 6" xfId="14848" xr:uid="{00000000-0005-0000-0000-0000013A0000}"/>
    <cellStyle name="Normal 2 5 2 2 3" xfId="14849" xr:uid="{00000000-0005-0000-0000-0000023A0000}"/>
    <cellStyle name="Normal 2 5 2 2 3 2" xfId="14850" xr:uid="{00000000-0005-0000-0000-0000033A0000}"/>
    <cellStyle name="Normal 2 5 2 2 3 2 2" xfId="14851" xr:uid="{00000000-0005-0000-0000-0000043A0000}"/>
    <cellStyle name="Normal 2 5 2 2 3 2 2 2" xfId="14852" xr:uid="{00000000-0005-0000-0000-0000053A0000}"/>
    <cellStyle name="Normal 2 5 2 2 3 2 2 2 2" xfId="14853" xr:uid="{00000000-0005-0000-0000-0000063A0000}"/>
    <cellStyle name="Normal 2 5 2 2 3 2 2 3" xfId="14854" xr:uid="{00000000-0005-0000-0000-0000073A0000}"/>
    <cellStyle name="Normal 2 5 2 2 3 2 3" xfId="14855" xr:uid="{00000000-0005-0000-0000-0000083A0000}"/>
    <cellStyle name="Normal 2 5 2 2 3 2 3 2" xfId="14856" xr:uid="{00000000-0005-0000-0000-0000093A0000}"/>
    <cellStyle name="Normal 2 5 2 2 3 2 4" xfId="14857" xr:uid="{00000000-0005-0000-0000-00000A3A0000}"/>
    <cellStyle name="Normal 2 5 2 2 3 3" xfId="14858" xr:uid="{00000000-0005-0000-0000-00000B3A0000}"/>
    <cellStyle name="Normal 2 5 2 2 3 3 2" xfId="14859" xr:uid="{00000000-0005-0000-0000-00000C3A0000}"/>
    <cellStyle name="Normal 2 5 2 2 3 3 2 2" xfId="14860" xr:uid="{00000000-0005-0000-0000-00000D3A0000}"/>
    <cellStyle name="Normal 2 5 2 2 3 3 3" xfId="14861" xr:uid="{00000000-0005-0000-0000-00000E3A0000}"/>
    <cellStyle name="Normal 2 5 2 2 3 4" xfId="14862" xr:uid="{00000000-0005-0000-0000-00000F3A0000}"/>
    <cellStyle name="Normal 2 5 2 2 3 4 2" xfId="14863" xr:uid="{00000000-0005-0000-0000-0000103A0000}"/>
    <cellStyle name="Normal 2 5 2 2 3 5" xfId="14864" xr:uid="{00000000-0005-0000-0000-0000113A0000}"/>
    <cellStyle name="Normal 2 5 2 2 4" xfId="14865" xr:uid="{00000000-0005-0000-0000-0000123A0000}"/>
    <cellStyle name="Normal 2 5 2 2 4 2" xfId="14866" xr:uid="{00000000-0005-0000-0000-0000133A0000}"/>
    <cellStyle name="Normal 2 5 2 2 4 2 2" xfId="14867" xr:uid="{00000000-0005-0000-0000-0000143A0000}"/>
    <cellStyle name="Normal 2 5 2 2 4 2 2 2" xfId="14868" xr:uid="{00000000-0005-0000-0000-0000153A0000}"/>
    <cellStyle name="Normal 2 5 2 2 4 2 3" xfId="14869" xr:uid="{00000000-0005-0000-0000-0000163A0000}"/>
    <cellStyle name="Normal 2 5 2 2 4 3" xfId="14870" xr:uid="{00000000-0005-0000-0000-0000173A0000}"/>
    <cellStyle name="Normal 2 5 2 2 4 3 2" xfId="14871" xr:uid="{00000000-0005-0000-0000-0000183A0000}"/>
    <cellStyle name="Normal 2 5 2 2 4 4" xfId="14872" xr:uid="{00000000-0005-0000-0000-0000193A0000}"/>
    <cellStyle name="Normal 2 5 2 2 5" xfId="14873" xr:uid="{00000000-0005-0000-0000-00001A3A0000}"/>
    <cellStyle name="Normal 2 5 2 2 5 2" xfId="14874" xr:uid="{00000000-0005-0000-0000-00001B3A0000}"/>
    <cellStyle name="Normal 2 5 2 2 5 2 2" xfId="14875" xr:uid="{00000000-0005-0000-0000-00001C3A0000}"/>
    <cellStyle name="Normal 2 5 2 2 5 3" xfId="14876" xr:uid="{00000000-0005-0000-0000-00001D3A0000}"/>
    <cellStyle name="Normal 2 5 2 2 6" xfId="14877" xr:uid="{00000000-0005-0000-0000-00001E3A0000}"/>
    <cellStyle name="Normal 2 5 2 2 6 2" xfId="14878" xr:uid="{00000000-0005-0000-0000-00001F3A0000}"/>
    <cellStyle name="Normal 2 5 2 2 7" xfId="14879" xr:uid="{00000000-0005-0000-0000-0000203A0000}"/>
    <cellStyle name="Normal 2 5 2 3" xfId="14880" xr:uid="{00000000-0005-0000-0000-0000213A0000}"/>
    <cellStyle name="Normal 2 5 2 3 2" xfId="14881" xr:uid="{00000000-0005-0000-0000-0000223A0000}"/>
    <cellStyle name="Normal 2 5 2 3 2 2" xfId="14882" xr:uid="{00000000-0005-0000-0000-0000233A0000}"/>
    <cellStyle name="Normal 2 5 2 3 2 2 2" xfId="14883" xr:uid="{00000000-0005-0000-0000-0000243A0000}"/>
    <cellStyle name="Normal 2 5 2 3 2 2 2 2" xfId="14884" xr:uid="{00000000-0005-0000-0000-0000253A0000}"/>
    <cellStyle name="Normal 2 5 2 3 2 2 2 2 2" xfId="14885" xr:uid="{00000000-0005-0000-0000-0000263A0000}"/>
    <cellStyle name="Normal 2 5 2 3 2 2 2 3" xfId="14886" xr:uid="{00000000-0005-0000-0000-0000273A0000}"/>
    <cellStyle name="Normal 2 5 2 3 2 2 3" xfId="14887" xr:uid="{00000000-0005-0000-0000-0000283A0000}"/>
    <cellStyle name="Normal 2 5 2 3 2 2 3 2" xfId="14888" xr:uid="{00000000-0005-0000-0000-0000293A0000}"/>
    <cellStyle name="Normal 2 5 2 3 2 2 4" xfId="14889" xr:uid="{00000000-0005-0000-0000-00002A3A0000}"/>
    <cellStyle name="Normal 2 5 2 3 2 3" xfId="14890" xr:uid="{00000000-0005-0000-0000-00002B3A0000}"/>
    <cellStyle name="Normal 2 5 2 3 2 3 2" xfId="14891" xr:uid="{00000000-0005-0000-0000-00002C3A0000}"/>
    <cellStyle name="Normal 2 5 2 3 2 3 2 2" xfId="14892" xr:uid="{00000000-0005-0000-0000-00002D3A0000}"/>
    <cellStyle name="Normal 2 5 2 3 2 3 3" xfId="14893" xr:uid="{00000000-0005-0000-0000-00002E3A0000}"/>
    <cellStyle name="Normal 2 5 2 3 2 4" xfId="14894" xr:uid="{00000000-0005-0000-0000-00002F3A0000}"/>
    <cellStyle name="Normal 2 5 2 3 2 4 2" xfId="14895" xr:uid="{00000000-0005-0000-0000-0000303A0000}"/>
    <cellStyle name="Normal 2 5 2 3 2 5" xfId="14896" xr:uid="{00000000-0005-0000-0000-0000313A0000}"/>
    <cellStyle name="Normal 2 5 2 3 3" xfId="14897" xr:uid="{00000000-0005-0000-0000-0000323A0000}"/>
    <cellStyle name="Normal 2 5 2 3 3 2" xfId="14898" xr:uid="{00000000-0005-0000-0000-0000333A0000}"/>
    <cellStyle name="Normal 2 5 2 3 3 2 2" xfId="14899" xr:uid="{00000000-0005-0000-0000-0000343A0000}"/>
    <cellStyle name="Normal 2 5 2 3 3 2 2 2" xfId="14900" xr:uid="{00000000-0005-0000-0000-0000353A0000}"/>
    <cellStyle name="Normal 2 5 2 3 3 2 3" xfId="14901" xr:uid="{00000000-0005-0000-0000-0000363A0000}"/>
    <cellStyle name="Normal 2 5 2 3 3 3" xfId="14902" xr:uid="{00000000-0005-0000-0000-0000373A0000}"/>
    <cellStyle name="Normal 2 5 2 3 3 3 2" xfId="14903" xr:uid="{00000000-0005-0000-0000-0000383A0000}"/>
    <cellStyle name="Normal 2 5 2 3 3 4" xfId="14904" xr:uid="{00000000-0005-0000-0000-0000393A0000}"/>
    <cellStyle name="Normal 2 5 2 3 4" xfId="14905" xr:uid="{00000000-0005-0000-0000-00003A3A0000}"/>
    <cellStyle name="Normal 2 5 2 3 4 2" xfId="14906" xr:uid="{00000000-0005-0000-0000-00003B3A0000}"/>
    <cellStyle name="Normal 2 5 2 3 4 2 2" xfId="14907" xr:uid="{00000000-0005-0000-0000-00003C3A0000}"/>
    <cellStyle name="Normal 2 5 2 3 4 3" xfId="14908" xr:uid="{00000000-0005-0000-0000-00003D3A0000}"/>
    <cellStyle name="Normal 2 5 2 3 5" xfId="14909" xr:uid="{00000000-0005-0000-0000-00003E3A0000}"/>
    <cellStyle name="Normal 2 5 2 3 5 2" xfId="14910" xr:uid="{00000000-0005-0000-0000-00003F3A0000}"/>
    <cellStyle name="Normal 2 5 2 3 6" xfId="14911" xr:uid="{00000000-0005-0000-0000-0000403A0000}"/>
    <cellStyle name="Normal 2 5 2 4" xfId="14912" xr:uid="{00000000-0005-0000-0000-0000413A0000}"/>
    <cellStyle name="Normal 2 5 2 4 2" xfId="14913" xr:uid="{00000000-0005-0000-0000-0000423A0000}"/>
    <cellStyle name="Normal 2 5 2 4 2 2" xfId="14914" xr:uid="{00000000-0005-0000-0000-0000433A0000}"/>
    <cellStyle name="Normal 2 5 2 4 2 2 2" xfId="14915" xr:uid="{00000000-0005-0000-0000-0000443A0000}"/>
    <cellStyle name="Normal 2 5 2 4 2 2 2 2" xfId="14916" xr:uid="{00000000-0005-0000-0000-0000453A0000}"/>
    <cellStyle name="Normal 2 5 2 4 2 2 3" xfId="14917" xr:uid="{00000000-0005-0000-0000-0000463A0000}"/>
    <cellStyle name="Normal 2 5 2 4 2 3" xfId="14918" xr:uid="{00000000-0005-0000-0000-0000473A0000}"/>
    <cellStyle name="Normal 2 5 2 4 2 3 2" xfId="14919" xr:uid="{00000000-0005-0000-0000-0000483A0000}"/>
    <cellStyle name="Normal 2 5 2 4 2 4" xfId="14920" xr:uid="{00000000-0005-0000-0000-0000493A0000}"/>
    <cellStyle name="Normal 2 5 2 4 3" xfId="14921" xr:uid="{00000000-0005-0000-0000-00004A3A0000}"/>
    <cellStyle name="Normal 2 5 2 4 3 2" xfId="14922" xr:uid="{00000000-0005-0000-0000-00004B3A0000}"/>
    <cellStyle name="Normal 2 5 2 4 3 2 2" xfId="14923" xr:uid="{00000000-0005-0000-0000-00004C3A0000}"/>
    <cellStyle name="Normal 2 5 2 4 3 3" xfId="14924" xr:uid="{00000000-0005-0000-0000-00004D3A0000}"/>
    <cellStyle name="Normal 2 5 2 4 4" xfId="14925" xr:uid="{00000000-0005-0000-0000-00004E3A0000}"/>
    <cellStyle name="Normal 2 5 2 4 4 2" xfId="14926" xr:uid="{00000000-0005-0000-0000-00004F3A0000}"/>
    <cellStyle name="Normal 2 5 2 4 5" xfId="14927" xr:uid="{00000000-0005-0000-0000-0000503A0000}"/>
    <cellStyle name="Normal 2 5 2 5" xfId="14928" xr:uid="{00000000-0005-0000-0000-0000513A0000}"/>
    <cellStyle name="Normal 2 5 2 5 2" xfId="14929" xr:uid="{00000000-0005-0000-0000-0000523A0000}"/>
    <cellStyle name="Normal 2 5 2 5 2 2" xfId="14930" xr:uid="{00000000-0005-0000-0000-0000533A0000}"/>
    <cellStyle name="Normal 2 5 2 5 2 2 2" xfId="14931" xr:uid="{00000000-0005-0000-0000-0000543A0000}"/>
    <cellStyle name="Normal 2 5 2 5 2 3" xfId="14932" xr:uid="{00000000-0005-0000-0000-0000553A0000}"/>
    <cellStyle name="Normal 2 5 2 5 3" xfId="14933" xr:uid="{00000000-0005-0000-0000-0000563A0000}"/>
    <cellStyle name="Normal 2 5 2 5 3 2" xfId="14934" xr:uid="{00000000-0005-0000-0000-0000573A0000}"/>
    <cellStyle name="Normal 2 5 2 5 4" xfId="14935" xr:uid="{00000000-0005-0000-0000-0000583A0000}"/>
    <cellStyle name="Normal 2 5 2 6" xfId="14936" xr:uid="{00000000-0005-0000-0000-0000593A0000}"/>
    <cellStyle name="Normal 2 5 2 6 2" xfId="14937" xr:uid="{00000000-0005-0000-0000-00005A3A0000}"/>
    <cellStyle name="Normal 2 5 2 6 2 2" xfId="14938" xr:uid="{00000000-0005-0000-0000-00005B3A0000}"/>
    <cellStyle name="Normal 2 5 2 6 3" xfId="14939" xr:uid="{00000000-0005-0000-0000-00005C3A0000}"/>
    <cellStyle name="Normal 2 5 2 7" xfId="14940" xr:uid="{00000000-0005-0000-0000-00005D3A0000}"/>
    <cellStyle name="Normal 2 5 2 7 2" xfId="14941" xr:uid="{00000000-0005-0000-0000-00005E3A0000}"/>
    <cellStyle name="Normal 2 5 2 8" xfId="14942" xr:uid="{00000000-0005-0000-0000-00005F3A0000}"/>
    <cellStyle name="Normal 2 5 3" xfId="14943" xr:uid="{00000000-0005-0000-0000-0000603A0000}"/>
    <cellStyle name="Normal 2 5 3 2" xfId="14944" xr:uid="{00000000-0005-0000-0000-0000613A0000}"/>
    <cellStyle name="Normal 2 5 3 2 2" xfId="14945" xr:uid="{00000000-0005-0000-0000-0000623A0000}"/>
    <cellStyle name="Normal 2 5 3 2 2 2" xfId="14946" xr:uid="{00000000-0005-0000-0000-0000633A0000}"/>
    <cellStyle name="Normal 2 5 3 2 2 2 2" xfId="14947" xr:uid="{00000000-0005-0000-0000-0000643A0000}"/>
    <cellStyle name="Normal 2 5 3 2 2 2 2 2" xfId="14948" xr:uid="{00000000-0005-0000-0000-0000653A0000}"/>
    <cellStyle name="Normal 2 5 3 2 2 2 2 2 2" xfId="14949" xr:uid="{00000000-0005-0000-0000-0000663A0000}"/>
    <cellStyle name="Normal 2 5 3 2 2 2 2 3" xfId="14950" xr:uid="{00000000-0005-0000-0000-0000673A0000}"/>
    <cellStyle name="Normal 2 5 3 2 2 2 3" xfId="14951" xr:uid="{00000000-0005-0000-0000-0000683A0000}"/>
    <cellStyle name="Normal 2 5 3 2 2 2 3 2" xfId="14952" xr:uid="{00000000-0005-0000-0000-0000693A0000}"/>
    <cellStyle name="Normal 2 5 3 2 2 2 4" xfId="14953" xr:uid="{00000000-0005-0000-0000-00006A3A0000}"/>
    <cellStyle name="Normal 2 5 3 2 2 3" xfId="14954" xr:uid="{00000000-0005-0000-0000-00006B3A0000}"/>
    <cellStyle name="Normal 2 5 3 2 2 3 2" xfId="14955" xr:uid="{00000000-0005-0000-0000-00006C3A0000}"/>
    <cellStyle name="Normal 2 5 3 2 2 3 2 2" xfId="14956" xr:uid="{00000000-0005-0000-0000-00006D3A0000}"/>
    <cellStyle name="Normal 2 5 3 2 2 3 3" xfId="14957" xr:uid="{00000000-0005-0000-0000-00006E3A0000}"/>
    <cellStyle name="Normal 2 5 3 2 2 4" xfId="14958" xr:uid="{00000000-0005-0000-0000-00006F3A0000}"/>
    <cellStyle name="Normal 2 5 3 2 2 4 2" xfId="14959" xr:uid="{00000000-0005-0000-0000-0000703A0000}"/>
    <cellStyle name="Normal 2 5 3 2 2 5" xfId="14960" xr:uid="{00000000-0005-0000-0000-0000713A0000}"/>
    <cellStyle name="Normal 2 5 3 2 3" xfId="14961" xr:uid="{00000000-0005-0000-0000-0000723A0000}"/>
    <cellStyle name="Normal 2 5 3 2 3 2" xfId="14962" xr:uid="{00000000-0005-0000-0000-0000733A0000}"/>
    <cellStyle name="Normal 2 5 3 2 3 2 2" xfId="14963" xr:uid="{00000000-0005-0000-0000-0000743A0000}"/>
    <cellStyle name="Normal 2 5 3 2 3 2 2 2" xfId="14964" xr:uid="{00000000-0005-0000-0000-0000753A0000}"/>
    <cellStyle name="Normal 2 5 3 2 3 2 3" xfId="14965" xr:uid="{00000000-0005-0000-0000-0000763A0000}"/>
    <cellStyle name="Normal 2 5 3 2 3 3" xfId="14966" xr:uid="{00000000-0005-0000-0000-0000773A0000}"/>
    <cellStyle name="Normal 2 5 3 2 3 3 2" xfId="14967" xr:uid="{00000000-0005-0000-0000-0000783A0000}"/>
    <cellStyle name="Normal 2 5 3 2 3 4" xfId="14968" xr:uid="{00000000-0005-0000-0000-0000793A0000}"/>
    <cellStyle name="Normal 2 5 3 2 4" xfId="14969" xr:uid="{00000000-0005-0000-0000-00007A3A0000}"/>
    <cellStyle name="Normal 2 5 3 2 4 2" xfId="14970" xr:uid="{00000000-0005-0000-0000-00007B3A0000}"/>
    <cellStyle name="Normal 2 5 3 2 4 2 2" xfId="14971" xr:uid="{00000000-0005-0000-0000-00007C3A0000}"/>
    <cellStyle name="Normal 2 5 3 2 4 3" xfId="14972" xr:uid="{00000000-0005-0000-0000-00007D3A0000}"/>
    <cellStyle name="Normal 2 5 3 2 5" xfId="14973" xr:uid="{00000000-0005-0000-0000-00007E3A0000}"/>
    <cellStyle name="Normal 2 5 3 2 5 2" xfId="14974" xr:uid="{00000000-0005-0000-0000-00007F3A0000}"/>
    <cellStyle name="Normal 2 5 3 2 6" xfId="14975" xr:uid="{00000000-0005-0000-0000-0000803A0000}"/>
    <cellStyle name="Normal 2 5 3 3" xfId="14976" xr:uid="{00000000-0005-0000-0000-0000813A0000}"/>
    <cellStyle name="Normal 2 5 3 3 2" xfId="14977" xr:uid="{00000000-0005-0000-0000-0000823A0000}"/>
    <cellStyle name="Normal 2 5 3 3 2 2" xfId="14978" xr:uid="{00000000-0005-0000-0000-0000833A0000}"/>
    <cellStyle name="Normal 2 5 3 3 2 2 2" xfId="14979" xr:uid="{00000000-0005-0000-0000-0000843A0000}"/>
    <cellStyle name="Normal 2 5 3 3 2 2 2 2" xfId="14980" xr:uid="{00000000-0005-0000-0000-0000853A0000}"/>
    <cellStyle name="Normal 2 5 3 3 2 2 3" xfId="14981" xr:uid="{00000000-0005-0000-0000-0000863A0000}"/>
    <cellStyle name="Normal 2 5 3 3 2 3" xfId="14982" xr:uid="{00000000-0005-0000-0000-0000873A0000}"/>
    <cellStyle name="Normal 2 5 3 3 2 3 2" xfId="14983" xr:uid="{00000000-0005-0000-0000-0000883A0000}"/>
    <cellStyle name="Normal 2 5 3 3 2 4" xfId="14984" xr:uid="{00000000-0005-0000-0000-0000893A0000}"/>
    <cellStyle name="Normal 2 5 3 3 3" xfId="14985" xr:uid="{00000000-0005-0000-0000-00008A3A0000}"/>
    <cellStyle name="Normal 2 5 3 3 3 2" xfId="14986" xr:uid="{00000000-0005-0000-0000-00008B3A0000}"/>
    <cellStyle name="Normal 2 5 3 3 3 2 2" xfId="14987" xr:uid="{00000000-0005-0000-0000-00008C3A0000}"/>
    <cellStyle name="Normal 2 5 3 3 3 3" xfId="14988" xr:uid="{00000000-0005-0000-0000-00008D3A0000}"/>
    <cellStyle name="Normal 2 5 3 3 4" xfId="14989" xr:uid="{00000000-0005-0000-0000-00008E3A0000}"/>
    <cellStyle name="Normal 2 5 3 3 4 2" xfId="14990" xr:uid="{00000000-0005-0000-0000-00008F3A0000}"/>
    <cellStyle name="Normal 2 5 3 3 5" xfId="14991" xr:uid="{00000000-0005-0000-0000-0000903A0000}"/>
    <cellStyle name="Normal 2 5 3 4" xfId="14992" xr:uid="{00000000-0005-0000-0000-0000913A0000}"/>
    <cellStyle name="Normal 2 5 3 4 2" xfId="14993" xr:uid="{00000000-0005-0000-0000-0000923A0000}"/>
    <cellStyle name="Normal 2 5 3 4 2 2" xfId="14994" xr:uid="{00000000-0005-0000-0000-0000933A0000}"/>
    <cellStyle name="Normal 2 5 3 4 2 2 2" xfId="14995" xr:uid="{00000000-0005-0000-0000-0000943A0000}"/>
    <cellStyle name="Normal 2 5 3 4 2 3" xfId="14996" xr:uid="{00000000-0005-0000-0000-0000953A0000}"/>
    <cellStyle name="Normal 2 5 3 4 3" xfId="14997" xr:uid="{00000000-0005-0000-0000-0000963A0000}"/>
    <cellStyle name="Normal 2 5 3 4 3 2" xfId="14998" xr:uid="{00000000-0005-0000-0000-0000973A0000}"/>
    <cellStyle name="Normal 2 5 3 4 4" xfId="14999" xr:uid="{00000000-0005-0000-0000-0000983A0000}"/>
    <cellStyle name="Normal 2 5 3 5" xfId="15000" xr:uid="{00000000-0005-0000-0000-0000993A0000}"/>
    <cellStyle name="Normal 2 5 3 5 2" xfId="15001" xr:uid="{00000000-0005-0000-0000-00009A3A0000}"/>
    <cellStyle name="Normal 2 5 3 5 2 2" xfId="15002" xr:uid="{00000000-0005-0000-0000-00009B3A0000}"/>
    <cellStyle name="Normal 2 5 3 5 3" xfId="15003" xr:uid="{00000000-0005-0000-0000-00009C3A0000}"/>
    <cellStyle name="Normal 2 5 3 6" xfId="15004" xr:uid="{00000000-0005-0000-0000-00009D3A0000}"/>
    <cellStyle name="Normal 2 5 3 6 2" xfId="15005" xr:uid="{00000000-0005-0000-0000-00009E3A0000}"/>
    <cellStyle name="Normal 2 5 3 7" xfId="15006" xr:uid="{00000000-0005-0000-0000-00009F3A0000}"/>
    <cellStyle name="Normal 2 5 4" xfId="15007" xr:uid="{00000000-0005-0000-0000-0000A03A0000}"/>
    <cellStyle name="Normal 2 5 4 2" xfId="15008" xr:uid="{00000000-0005-0000-0000-0000A13A0000}"/>
    <cellStyle name="Normal 2 5 4 2 2" xfId="15009" xr:uid="{00000000-0005-0000-0000-0000A23A0000}"/>
    <cellStyle name="Normal 2 5 4 2 2 2" xfId="15010" xr:uid="{00000000-0005-0000-0000-0000A33A0000}"/>
    <cellStyle name="Normal 2 5 4 2 2 2 2" xfId="15011" xr:uid="{00000000-0005-0000-0000-0000A43A0000}"/>
    <cellStyle name="Normal 2 5 4 2 2 2 2 2" xfId="15012" xr:uid="{00000000-0005-0000-0000-0000A53A0000}"/>
    <cellStyle name="Normal 2 5 4 2 2 2 3" xfId="15013" xr:uid="{00000000-0005-0000-0000-0000A63A0000}"/>
    <cellStyle name="Normal 2 5 4 2 2 3" xfId="15014" xr:uid="{00000000-0005-0000-0000-0000A73A0000}"/>
    <cellStyle name="Normal 2 5 4 2 2 3 2" xfId="15015" xr:uid="{00000000-0005-0000-0000-0000A83A0000}"/>
    <cellStyle name="Normal 2 5 4 2 2 4" xfId="15016" xr:uid="{00000000-0005-0000-0000-0000A93A0000}"/>
    <cellStyle name="Normal 2 5 4 2 3" xfId="15017" xr:uid="{00000000-0005-0000-0000-0000AA3A0000}"/>
    <cellStyle name="Normal 2 5 4 2 3 2" xfId="15018" xr:uid="{00000000-0005-0000-0000-0000AB3A0000}"/>
    <cellStyle name="Normal 2 5 4 2 3 2 2" xfId="15019" xr:uid="{00000000-0005-0000-0000-0000AC3A0000}"/>
    <cellStyle name="Normal 2 5 4 2 3 3" xfId="15020" xr:uid="{00000000-0005-0000-0000-0000AD3A0000}"/>
    <cellStyle name="Normal 2 5 4 2 4" xfId="15021" xr:uid="{00000000-0005-0000-0000-0000AE3A0000}"/>
    <cellStyle name="Normal 2 5 4 2 4 2" xfId="15022" xr:uid="{00000000-0005-0000-0000-0000AF3A0000}"/>
    <cellStyle name="Normal 2 5 4 2 5" xfId="15023" xr:uid="{00000000-0005-0000-0000-0000B03A0000}"/>
    <cellStyle name="Normal 2 5 4 3" xfId="15024" xr:uid="{00000000-0005-0000-0000-0000B13A0000}"/>
    <cellStyle name="Normal 2 5 4 3 2" xfId="15025" xr:uid="{00000000-0005-0000-0000-0000B23A0000}"/>
    <cellStyle name="Normal 2 5 4 3 2 2" xfId="15026" xr:uid="{00000000-0005-0000-0000-0000B33A0000}"/>
    <cellStyle name="Normal 2 5 4 3 2 2 2" xfId="15027" xr:uid="{00000000-0005-0000-0000-0000B43A0000}"/>
    <cellStyle name="Normal 2 5 4 3 2 3" xfId="15028" xr:uid="{00000000-0005-0000-0000-0000B53A0000}"/>
    <cellStyle name="Normal 2 5 4 3 3" xfId="15029" xr:uid="{00000000-0005-0000-0000-0000B63A0000}"/>
    <cellStyle name="Normal 2 5 4 3 3 2" xfId="15030" xr:uid="{00000000-0005-0000-0000-0000B73A0000}"/>
    <cellStyle name="Normal 2 5 4 3 4" xfId="15031" xr:uid="{00000000-0005-0000-0000-0000B83A0000}"/>
    <cellStyle name="Normal 2 5 4 4" xfId="15032" xr:uid="{00000000-0005-0000-0000-0000B93A0000}"/>
    <cellStyle name="Normal 2 5 4 4 2" xfId="15033" xr:uid="{00000000-0005-0000-0000-0000BA3A0000}"/>
    <cellStyle name="Normal 2 5 4 4 2 2" xfId="15034" xr:uid="{00000000-0005-0000-0000-0000BB3A0000}"/>
    <cellStyle name="Normal 2 5 4 4 3" xfId="15035" xr:uid="{00000000-0005-0000-0000-0000BC3A0000}"/>
    <cellStyle name="Normal 2 5 4 5" xfId="15036" xr:uid="{00000000-0005-0000-0000-0000BD3A0000}"/>
    <cellStyle name="Normal 2 5 4 5 2" xfId="15037" xr:uid="{00000000-0005-0000-0000-0000BE3A0000}"/>
    <cellStyle name="Normal 2 5 4 6" xfId="15038" xr:uid="{00000000-0005-0000-0000-0000BF3A0000}"/>
    <cellStyle name="Normal 2 5 5" xfId="15039" xr:uid="{00000000-0005-0000-0000-0000C03A0000}"/>
    <cellStyle name="Normal 2 5 5 2" xfId="15040" xr:uid="{00000000-0005-0000-0000-0000C13A0000}"/>
    <cellStyle name="Normal 2 5 5 2 2" xfId="15041" xr:uid="{00000000-0005-0000-0000-0000C23A0000}"/>
    <cellStyle name="Normal 2 5 5 2 2 2" xfId="15042" xr:uid="{00000000-0005-0000-0000-0000C33A0000}"/>
    <cellStyle name="Normal 2 5 5 2 2 2 2" xfId="15043" xr:uid="{00000000-0005-0000-0000-0000C43A0000}"/>
    <cellStyle name="Normal 2 5 5 2 2 3" xfId="15044" xr:uid="{00000000-0005-0000-0000-0000C53A0000}"/>
    <cellStyle name="Normal 2 5 5 2 3" xfId="15045" xr:uid="{00000000-0005-0000-0000-0000C63A0000}"/>
    <cellStyle name="Normal 2 5 5 2 3 2" xfId="15046" xr:uid="{00000000-0005-0000-0000-0000C73A0000}"/>
    <cellStyle name="Normal 2 5 5 2 4" xfId="15047" xr:uid="{00000000-0005-0000-0000-0000C83A0000}"/>
    <cellStyle name="Normal 2 5 5 3" xfId="15048" xr:uid="{00000000-0005-0000-0000-0000C93A0000}"/>
    <cellStyle name="Normal 2 5 5 3 2" xfId="15049" xr:uid="{00000000-0005-0000-0000-0000CA3A0000}"/>
    <cellStyle name="Normal 2 5 5 3 2 2" xfId="15050" xr:uid="{00000000-0005-0000-0000-0000CB3A0000}"/>
    <cellStyle name="Normal 2 5 5 3 3" xfId="15051" xr:uid="{00000000-0005-0000-0000-0000CC3A0000}"/>
    <cellStyle name="Normal 2 5 5 4" xfId="15052" xr:uid="{00000000-0005-0000-0000-0000CD3A0000}"/>
    <cellStyle name="Normal 2 5 5 4 2" xfId="15053" xr:uid="{00000000-0005-0000-0000-0000CE3A0000}"/>
    <cellStyle name="Normal 2 5 5 5" xfId="15054" xr:uid="{00000000-0005-0000-0000-0000CF3A0000}"/>
    <cellStyle name="Normal 2 5 6" xfId="15055" xr:uid="{00000000-0005-0000-0000-0000D03A0000}"/>
    <cellStyle name="Normal 2 5 6 2" xfId="15056" xr:uid="{00000000-0005-0000-0000-0000D13A0000}"/>
    <cellStyle name="Normal 2 5 6 2 2" xfId="15057" xr:uid="{00000000-0005-0000-0000-0000D23A0000}"/>
    <cellStyle name="Normal 2 5 6 2 2 2" xfId="15058" xr:uid="{00000000-0005-0000-0000-0000D33A0000}"/>
    <cellStyle name="Normal 2 5 6 2 3" xfId="15059" xr:uid="{00000000-0005-0000-0000-0000D43A0000}"/>
    <cellStyle name="Normal 2 5 6 3" xfId="15060" xr:uid="{00000000-0005-0000-0000-0000D53A0000}"/>
    <cellStyle name="Normal 2 5 6 3 2" xfId="15061" xr:uid="{00000000-0005-0000-0000-0000D63A0000}"/>
    <cellStyle name="Normal 2 5 6 4" xfId="15062" xr:uid="{00000000-0005-0000-0000-0000D73A0000}"/>
    <cellStyle name="Normal 2 5 7" xfId="15063" xr:uid="{00000000-0005-0000-0000-0000D83A0000}"/>
    <cellStyle name="Normal 2 5 7 2" xfId="15064" xr:uid="{00000000-0005-0000-0000-0000D93A0000}"/>
    <cellStyle name="Normal 2 5 7 2 2" xfId="15065" xr:uid="{00000000-0005-0000-0000-0000DA3A0000}"/>
    <cellStyle name="Normal 2 5 7 3" xfId="15066" xr:uid="{00000000-0005-0000-0000-0000DB3A0000}"/>
    <cellStyle name="Normal 2 5 8" xfId="15067" xr:uid="{00000000-0005-0000-0000-0000DC3A0000}"/>
    <cellStyle name="Normal 2 5 8 2" xfId="15068" xr:uid="{00000000-0005-0000-0000-0000DD3A0000}"/>
    <cellStyle name="Normal 2 5 9" xfId="15069" xr:uid="{00000000-0005-0000-0000-0000DE3A0000}"/>
    <cellStyle name="Normal 2 6" xfId="15070" xr:uid="{00000000-0005-0000-0000-0000DF3A0000}"/>
    <cellStyle name="Normal 2 6 2" xfId="15071" xr:uid="{00000000-0005-0000-0000-0000E03A0000}"/>
    <cellStyle name="Normal 2 6 2 2" xfId="15072" xr:uid="{00000000-0005-0000-0000-0000E13A0000}"/>
    <cellStyle name="Normal 2 6 2 2 2" xfId="15073" xr:uid="{00000000-0005-0000-0000-0000E23A0000}"/>
    <cellStyle name="Normal 2 6 2 2 2 2" xfId="15074" xr:uid="{00000000-0005-0000-0000-0000E33A0000}"/>
    <cellStyle name="Normal 2 6 2 2 2 2 2" xfId="15075" xr:uid="{00000000-0005-0000-0000-0000E43A0000}"/>
    <cellStyle name="Normal 2 6 2 2 2 2 2 2" xfId="15076" xr:uid="{00000000-0005-0000-0000-0000E53A0000}"/>
    <cellStyle name="Normal 2 6 2 2 2 2 2 2 2" xfId="15077" xr:uid="{00000000-0005-0000-0000-0000E63A0000}"/>
    <cellStyle name="Normal 2 6 2 2 2 2 2 3" xfId="15078" xr:uid="{00000000-0005-0000-0000-0000E73A0000}"/>
    <cellStyle name="Normal 2 6 2 2 2 2 3" xfId="15079" xr:uid="{00000000-0005-0000-0000-0000E83A0000}"/>
    <cellStyle name="Normal 2 6 2 2 2 2 3 2" xfId="15080" xr:uid="{00000000-0005-0000-0000-0000E93A0000}"/>
    <cellStyle name="Normal 2 6 2 2 2 2 4" xfId="15081" xr:uid="{00000000-0005-0000-0000-0000EA3A0000}"/>
    <cellStyle name="Normal 2 6 2 2 2 3" xfId="15082" xr:uid="{00000000-0005-0000-0000-0000EB3A0000}"/>
    <cellStyle name="Normal 2 6 2 2 2 3 2" xfId="15083" xr:uid="{00000000-0005-0000-0000-0000EC3A0000}"/>
    <cellStyle name="Normal 2 6 2 2 2 3 2 2" xfId="15084" xr:uid="{00000000-0005-0000-0000-0000ED3A0000}"/>
    <cellStyle name="Normal 2 6 2 2 2 3 3" xfId="15085" xr:uid="{00000000-0005-0000-0000-0000EE3A0000}"/>
    <cellStyle name="Normal 2 6 2 2 2 4" xfId="15086" xr:uid="{00000000-0005-0000-0000-0000EF3A0000}"/>
    <cellStyle name="Normal 2 6 2 2 2 4 2" xfId="15087" xr:uid="{00000000-0005-0000-0000-0000F03A0000}"/>
    <cellStyle name="Normal 2 6 2 2 2 5" xfId="15088" xr:uid="{00000000-0005-0000-0000-0000F13A0000}"/>
    <cellStyle name="Normal 2 6 2 2 3" xfId="15089" xr:uid="{00000000-0005-0000-0000-0000F23A0000}"/>
    <cellStyle name="Normal 2 6 2 2 3 2" xfId="15090" xr:uid="{00000000-0005-0000-0000-0000F33A0000}"/>
    <cellStyle name="Normal 2 6 2 2 3 2 2" xfId="15091" xr:uid="{00000000-0005-0000-0000-0000F43A0000}"/>
    <cellStyle name="Normal 2 6 2 2 3 2 2 2" xfId="15092" xr:uid="{00000000-0005-0000-0000-0000F53A0000}"/>
    <cellStyle name="Normal 2 6 2 2 3 2 3" xfId="15093" xr:uid="{00000000-0005-0000-0000-0000F63A0000}"/>
    <cellStyle name="Normal 2 6 2 2 3 3" xfId="15094" xr:uid="{00000000-0005-0000-0000-0000F73A0000}"/>
    <cellStyle name="Normal 2 6 2 2 3 3 2" xfId="15095" xr:uid="{00000000-0005-0000-0000-0000F83A0000}"/>
    <cellStyle name="Normal 2 6 2 2 3 4" xfId="15096" xr:uid="{00000000-0005-0000-0000-0000F93A0000}"/>
    <cellStyle name="Normal 2 6 2 2 4" xfId="15097" xr:uid="{00000000-0005-0000-0000-0000FA3A0000}"/>
    <cellStyle name="Normal 2 6 2 2 4 2" xfId="15098" xr:uid="{00000000-0005-0000-0000-0000FB3A0000}"/>
    <cellStyle name="Normal 2 6 2 2 4 2 2" xfId="15099" xr:uid="{00000000-0005-0000-0000-0000FC3A0000}"/>
    <cellStyle name="Normal 2 6 2 2 4 3" xfId="15100" xr:uid="{00000000-0005-0000-0000-0000FD3A0000}"/>
    <cellStyle name="Normal 2 6 2 2 5" xfId="15101" xr:uid="{00000000-0005-0000-0000-0000FE3A0000}"/>
    <cellStyle name="Normal 2 6 2 2 5 2" xfId="15102" xr:uid="{00000000-0005-0000-0000-0000FF3A0000}"/>
    <cellStyle name="Normal 2 6 2 2 6" xfId="15103" xr:uid="{00000000-0005-0000-0000-0000003B0000}"/>
    <cellStyle name="Normal 2 6 2 3" xfId="15104" xr:uid="{00000000-0005-0000-0000-0000013B0000}"/>
    <cellStyle name="Normal 2 6 2 3 2" xfId="15105" xr:uid="{00000000-0005-0000-0000-0000023B0000}"/>
    <cellStyle name="Normal 2 6 2 3 2 2" xfId="15106" xr:uid="{00000000-0005-0000-0000-0000033B0000}"/>
    <cellStyle name="Normal 2 6 2 3 2 2 2" xfId="15107" xr:uid="{00000000-0005-0000-0000-0000043B0000}"/>
    <cellStyle name="Normal 2 6 2 3 2 2 2 2" xfId="15108" xr:uid="{00000000-0005-0000-0000-0000053B0000}"/>
    <cellStyle name="Normal 2 6 2 3 2 2 3" xfId="15109" xr:uid="{00000000-0005-0000-0000-0000063B0000}"/>
    <cellStyle name="Normal 2 6 2 3 2 3" xfId="15110" xr:uid="{00000000-0005-0000-0000-0000073B0000}"/>
    <cellStyle name="Normal 2 6 2 3 2 3 2" xfId="15111" xr:uid="{00000000-0005-0000-0000-0000083B0000}"/>
    <cellStyle name="Normal 2 6 2 3 2 4" xfId="15112" xr:uid="{00000000-0005-0000-0000-0000093B0000}"/>
    <cellStyle name="Normal 2 6 2 3 3" xfId="15113" xr:uid="{00000000-0005-0000-0000-00000A3B0000}"/>
    <cellStyle name="Normal 2 6 2 3 3 2" xfId="15114" xr:uid="{00000000-0005-0000-0000-00000B3B0000}"/>
    <cellStyle name="Normal 2 6 2 3 3 2 2" xfId="15115" xr:uid="{00000000-0005-0000-0000-00000C3B0000}"/>
    <cellStyle name="Normal 2 6 2 3 3 3" xfId="15116" xr:uid="{00000000-0005-0000-0000-00000D3B0000}"/>
    <cellStyle name="Normal 2 6 2 3 4" xfId="15117" xr:uid="{00000000-0005-0000-0000-00000E3B0000}"/>
    <cellStyle name="Normal 2 6 2 3 4 2" xfId="15118" xr:uid="{00000000-0005-0000-0000-00000F3B0000}"/>
    <cellStyle name="Normal 2 6 2 3 5" xfId="15119" xr:uid="{00000000-0005-0000-0000-0000103B0000}"/>
    <cellStyle name="Normal 2 6 2 4" xfId="15120" xr:uid="{00000000-0005-0000-0000-0000113B0000}"/>
    <cellStyle name="Normal 2 6 2 4 2" xfId="15121" xr:uid="{00000000-0005-0000-0000-0000123B0000}"/>
    <cellStyle name="Normal 2 6 2 4 2 2" xfId="15122" xr:uid="{00000000-0005-0000-0000-0000133B0000}"/>
    <cellStyle name="Normal 2 6 2 4 2 2 2" xfId="15123" xr:uid="{00000000-0005-0000-0000-0000143B0000}"/>
    <cellStyle name="Normal 2 6 2 4 2 3" xfId="15124" xr:uid="{00000000-0005-0000-0000-0000153B0000}"/>
    <cellStyle name="Normal 2 6 2 4 3" xfId="15125" xr:uid="{00000000-0005-0000-0000-0000163B0000}"/>
    <cellStyle name="Normal 2 6 2 4 3 2" xfId="15126" xr:uid="{00000000-0005-0000-0000-0000173B0000}"/>
    <cellStyle name="Normal 2 6 2 4 4" xfId="15127" xr:uid="{00000000-0005-0000-0000-0000183B0000}"/>
    <cellStyle name="Normal 2 6 2 5" xfId="15128" xr:uid="{00000000-0005-0000-0000-0000193B0000}"/>
    <cellStyle name="Normal 2 6 2 5 2" xfId="15129" xr:uid="{00000000-0005-0000-0000-00001A3B0000}"/>
    <cellStyle name="Normal 2 6 2 5 2 2" xfId="15130" xr:uid="{00000000-0005-0000-0000-00001B3B0000}"/>
    <cellStyle name="Normal 2 6 2 5 3" xfId="15131" xr:uid="{00000000-0005-0000-0000-00001C3B0000}"/>
    <cellStyle name="Normal 2 6 2 6" xfId="15132" xr:uid="{00000000-0005-0000-0000-00001D3B0000}"/>
    <cellStyle name="Normal 2 6 2 6 2" xfId="15133" xr:uid="{00000000-0005-0000-0000-00001E3B0000}"/>
    <cellStyle name="Normal 2 6 2 7" xfId="15134" xr:uid="{00000000-0005-0000-0000-00001F3B0000}"/>
    <cellStyle name="Normal 2 6 3" xfId="15135" xr:uid="{00000000-0005-0000-0000-0000203B0000}"/>
    <cellStyle name="Normal 2 6 3 2" xfId="15136" xr:uid="{00000000-0005-0000-0000-0000213B0000}"/>
    <cellStyle name="Normal 2 6 3 2 2" xfId="15137" xr:uid="{00000000-0005-0000-0000-0000223B0000}"/>
    <cellStyle name="Normal 2 6 3 2 2 2" xfId="15138" xr:uid="{00000000-0005-0000-0000-0000233B0000}"/>
    <cellStyle name="Normal 2 6 3 2 2 2 2" xfId="15139" xr:uid="{00000000-0005-0000-0000-0000243B0000}"/>
    <cellStyle name="Normal 2 6 3 2 2 2 2 2" xfId="15140" xr:uid="{00000000-0005-0000-0000-0000253B0000}"/>
    <cellStyle name="Normal 2 6 3 2 2 2 3" xfId="15141" xr:uid="{00000000-0005-0000-0000-0000263B0000}"/>
    <cellStyle name="Normal 2 6 3 2 2 3" xfId="15142" xr:uid="{00000000-0005-0000-0000-0000273B0000}"/>
    <cellStyle name="Normal 2 6 3 2 2 3 2" xfId="15143" xr:uid="{00000000-0005-0000-0000-0000283B0000}"/>
    <cellStyle name="Normal 2 6 3 2 2 4" xfId="15144" xr:uid="{00000000-0005-0000-0000-0000293B0000}"/>
    <cellStyle name="Normal 2 6 3 2 3" xfId="15145" xr:uid="{00000000-0005-0000-0000-00002A3B0000}"/>
    <cellStyle name="Normal 2 6 3 2 3 2" xfId="15146" xr:uid="{00000000-0005-0000-0000-00002B3B0000}"/>
    <cellStyle name="Normal 2 6 3 2 3 2 2" xfId="15147" xr:uid="{00000000-0005-0000-0000-00002C3B0000}"/>
    <cellStyle name="Normal 2 6 3 2 3 3" xfId="15148" xr:uid="{00000000-0005-0000-0000-00002D3B0000}"/>
    <cellStyle name="Normal 2 6 3 2 4" xfId="15149" xr:uid="{00000000-0005-0000-0000-00002E3B0000}"/>
    <cellStyle name="Normal 2 6 3 2 4 2" xfId="15150" xr:uid="{00000000-0005-0000-0000-00002F3B0000}"/>
    <cellStyle name="Normal 2 6 3 2 5" xfId="15151" xr:uid="{00000000-0005-0000-0000-0000303B0000}"/>
    <cellStyle name="Normal 2 6 3 3" xfId="15152" xr:uid="{00000000-0005-0000-0000-0000313B0000}"/>
    <cellStyle name="Normal 2 6 3 3 2" xfId="15153" xr:uid="{00000000-0005-0000-0000-0000323B0000}"/>
    <cellStyle name="Normal 2 6 3 3 2 2" xfId="15154" xr:uid="{00000000-0005-0000-0000-0000333B0000}"/>
    <cellStyle name="Normal 2 6 3 3 2 2 2" xfId="15155" xr:uid="{00000000-0005-0000-0000-0000343B0000}"/>
    <cellStyle name="Normal 2 6 3 3 2 3" xfId="15156" xr:uid="{00000000-0005-0000-0000-0000353B0000}"/>
    <cellStyle name="Normal 2 6 3 3 3" xfId="15157" xr:uid="{00000000-0005-0000-0000-0000363B0000}"/>
    <cellStyle name="Normal 2 6 3 3 3 2" xfId="15158" xr:uid="{00000000-0005-0000-0000-0000373B0000}"/>
    <cellStyle name="Normal 2 6 3 3 4" xfId="15159" xr:uid="{00000000-0005-0000-0000-0000383B0000}"/>
    <cellStyle name="Normal 2 6 3 4" xfId="15160" xr:uid="{00000000-0005-0000-0000-0000393B0000}"/>
    <cellStyle name="Normal 2 6 3 4 2" xfId="15161" xr:uid="{00000000-0005-0000-0000-00003A3B0000}"/>
    <cellStyle name="Normal 2 6 3 4 2 2" xfId="15162" xr:uid="{00000000-0005-0000-0000-00003B3B0000}"/>
    <cellStyle name="Normal 2 6 3 4 3" xfId="15163" xr:uid="{00000000-0005-0000-0000-00003C3B0000}"/>
    <cellStyle name="Normal 2 6 3 5" xfId="15164" xr:uid="{00000000-0005-0000-0000-00003D3B0000}"/>
    <cellStyle name="Normal 2 6 3 5 2" xfId="15165" xr:uid="{00000000-0005-0000-0000-00003E3B0000}"/>
    <cellStyle name="Normal 2 6 3 6" xfId="15166" xr:uid="{00000000-0005-0000-0000-00003F3B0000}"/>
    <cellStyle name="Normal 2 6 4" xfId="15167" xr:uid="{00000000-0005-0000-0000-0000403B0000}"/>
    <cellStyle name="Normal 2 6 4 2" xfId="15168" xr:uid="{00000000-0005-0000-0000-0000413B0000}"/>
    <cellStyle name="Normal 2 6 4 2 2" xfId="15169" xr:uid="{00000000-0005-0000-0000-0000423B0000}"/>
    <cellStyle name="Normal 2 6 4 2 2 2" xfId="15170" xr:uid="{00000000-0005-0000-0000-0000433B0000}"/>
    <cellStyle name="Normal 2 6 4 2 2 2 2" xfId="15171" xr:uid="{00000000-0005-0000-0000-0000443B0000}"/>
    <cellStyle name="Normal 2 6 4 2 2 3" xfId="15172" xr:uid="{00000000-0005-0000-0000-0000453B0000}"/>
    <cellStyle name="Normal 2 6 4 2 3" xfId="15173" xr:uid="{00000000-0005-0000-0000-0000463B0000}"/>
    <cellStyle name="Normal 2 6 4 2 3 2" xfId="15174" xr:uid="{00000000-0005-0000-0000-0000473B0000}"/>
    <cellStyle name="Normal 2 6 4 2 4" xfId="15175" xr:uid="{00000000-0005-0000-0000-0000483B0000}"/>
    <cellStyle name="Normal 2 6 4 3" xfId="15176" xr:uid="{00000000-0005-0000-0000-0000493B0000}"/>
    <cellStyle name="Normal 2 6 4 3 2" xfId="15177" xr:uid="{00000000-0005-0000-0000-00004A3B0000}"/>
    <cellStyle name="Normal 2 6 4 3 2 2" xfId="15178" xr:uid="{00000000-0005-0000-0000-00004B3B0000}"/>
    <cellStyle name="Normal 2 6 4 3 3" xfId="15179" xr:uid="{00000000-0005-0000-0000-00004C3B0000}"/>
    <cellStyle name="Normal 2 6 4 4" xfId="15180" xr:uid="{00000000-0005-0000-0000-00004D3B0000}"/>
    <cellStyle name="Normal 2 6 4 4 2" xfId="15181" xr:uid="{00000000-0005-0000-0000-00004E3B0000}"/>
    <cellStyle name="Normal 2 6 4 5" xfId="15182" xr:uid="{00000000-0005-0000-0000-00004F3B0000}"/>
    <cellStyle name="Normal 2 6 5" xfId="15183" xr:uid="{00000000-0005-0000-0000-0000503B0000}"/>
    <cellStyle name="Normal 2 6 5 2" xfId="15184" xr:uid="{00000000-0005-0000-0000-0000513B0000}"/>
    <cellStyle name="Normal 2 6 5 2 2" xfId="15185" xr:uid="{00000000-0005-0000-0000-0000523B0000}"/>
    <cellStyle name="Normal 2 6 5 2 2 2" xfId="15186" xr:uid="{00000000-0005-0000-0000-0000533B0000}"/>
    <cellStyle name="Normal 2 6 5 2 3" xfId="15187" xr:uid="{00000000-0005-0000-0000-0000543B0000}"/>
    <cellStyle name="Normal 2 6 5 3" xfId="15188" xr:uid="{00000000-0005-0000-0000-0000553B0000}"/>
    <cellStyle name="Normal 2 6 5 3 2" xfId="15189" xr:uid="{00000000-0005-0000-0000-0000563B0000}"/>
    <cellStyle name="Normal 2 6 5 4" xfId="15190" xr:uid="{00000000-0005-0000-0000-0000573B0000}"/>
    <cellStyle name="Normal 2 6 6" xfId="15191" xr:uid="{00000000-0005-0000-0000-0000583B0000}"/>
    <cellStyle name="Normal 2 6 6 2" xfId="15192" xr:uid="{00000000-0005-0000-0000-0000593B0000}"/>
    <cellStyle name="Normal 2 6 6 2 2" xfId="15193" xr:uid="{00000000-0005-0000-0000-00005A3B0000}"/>
    <cellStyle name="Normal 2 6 6 3" xfId="15194" xr:uid="{00000000-0005-0000-0000-00005B3B0000}"/>
    <cellStyle name="Normal 2 6 7" xfId="15195" xr:uid="{00000000-0005-0000-0000-00005C3B0000}"/>
    <cellStyle name="Normal 2 6 7 2" xfId="15196" xr:uid="{00000000-0005-0000-0000-00005D3B0000}"/>
    <cellStyle name="Normal 2 6 8" xfId="15197" xr:uid="{00000000-0005-0000-0000-00005E3B0000}"/>
    <cellStyle name="Normal 2 7" xfId="15198" xr:uid="{00000000-0005-0000-0000-00005F3B0000}"/>
    <cellStyle name="Normal 2 7 2" xfId="15199" xr:uid="{00000000-0005-0000-0000-0000603B0000}"/>
    <cellStyle name="Normal 2 7 2 2" xfId="15200" xr:uid="{00000000-0005-0000-0000-0000613B0000}"/>
    <cellStyle name="Normal 2 7 2 2 2" xfId="15201" xr:uid="{00000000-0005-0000-0000-0000623B0000}"/>
    <cellStyle name="Normal 2 7 2 2 2 2" xfId="15202" xr:uid="{00000000-0005-0000-0000-0000633B0000}"/>
    <cellStyle name="Normal 2 7 2 2 2 2 2" xfId="15203" xr:uid="{00000000-0005-0000-0000-0000643B0000}"/>
    <cellStyle name="Normal 2 7 2 2 2 2 2 2" xfId="15204" xr:uid="{00000000-0005-0000-0000-0000653B0000}"/>
    <cellStyle name="Normal 2 7 2 2 2 2 3" xfId="15205" xr:uid="{00000000-0005-0000-0000-0000663B0000}"/>
    <cellStyle name="Normal 2 7 2 2 2 3" xfId="15206" xr:uid="{00000000-0005-0000-0000-0000673B0000}"/>
    <cellStyle name="Normal 2 7 2 2 2 3 2" xfId="15207" xr:uid="{00000000-0005-0000-0000-0000683B0000}"/>
    <cellStyle name="Normal 2 7 2 2 2 4" xfId="15208" xr:uid="{00000000-0005-0000-0000-0000693B0000}"/>
    <cellStyle name="Normal 2 7 2 2 3" xfId="15209" xr:uid="{00000000-0005-0000-0000-00006A3B0000}"/>
    <cellStyle name="Normal 2 7 2 2 3 2" xfId="15210" xr:uid="{00000000-0005-0000-0000-00006B3B0000}"/>
    <cellStyle name="Normal 2 7 2 2 3 2 2" xfId="15211" xr:uid="{00000000-0005-0000-0000-00006C3B0000}"/>
    <cellStyle name="Normal 2 7 2 2 3 3" xfId="15212" xr:uid="{00000000-0005-0000-0000-00006D3B0000}"/>
    <cellStyle name="Normal 2 7 2 2 4" xfId="15213" xr:uid="{00000000-0005-0000-0000-00006E3B0000}"/>
    <cellStyle name="Normal 2 7 2 2 4 2" xfId="15214" xr:uid="{00000000-0005-0000-0000-00006F3B0000}"/>
    <cellStyle name="Normal 2 7 2 2 5" xfId="15215" xr:uid="{00000000-0005-0000-0000-0000703B0000}"/>
    <cellStyle name="Normal 2 7 2 3" xfId="15216" xr:uid="{00000000-0005-0000-0000-0000713B0000}"/>
    <cellStyle name="Normal 2 7 2 3 2" xfId="15217" xr:uid="{00000000-0005-0000-0000-0000723B0000}"/>
    <cellStyle name="Normal 2 7 2 3 2 2" xfId="15218" xr:uid="{00000000-0005-0000-0000-0000733B0000}"/>
    <cellStyle name="Normal 2 7 2 3 2 2 2" xfId="15219" xr:uid="{00000000-0005-0000-0000-0000743B0000}"/>
    <cellStyle name="Normal 2 7 2 3 2 3" xfId="15220" xr:uid="{00000000-0005-0000-0000-0000753B0000}"/>
    <cellStyle name="Normal 2 7 2 3 3" xfId="15221" xr:uid="{00000000-0005-0000-0000-0000763B0000}"/>
    <cellStyle name="Normal 2 7 2 3 3 2" xfId="15222" xr:uid="{00000000-0005-0000-0000-0000773B0000}"/>
    <cellStyle name="Normal 2 7 2 3 4" xfId="15223" xr:uid="{00000000-0005-0000-0000-0000783B0000}"/>
    <cellStyle name="Normal 2 7 2 4" xfId="15224" xr:uid="{00000000-0005-0000-0000-0000793B0000}"/>
    <cellStyle name="Normal 2 7 2 4 2" xfId="15225" xr:uid="{00000000-0005-0000-0000-00007A3B0000}"/>
    <cellStyle name="Normal 2 7 2 4 2 2" xfId="15226" xr:uid="{00000000-0005-0000-0000-00007B3B0000}"/>
    <cellStyle name="Normal 2 7 2 4 3" xfId="15227" xr:uid="{00000000-0005-0000-0000-00007C3B0000}"/>
    <cellStyle name="Normal 2 7 2 5" xfId="15228" xr:uid="{00000000-0005-0000-0000-00007D3B0000}"/>
    <cellStyle name="Normal 2 7 2 5 2" xfId="15229" xr:uid="{00000000-0005-0000-0000-00007E3B0000}"/>
    <cellStyle name="Normal 2 7 2 6" xfId="15230" xr:uid="{00000000-0005-0000-0000-00007F3B0000}"/>
    <cellStyle name="Normal 2 7 3" xfId="15231" xr:uid="{00000000-0005-0000-0000-0000803B0000}"/>
    <cellStyle name="Normal 2 7 3 2" xfId="15232" xr:uid="{00000000-0005-0000-0000-0000813B0000}"/>
    <cellStyle name="Normal 2 7 3 2 2" xfId="15233" xr:uid="{00000000-0005-0000-0000-0000823B0000}"/>
    <cellStyle name="Normal 2 7 3 2 2 2" xfId="15234" xr:uid="{00000000-0005-0000-0000-0000833B0000}"/>
    <cellStyle name="Normal 2 7 3 2 2 2 2" xfId="15235" xr:uid="{00000000-0005-0000-0000-0000843B0000}"/>
    <cellStyle name="Normal 2 7 3 2 2 3" xfId="15236" xr:uid="{00000000-0005-0000-0000-0000853B0000}"/>
    <cellStyle name="Normal 2 7 3 2 3" xfId="15237" xr:uid="{00000000-0005-0000-0000-0000863B0000}"/>
    <cellStyle name="Normal 2 7 3 2 3 2" xfId="15238" xr:uid="{00000000-0005-0000-0000-0000873B0000}"/>
    <cellStyle name="Normal 2 7 3 2 4" xfId="15239" xr:uid="{00000000-0005-0000-0000-0000883B0000}"/>
    <cellStyle name="Normal 2 7 3 3" xfId="15240" xr:uid="{00000000-0005-0000-0000-0000893B0000}"/>
    <cellStyle name="Normal 2 7 3 3 2" xfId="15241" xr:uid="{00000000-0005-0000-0000-00008A3B0000}"/>
    <cellStyle name="Normal 2 7 3 3 2 2" xfId="15242" xr:uid="{00000000-0005-0000-0000-00008B3B0000}"/>
    <cellStyle name="Normal 2 7 3 3 3" xfId="15243" xr:uid="{00000000-0005-0000-0000-00008C3B0000}"/>
    <cellStyle name="Normal 2 7 3 4" xfId="15244" xr:uid="{00000000-0005-0000-0000-00008D3B0000}"/>
    <cellStyle name="Normal 2 7 3 4 2" xfId="15245" xr:uid="{00000000-0005-0000-0000-00008E3B0000}"/>
    <cellStyle name="Normal 2 7 3 5" xfId="15246" xr:uid="{00000000-0005-0000-0000-00008F3B0000}"/>
    <cellStyle name="Normal 2 7 4" xfId="15247" xr:uid="{00000000-0005-0000-0000-0000903B0000}"/>
    <cellStyle name="Normal 2 7 4 2" xfId="15248" xr:uid="{00000000-0005-0000-0000-0000913B0000}"/>
    <cellStyle name="Normal 2 7 4 2 2" xfId="15249" xr:uid="{00000000-0005-0000-0000-0000923B0000}"/>
    <cellStyle name="Normal 2 7 4 2 2 2" xfId="15250" xr:uid="{00000000-0005-0000-0000-0000933B0000}"/>
    <cellStyle name="Normal 2 7 4 2 3" xfId="15251" xr:uid="{00000000-0005-0000-0000-0000943B0000}"/>
    <cellStyle name="Normal 2 7 4 3" xfId="15252" xr:uid="{00000000-0005-0000-0000-0000953B0000}"/>
    <cellStyle name="Normal 2 7 4 3 2" xfId="15253" xr:uid="{00000000-0005-0000-0000-0000963B0000}"/>
    <cellStyle name="Normal 2 7 4 4" xfId="15254" xr:uid="{00000000-0005-0000-0000-0000973B0000}"/>
    <cellStyle name="Normal 2 7 5" xfId="15255" xr:uid="{00000000-0005-0000-0000-0000983B0000}"/>
    <cellStyle name="Normal 2 7 5 2" xfId="15256" xr:uid="{00000000-0005-0000-0000-0000993B0000}"/>
    <cellStyle name="Normal 2 7 5 2 2" xfId="15257" xr:uid="{00000000-0005-0000-0000-00009A3B0000}"/>
    <cellStyle name="Normal 2 7 5 3" xfId="15258" xr:uid="{00000000-0005-0000-0000-00009B3B0000}"/>
    <cellStyle name="Normal 2 7 6" xfId="15259" xr:uid="{00000000-0005-0000-0000-00009C3B0000}"/>
    <cellStyle name="Normal 2 7 6 2" xfId="15260" xr:uid="{00000000-0005-0000-0000-00009D3B0000}"/>
    <cellStyle name="Normal 2 7 7" xfId="15261" xr:uid="{00000000-0005-0000-0000-00009E3B0000}"/>
    <cellStyle name="Normal 2 8" xfId="15262" xr:uid="{00000000-0005-0000-0000-00009F3B0000}"/>
    <cellStyle name="Normal 2 8 2" xfId="15263" xr:uid="{00000000-0005-0000-0000-0000A03B0000}"/>
    <cellStyle name="Normal 2 8 2 2" xfId="15264" xr:uid="{00000000-0005-0000-0000-0000A13B0000}"/>
    <cellStyle name="Normal 2 8 2 2 2" xfId="15265" xr:uid="{00000000-0005-0000-0000-0000A23B0000}"/>
    <cellStyle name="Normal 2 8 2 2 2 2" xfId="15266" xr:uid="{00000000-0005-0000-0000-0000A33B0000}"/>
    <cellStyle name="Normal 2 8 2 2 2 2 2" xfId="15267" xr:uid="{00000000-0005-0000-0000-0000A43B0000}"/>
    <cellStyle name="Normal 2 8 2 2 2 3" xfId="15268" xr:uid="{00000000-0005-0000-0000-0000A53B0000}"/>
    <cellStyle name="Normal 2 8 2 2 3" xfId="15269" xr:uid="{00000000-0005-0000-0000-0000A63B0000}"/>
    <cellStyle name="Normal 2 8 2 2 3 2" xfId="15270" xr:uid="{00000000-0005-0000-0000-0000A73B0000}"/>
    <cellStyle name="Normal 2 8 2 2 4" xfId="15271" xr:uid="{00000000-0005-0000-0000-0000A83B0000}"/>
    <cellStyle name="Normal 2 8 2 3" xfId="15272" xr:uid="{00000000-0005-0000-0000-0000A93B0000}"/>
    <cellStyle name="Normal 2 8 2 3 2" xfId="15273" xr:uid="{00000000-0005-0000-0000-0000AA3B0000}"/>
    <cellStyle name="Normal 2 8 2 3 2 2" xfId="15274" xr:uid="{00000000-0005-0000-0000-0000AB3B0000}"/>
    <cellStyle name="Normal 2 8 2 3 3" xfId="15275" xr:uid="{00000000-0005-0000-0000-0000AC3B0000}"/>
    <cellStyle name="Normal 2 8 2 4" xfId="15276" xr:uid="{00000000-0005-0000-0000-0000AD3B0000}"/>
    <cellStyle name="Normal 2 8 2 4 2" xfId="15277" xr:uid="{00000000-0005-0000-0000-0000AE3B0000}"/>
    <cellStyle name="Normal 2 8 2 5" xfId="15278" xr:uid="{00000000-0005-0000-0000-0000AF3B0000}"/>
    <cellStyle name="Normal 2 8 3" xfId="15279" xr:uid="{00000000-0005-0000-0000-0000B03B0000}"/>
    <cellStyle name="Normal 2 8 3 2" xfId="15280" xr:uid="{00000000-0005-0000-0000-0000B13B0000}"/>
    <cellStyle name="Normal 2 8 3 2 2" xfId="15281" xr:uid="{00000000-0005-0000-0000-0000B23B0000}"/>
    <cellStyle name="Normal 2 8 3 2 2 2" xfId="15282" xr:uid="{00000000-0005-0000-0000-0000B33B0000}"/>
    <cellStyle name="Normal 2 8 3 2 3" xfId="15283" xr:uid="{00000000-0005-0000-0000-0000B43B0000}"/>
    <cellStyle name="Normal 2 8 3 3" xfId="15284" xr:uid="{00000000-0005-0000-0000-0000B53B0000}"/>
    <cellStyle name="Normal 2 8 3 3 2" xfId="15285" xr:uid="{00000000-0005-0000-0000-0000B63B0000}"/>
    <cellStyle name="Normal 2 8 3 4" xfId="15286" xr:uid="{00000000-0005-0000-0000-0000B73B0000}"/>
    <cellStyle name="Normal 2 8 4" xfId="15287" xr:uid="{00000000-0005-0000-0000-0000B83B0000}"/>
    <cellStyle name="Normal 2 8 4 2" xfId="15288" xr:uid="{00000000-0005-0000-0000-0000B93B0000}"/>
    <cellStyle name="Normal 2 8 4 2 2" xfId="15289" xr:uid="{00000000-0005-0000-0000-0000BA3B0000}"/>
    <cellStyle name="Normal 2 8 4 3" xfId="15290" xr:uid="{00000000-0005-0000-0000-0000BB3B0000}"/>
    <cellStyle name="Normal 2 8 5" xfId="15291" xr:uid="{00000000-0005-0000-0000-0000BC3B0000}"/>
    <cellStyle name="Normal 2 8 5 2" xfId="15292" xr:uid="{00000000-0005-0000-0000-0000BD3B0000}"/>
    <cellStyle name="Normal 2 8 6" xfId="15293" xr:uid="{00000000-0005-0000-0000-0000BE3B0000}"/>
    <cellStyle name="Normal 2 9" xfId="15294" xr:uid="{00000000-0005-0000-0000-0000BF3B0000}"/>
    <cellStyle name="Normal 2 9 2" xfId="15295" xr:uid="{00000000-0005-0000-0000-0000C03B0000}"/>
    <cellStyle name="Normal 2 9 2 2" xfId="15296" xr:uid="{00000000-0005-0000-0000-0000C13B0000}"/>
    <cellStyle name="Normal 2 9 2 2 2" xfId="15297" xr:uid="{00000000-0005-0000-0000-0000C23B0000}"/>
    <cellStyle name="Normal 2 9 2 2 2 2" xfId="15298" xr:uid="{00000000-0005-0000-0000-0000C33B0000}"/>
    <cellStyle name="Normal 2 9 2 2 3" xfId="15299" xr:uid="{00000000-0005-0000-0000-0000C43B0000}"/>
    <cellStyle name="Normal 2 9 2 3" xfId="15300" xr:uid="{00000000-0005-0000-0000-0000C53B0000}"/>
    <cellStyle name="Normal 2 9 2 3 2" xfId="15301" xr:uid="{00000000-0005-0000-0000-0000C63B0000}"/>
    <cellStyle name="Normal 2 9 2 4" xfId="15302" xr:uid="{00000000-0005-0000-0000-0000C73B0000}"/>
    <cellStyle name="Normal 2 9 3" xfId="15303" xr:uid="{00000000-0005-0000-0000-0000C83B0000}"/>
    <cellStyle name="Normal 2 9 3 2" xfId="15304" xr:uid="{00000000-0005-0000-0000-0000C93B0000}"/>
    <cellStyle name="Normal 2 9 3 2 2" xfId="15305" xr:uid="{00000000-0005-0000-0000-0000CA3B0000}"/>
    <cellStyle name="Normal 2 9 3 3" xfId="15306" xr:uid="{00000000-0005-0000-0000-0000CB3B0000}"/>
    <cellStyle name="Normal 2 9 4" xfId="15307" xr:uid="{00000000-0005-0000-0000-0000CC3B0000}"/>
    <cellStyle name="Normal 2 9 4 2" xfId="15308" xr:uid="{00000000-0005-0000-0000-0000CD3B0000}"/>
    <cellStyle name="Normal 2 9 5" xfId="15309" xr:uid="{00000000-0005-0000-0000-0000CE3B0000}"/>
    <cellStyle name="Normal 20" xfId="15310" xr:uid="{00000000-0005-0000-0000-0000CF3B0000}"/>
    <cellStyle name="Normal 21" xfId="15311" xr:uid="{00000000-0005-0000-0000-0000D03B0000}"/>
    <cellStyle name="Normal 21 2" xfId="15312" xr:uid="{00000000-0005-0000-0000-0000D13B0000}"/>
    <cellStyle name="Normal 21 2 2" xfId="15313" xr:uid="{00000000-0005-0000-0000-0000D23B0000}"/>
    <cellStyle name="Normal 21 2 2 2" xfId="15314" xr:uid="{00000000-0005-0000-0000-0000D33B0000}"/>
    <cellStyle name="Normal 21 2 2 2 2" xfId="15315" xr:uid="{00000000-0005-0000-0000-0000D43B0000}"/>
    <cellStyle name="Normal 21 2 2 2 2 2" xfId="15316" xr:uid="{00000000-0005-0000-0000-0000D53B0000}"/>
    <cellStyle name="Normal 21 2 2 2 2 2 2" xfId="15317" xr:uid="{00000000-0005-0000-0000-0000D63B0000}"/>
    <cellStyle name="Normal 21 2 2 2 2 2 2 2" xfId="15318" xr:uid="{00000000-0005-0000-0000-0000D73B0000}"/>
    <cellStyle name="Normal 21 2 2 2 2 2 2 2 2" xfId="15319" xr:uid="{00000000-0005-0000-0000-0000D83B0000}"/>
    <cellStyle name="Normal 21 2 2 2 2 2 2 3" xfId="15320" xr:uid="{00000000-0005-0000-0000-0000D93B0000}"/>
    <cellStyle name="Normal 21 2 2 2 2 2 3" xfId="15321" xr:uid="{00000000-0005-0000-0000-0000DA3B0000}"/>
    <cellStyle name="Normal 21 2 2 2 2 2 3 2" xfId="15322" xr:uid="{00000000-0005-0000-0000-0000DB3B0000}"/>
    <cellStyle name="Normal 21 2 2 2 2 2 4" xfId="15323" xr:uid="{00000000-0005-0000-0000-0000DC3B0000}"/>
    <cellStyle name="Normal 21 2 2 2 2 3" xfId="15324" xr:uid="{00000000-0005-0000-0000-0000DD3B0000}"/>
    <cellStyle name="Normal 21 2 2 2 2 3 2" xfId="15325" xr:uid="{00000000-0005-0000-0000-0000DE3B0000}"/>
    <cellStyle name="Normal 21 2 2 2 2 3 2 2" xfId="15326" xr:uid="{00000000-0005-0000-0000-0000DF3B0000}"/>
    <cellStyle name="Normal 21 2 2 2 2 3 3" xfId="15327" xr:uid="{00000000-0005-0000-0000-0000E03B0000}"/>
    <cellStyle name="Normal 21 2 2 2 2 4" xfId="15328" xr:uid="{00000000-0005-0000-0000-0000E13B0000}"/>
    <cellStyle name="Normal 21 2 2 2 2 4 2" xfId="15329" xr:uid="{00000000-0005-0000-0000-0000E23B0000}"/>
    <cellStyle name="Normal 21 2 2 2 2 5" xfId="15330" xr:uid="{00000000-0005-0000-0000-0000E33B0000}"/>
    <cellStyle name="Normal 21 2 2 2 3" xfId="15331" xr:uid="{00000000-0005-0000-0000-0000E43B0000}"/>
    <cellStyle name="Normal 21 2 2 2 3 2" xfId="15332" xr:uid="{00000000-0005-0000-0000-0000E53B0000}"/>
    <cellStyle name="Normal 21 2 2 2 3 2 2" xfId="15333" xr:uid="{00000000-0005-0000-0000-0000E63B0000}"/>
    <cellStyle name="Normal 21 2 2 2 3 2 2 2" xfId="15334" xr:uid="{00000000-0005-0000-0000-0000E73B0000}"/>
    <cellStyle name="Normal 21 2 2 2 3 2 3" xfId="15335" xr:uid="{00000000-0005-0000-0000-0000E83B0000}"/>
    <cellStyle name="Normal 21 2 2 2 3 3" xfId="15336" xr:uid="{00000000-0005-0000-0000-0000E93B0000}"/>
    <cellStyle name="Normal 21 2 2 2 3 3 2" xfId="15337" xr:uid="{00000000-0005-0000-0000-0000EA3B0000}"/>
    <cellStyle name="Normal 21 2 2 2 3 4" xfId="15338" xr:uid="{00000000-0005-0000-0000-0000EB3B0000}"/>
    <cellStyle name="Normal 21 2 2 2 4" xfId="15339" xr:uid="{00000000-0005-0000-0000-0000EC3B0000}"/>
    <cellStyle name="Normal 21 2 2 2 4 2" xfId="15340" xr:uid="{00000000-0005-0000-0000-0000ED3B0000}"/>
    <cellStyle name="Normal 21 2 2 2 4 2 2" xfId="15341" xr:uid="{00000000-0005-0000-0000-0000EE3B0000}"/>
    <cellStyle name="Normal 21 2 2 2 4 3" xfId="15342" xr:uid="{00000000-0005-0000-0000-0000EF3B0000}"/>
    <cellStyle name="Normal 21 2 2 2 5" xfId="15343" xr:uid="{00000000-0005-0000-0000-0000F03B0000}"/>
    <cellStyle name="Normal 21 2 2 2 5 2" xfId="15344" xr:uid="{00000000-0005-0000-0000-0000F13B0000}"/>
    <cellStyle name="Normal 21 2 2 2 6" xfId="15345" xr:uid="{00000000-0005-0000-0000-0000F23B0000}"/>
    <cellStyle name="Normal 21 2 2 3" xfId="15346" xr:uid="{00000000-0005-0000-0000-0000F33B0000}"/>
    <cellStyle name="Normal 21 2 2 3 2" xfId="15347" xr:uid="{00000000-0005-0000-0000-0000F43B0000}"/>
    <cellStyle name="Normal 21 2 2 3 2 2" xfId="15348" xr:uid="{00000000-0005-0000-0000-0000F53B0000}"/>
    <cellStyle name="Normal 21 2 2 3 2 2 2" xfId="15349" xr:uid="{00000000-0005-0000-0000-0000F63B0000}"/>
    <cellStyle name="Normal 21 2 2 3 2 2 2 2" xfId="15350" xr:uid="{00000000-0005-0000-0000-0000F73B0000}"/>
    <cellStyle name="Normal 21 2 2 3 2 2 3" xfId="15351" xr:uid="{00000000-0005-0000-0000-0000F83B0000}"/>
    <cellStyle name="Normal 21 2 2 3 2 3" xfId="15352" xr:uid="{00000000-0005-0000-0000-0000F93B0000}"/>
    <cellStyle name="Normal 21 2 2 3 2 3 2" xfId="15353" xr:uid="{00000000-0005-0000-0000-0000FA3B0000}"/>
    <cellStyle name="Normal 21 2 2 3 2 4" xfId="15354" xr:uid="{00000000-0005-0000-0000-0000FB3B0000}"/>
    <cellStyle name="Normal 21 2 2 3 3" xfId="15355" xr:uid="{00000000-0005-0000-0000-0000FC3B0000}"/>
    <cellStyle name="Normal 21 2 2 3 3 2" xfId="15356" xr:uid="{00000000-0005-0000-0000-0000FD3B0000}"/>
    <cellStyle name="Normal 21 2 2 3 3 2 2" xfId="15357" xr:uid="{00000000-0005-0000-0000-0000FE3B0000}"/>
    <cellStyle name="Normal 21 2 2 3 3 3" xfId="15358" xr:uid="{00000000-0005-0000-0000-0000FF3B0000}"/>
    <cellStyle name="Normal 21 2 2 3 4" xfId="15359" xr:uid="{00000000-0005-0000-0000-0000003C0000}"/>
    <cellStyle name="Normal 21 2 2 3 4 2" xfId="15360" xr:uid="{00000000-0005-0000-0000-0000013C0000}"/>
    <cellStyle name="Normal 21 2 2 3 5" xfId="15361" xr:uid="{00000000-0005-0000-0000-0000023C0000}"/>
    <cellStyle name="Normal 21 2 2 4" xfId="15362" xr:uid="{00000000-0005-0000-0000-0000033C0000}"/>
    <cellStyle name="Normal 21 2 2 4 2" xfId="15363" xr:uid="{00000000-0005-0000-0000-0000043C0000}"/>
    <cellStyle name="Normal 21 2 2 4 2 2" xfId="15364" xr:uid="{00000000-0005-0000-0000-0000053C0000}"/>
    <cellStyle name="Normal 21 2 2 4 2 2 2" xfId="15365" xr:uid="{00000000-0005-0000-0000-0000063C0000}"/>
    <cellStyle name="Normal 21 2 2 4 2 3" xfId="15366" xr:uid="{00000000-0005-0000-0000-0000073C0000}"/>
    <cellStyle name="Normal 21 2 2 4 3" xfId="15367" xr:uid="{00000000-0005-0000-0000-0000083C0000}"/>
    <cellStyle name="Normal 21 2 2 4 3 2" xfId="15368" xr:uid="{00000000-0005-0000-0000-0000093C0000}"/>
    <cellStyle name="Normal 21 2 2 4 4" xfId="15369" xr:uid="{00000000-0005-0000-0000-00000A3C0000}"/>
    <cellStyle name="Normal 21 2 2 5" xfId="15370" xr:uid="{00000000-0005-0000-0000-00000B3C0000}"/>
    <cellStyle name="Normal 21 2 2 5 2" xfId="15371" xr:uid="{00000000-0005-0000-0000-00000C3C0000}"/>
    <cellStyle name="Normal 21 2 2 5 2 2" xfId="15372" xr:uid="{00000000-0005-0000-0000-00000D3C0000}"/>
    <cellStyle name="Normal 21 2 2 5 3" xfId="15373" xr:uid="{00000000-0005-0000-0000-00000E3C0000}"/>
    <cellStyle name="Normal 21 2 2 6" xfId="15374" xr:uid="{00000000-0005-0000-0000-00000F3C0000}"/>
    <cellStyle name="Normal 21 2 2 6 2" xfId="15375" xr:uid="{00000000-0005-0000-0000-0000103C0000}"/>
    <cellStyle name="Normal 21 2 2 7" xfId="15376" xr:uid="{00000000-0005-0000-0000-0000113C0000}"/>
    <cellStyle name="Normal 21 2 3" xfId="15377" xr:uid="{00000000-0005-0000-0000-0000123C0000}"/>
    <cellStyle name="Normal 21 2 3 2" xfId="15378" xr:uid="{00000000-0005-0000-0000-0000133C0000}"/>
    <cellStyle name="Normal 21 2 3 2 2" xfId="15379" xr:uid="{00000000-0005-0000-0000-0000143C0000}"/>
    <cellStyle name="Normal 21 2 3 2 2 2" xfId="15380" xr:uid="{00000000-0005-0000-0000-0000153C0000}"/>
    <cellStyle name="Normal 21 2 3 2 2 2 2" xfId="15381" xr:uid="{00000000-0005-0000-0000-0000163C0000}"/>
    <cellStyle name="Normal 21 2 3 2 2 2 2 2" xfId="15382" xr:uid="{00000000-0005-0000-0000-0000173C0000}"/>
    <cellStyle name="Normal 21 2 3 2 2 2 3" xfId="15383" xr:uid="{00000000-0005-0000-0000-0000183C0000}"/>
    <cellStyle name="Normal 21 2 3 2 2 3" xfId="15384" xr:uid="{00000000-0005-0000-0000-0000193C0000}"/>
    <cellStyle name="Normal 21 2 3 2 2 3 2" xfId="15385" xr:uid="{00000000-0005-0000-0000-00001A3C0000}"/>
    <cellStyle name="Normal 21 2 3 2 2 4" xfId="15386" xr:uid="{00000000-0005-0000-0000-00001B3C0000}"/>
    <cellStyle name="Normal 21 2 3 2 3" xfId="15387" xr:uid="{00000000-0005-0000-0000-00001C3C0000}"/>
    <cellStyle name="Normal 21 2 3 2 3 2" xfId="15388" xr:uid="{00000000-0005-0000-0000-00001D3C0000}"/>
    <cellStyle name="Normal 21 2 3 2 3 2 2" xfId="15389" xr:uid="{00000000-0005-0000-0000-00001E3C0000}"/>
    <cellStyle name="Normal 21 2 3 2 3 3" xfId="15390" xr:uid="{00000000-0005-0000-0000-00001F3C0000}"/>
    <cellStyle name="Normal 21 2 3 2 4" xfId="15391" xr:uid="{00000000-0005-0000-0000-0000203C0000}"/>
    <cellStyle name="Normal 21 2 3 2 4 2" xfId="15392" xr:uid="{00000000-0005-0000-0000-0000213C0000}"/>
    <cellStyle name="Normal 21 2 3 2 5" xfId="15393" xr:uid="{00000000-0005-0000-0000-0000223C0000}"/>
    <cellStyle name="Normal 21 2 3 3" xfId="15394" xr:uid="{00000000-0005-0000-0000-0000233C0000}"/>
    <cellStyle name="Normal 21 2 3 3 2" xfId="15395" xr:uid="{00000000-0005-0000-0000-0000243C0000}"/>
    <cellStyle name="Normal 21 2 3 3 2 2" xfId="15396" xr:uid="{00000000-0005-0000-0000-0000253C0000}"/>
    <cellStyle name="Normal 21 2 3 3 2 2 2" xfId="15397" xr:uid="{00000000-0005-0000-0000-0000263C0000}"/>
    <cellStyle name="Normal 21 2 3 3 2 3" xfId="15398" xr:uid="{00000000-0005-0000-0000-0000273C0000}"/>
    <cellStyle name="Normal 21 2 3 3 3" xfId="15399" xr:uid="{00000000-0005-0000-0000-0000283C0000}"/>
    <cellStyle name="Normal 21 2 3 3 3 2" xfId="15400" xr:uid="{00000000-0005-0000-0000-0000293C0000}"/>
    <cellStyle name="Normal 21 2 3 3 4" xfId="15401" xr:uid="{00000000-0005-0000-0000-00002A3C0000}"/>
    <cellStyle name="Normal 21 2 3 4" xfId="15402" xr:uid="{00000000-0005-0000-0000-00002B3C0000}"/>
    <cellStyle name="Normal 21 2 3 4 2" xfId="15403" xr:uid="{00000000-0005-0000-0000-00002C3C0000}"/>
    <cellStyle name="Normal 21 2 3 4 2 2" xfId="15404" xr:uid="{00000000-0005-0000-0000-00002D3C0000}"/>
    <cellStyle name="Normal 21 2 3 4 3" xfId="15405" xr:uid="{00000000-0005-0000-0000-00002E3C0000}"/>
    <cellStyle name="Normal 21 2 3 5" xfId="15406" xr:uid="{00000000-0005-0000-0000-00002F3C0000}"/>
    <cellStyle name="Normal 21 2 3 5 2" xfId="15407" xr:uid="{00000000-0005-0000-0000-0000303C0000}"/>
    <cellStyle name="Normal 21 2 3 6" xfId="15408" xr:uid="{00000000-0005-0000-0000-0000313C0000}"/>
    <cellStyle name="Normal 21 2 4" xfId="15409" xr:uid="{00000000-0005-0000-0000-0000323C0000}"/>
    <cellStyle name="Normal 21 2 4 2" xfId="15410" xr:uid="{00000000-0005-0000-0000-0000333C0000}"/>
    <cellStyle name="Normal 21 2 4 2 2" xfId="15411" xr:uid="{00000000-0005-0000-0000-0000343C0000}"/>
    <cellStyle name="Normal 21 2 4 2 2 2" xfId="15412" xr:uid="{00000000-0005-0000-0000-0000353C0000}"/>
    <cellStyle name="Normal 21 2 4 2 2 2 2" xfId="15413" xr:uid="{00000000-0005-0000-0000-0000363C0000}"/>
    <cellStyle name="Normal 21 2 4 2 2 3" xfId="15414" xr:uid="{00000000-0005-0000-0000-0000373C0000}"/>
    <cellStyle name="Normal 21 2 4 2 3" xfId="15415" xr:uid="{00000000-0005-0000-0000-0000383C0000}"/>
    <cellStyle name="Normal 21 2 4 2 3 2" xfId="15416" xr:uid="{00000000-0005-0000-0000-0000393C0000}"/>
    <cellStyle name="Normal 21 2 4 2 4" xfId="15417" xr:uid="{00000000-0005-0000-0000-00003A3C0000}"/>
    <cellStyle name="Normal 21 2 4 3" xfId="15418" xr:uid="{00000000-0005-0000-0000-00003B3C0000}"/>
    <cellStyle name="Normal 21 2 4 3 2" xfId="15419" xr:uid="{00000000-0005-0000-0000-00003C3C0000}"/>
    <cellStyle name="Normal 21 2 4 3 2 2" xfId="15420" xr:uid="{00000000-0005-0000-0000-00003D3C0000}"/>
    <cellStyle name="Normal 21 2 4 3 3" xfId="15421" xr:uid="{00000000-0005-0000-0000-00003E3C0000}"/>
    <cellStyle name="Normal 21 2 4 4" xfId="15422" xr:uid="{00000000-0005-0000-0000-00003F3C0000}"/>
    <cellStyle name="Normal 21 2 4 4 2" xfId="15423" xr:uid="{00000000-0005-0000-0000-0000403C0000}"/>
    <cellStyle name="Normal 21 2 4 5" xfId="15424" xr:uid="{00000000-0005-0000-0000-0000413C0000}"/>
    <cellStyle name="Normal 21 2 5" xfId="15425" xr:uid="{00000000-0005-0000-0000-0000423C0000}"/>
    <cellStyle name="Normal 21 2 5 2" xfId="15426" xr:uid="{00000000-0005-0000-0000-0000433C0000}"/>
    <cellStyle name="Normal 21 2 5 2 2" xfId="15427" xr:uid="{00000000-0005-0000-0000-0000443C0000}"/>
    <cellStyle name="Normal 21 2 5 2 2 2" xfId="15428" xr:uid="{00000000-0005-0000-0000-0000453C0000}"/>
    <cellStyle name="Normal 21 2 5 2 3" xfId="15429" xr:uid="{00000000-0005-0000-0000-0000463C0000}"/>
    <cellStyle name="Normal 21 2 5 3" xfId="15430" xr:uid="{00000000-0005-0000-0000-0000473C0000}"/>
    <cellStyle name="Normal 21 2 5 3 2" xfId="15431" xr:uid="{00000000-0005-0000-0000-0000483C0000}"/>
    <cellStyle name="Normal 21 2 5 4" xfId="15432" xr:uid="{00000000-0005-0000-0000-0000493C0000}"/>
    <cellStyle name="Normal 21 2 6" xfId="15433" xr:uid="{00000000-0005-0000-0000-00004A3C0000}"/>
    <cellStyle name="Normal 21 2 6 2" xfId="15434" xr:uid="{00000000-0005-0000-0000-00004B3C0000}"/>
    <cellStyle name="Normal 21 2 6 2 2" xfId="15435" xr:uid="{00000000-0005-0000-0000-00004C3C0000}"/>
    <cellStyle name="Normal 21 2 6 3" xfId="15436" xr:uid="{00000000-0005-0000-0000-00004D3C0000}"/>
    <cellStyle name="Normal 21 2 7" xfId="15437" xr:uid="{00000000-0005-0000-0000-00004E3C0000}"/>
    <cellStyle name="Normal 21 2 7 2" xfId="15438" xr:uid="{00000000-0005-0000-0000-00004F3C0000}"/>
    <cellStyle name="Normal 21 2 8" xfId="15439" xr:uid="{00000000-0005-0000-0000-0000503C0000}"/>
    <cellStyle name="Normal 21 3" xfId="15440" xr:uid="{00000000-0005-0000-0000-0000513C0000}"/>
    <cellStyle name="Normal 21 3 2" xfId="15441" xr:uid="{00000000-0005-0000-0000-0000523C0000}"/>
    <cellStyle name="Normal 21 3 2 2" xfId="15442" xr:uid="{00000000-0005-0000-0000-0000533C0000}"/>
    <cellStyle name="Normal 21 3 2 2 2" xfId="15443" xr:uid="{00000000-0005-0000-0000-0000543C0000}"/>
    <cellStyle name="Normal 21 3 2 2 2 2" xfId="15444" xr:uid="{00000000-0005-0000-0000-0000553C0000}"/>
    <cellStyle name="Normal 21 3 2 2 2 2 2" xfId="15445" xr:uid="{00000000-0005-0000-0000-0000563C0000}"/>
    <cellStyle name="Normal 21 3 2 2 2 2 2 2" xfId="15446" xr:uid="{00000000-0005-0000-0000-0000573C0000}"/>
    <cellStyle name="Normal 21 3 2 2 2 2 3" xfId="15447" xr:uid="{00000000-0005-0000-0000-0000583C0000}"/>
    <cellStyle name="Normal 21 3 2 2 2 3" xfId="15448" xr:uid="{00000000-0005-0000-0000-0000593C0000}"/>
    <cellStyle name="Normal 21 3 2 2 2 3 2" xfId="15449" xr:uid="{00000000-0005-0000-0000-00005A3C0000}"/>
    <cellStyle name="Normal 21 3 2 2 2 4" xfId="15450" xr:uid="{00000000-0005-0000-0000-00005B3C0000}"/>
    <cellStyle name="Normal 21 3 2 2 3" xfId="15451" xr:uid="{00000000-0005-0000-0000-00005C3C0000}"/>
    <cellStyle name="Normal 21 3 2 2 3 2" xfId="15452" xr:uid="{00000000-0005-0000-0000-00005D3C0000}"/>
    <cellStyle name="Normal 21 3 2 2 3 2 2" xfId="15453" xr:uid="{00000000-0005-0000-0000-00005E3C0000}"/>
    <cellStyle name="Normal 21 3 2 2 3 3" xfId="15454" xr:uid="{00000000-0005-0000-0000-00005F3C0000}"/>
    <cellStyle name="Normal 21 3 2 2 4" xfId="15455" xr:uid="{00000000-0005-0000-0000-0000603C0000}"/>
    <cellStyle name="Normal 21 3 2 2 4 2" xfId="15456" xr:uid="{00000000-0005-0000-0000-0000613C0000}"/>
    <cellStyle name="Normal 21 3 2 2 5" xfId="15457" xr:uid="{00000000-0005-0000-0000-0000623C0000}"/>
    <cellStyle name="Normal 21 3 2 3" xfId="15458" xr:uid="{00000000-0005-0000-0000-0000633C0000}"/>
    <cellStyle name="Normal 21 3 2 3 2" xfId="15459" xr:uid="{00000000-0005-0000-0000-0000643C0000}"/>
    <cellStyle name="Normal 21 3 2 3 2 2" xfId="15460" xr:uid="{00000000-0005-0000-0000-0000653C0000}"/>
    <cellStyle name="Normal 21 3 2 3 2 2 2" xfId="15461" xr:uid="{00000000-0005-0000-0000-0000663C0000}"/>
    <cellStyle name="Normal 21 3 2 3 2 3" xfId="15462" xr:uid="{00000000-0005-0000-0000-0000673C0000}"/>
    <cellStyle name="Normal 21 3 2 3 3" xfId="15463" xr:uid="{00000000-0005-0000-0000-0000683C0000}"/>
    <cellStyle name="Normal 21 3 2 3 3 2" xfId="15464" xr:uid="{00000000-0005-0000-0000-0000693C0000}"/>
    <cellStyle name="Normal 21 3 2 3 4" xfId="15465" xr:uid="{00000000-0005-0000-0000-00006A3C0000}"/>
    <cellStyle name="Normal 21 3 2 4" xfId="15466" xr:uid="{00000000-0005-0000-0000-00006B3C0000}"/>
    <cellStyle name="Normal 21 3 2 4 2" xfId="15467" xr:uid="{00000000-0005-0000-0000-00006C3C0000}"/>
    <cellStyle name="Normal 21 3 2 4 2 2" xfId="15468" xr:uid="{00000000-0005-0000-0000-00006D3C0000}"/>
    <cellStyle name="Normal 21 3 2 4 3" xfId="15469" xr:uid="{00000000-0005-0000-0000-00006E3C0000}"/>
    <cellStyle name="Normal 21 3 2 5" xfId="15470" xr:uid="{00000000-0005-0000-0000-00006F3C0000}"/>
    <cellStyle name="Normal 21 3 2 5 2" xfId="15471" xr:uid="{00000000-0005-0000-0000-0000703C0000}"/>
    <cellStyle name="Normal 21 3 2 6" xfId="15472" xr:uid="{00000000-0005-0000-0000-0000713C0000}"/>
    <cellStyle name="Normal 21 3 3" xfId="15473" xr:uid="{00000000-0005-0000-0000-0000723C0000}"/>
    <cellStyle name="Normal 21 3 3 2" xfId="15474" xr:uid="{00000000-0005-0000-0000-0000733C0000}"/>
    <cellStyle name="Normal 21 3 3 2 2" xfId="15475" xr:uid="{00000000-0005-0000-0000-0000743C0000}"/>
    <cellStyle name="Normal 21 3 3 2 2 2" xfId="15476" xr:uid="{00000000-0005-0000-0000-0000753C0000}"/>
    <cellStyle name="Normal 21 3 3 2 2 2 2" xfId="15477" xr:uid="{00000000-0005-0000-0000-0000763C0000}"/>
    <cellStyle name="Normal 21 3 3 2 2 3" xfId="15478" xr:uid="{00000000-0005-0000-0000-0000773C0000}"/>
    <cellStyle name="Normal 21 3 3 2 3" xfId="15479" xr:uid="{00000000-0005-0000-0000-0000783C0000}"/>
    <cellStyle name="Normal 21 3 3 2 3 2" xfId="15480" xr:uid="{00000000-0005-0000-0000-0000793C0000}"/>
    <cellStyle name="Normal 21 3 3 2 4" xfId="15481" xr:uid="{00000000-0005-0000-0000-00007A3C0000}"/>
    <cellStyle name="Normal 21 3 3 3" xfId="15482" xr:uid="{00000000-0005-0000-0000-00007B3C0000}"/>
    <cellStyle name="Normal 21 3 3 3 2" xfId="15483" xr:uid="{00000000-0005-0000-0000-00007C3C0000}"/>
    <cellStyle name="Normal 21 3 3 3 2 2" xfId="15484" xr:uid="{00000000-0005-0000-0000-00007D3C0000}"/>
    <cellStyle name="Normal 21 3 3 3 3" xfId="15485" xr:uid="{00000000-0005-0000-0000-00007E3C0000}"/>
    <cellStyle name="Normal 21 3 3 4" xfId="15486" xr:uid="{00000000-0005-0000-0000-00007F3C0000}"/>
    <cellStyle name="Normal 21 3 3 4 2" xfId="15487" xr:uid="{00000000-0005-0000-0000-0000803C0000}"/>
    <cellStyle name="Normal 21 3 3 5" xfId="15488" xr:uid="{00000000-0005-0000-0000-0000813C0000}"/>
    <cellStyle name="Normal 21 3 4" xfId="15489" xr:uid="{00000000-0005-0000-0000-0000823C0000}"/>
    <cellStyle name="Normal 21 3 4 2" xfId="15490" xr:uid="{00000000-0005-0000-0000-0000833C0000}"/>
    <cellStyle name="Normal 21 3 4 2 2" xfId="15491" xr:uid="{00000000-0005-0000-0000-0000843C0000}"/>
    <cellStyle name="Normal 21 3 4 2 2 2" xfId="15492" xr:uid="{00000000-0005-0000-0000-0000853C0000}"/>
    <cellStyle name="Normal 21 3 4 2 3" xfId="15493" xr:uid="{00000000-0005-0000-0000-0000863C0000}"/>
    <cellStyle name="Normal 21 3 4 3" xfId="15494" xr:uid="{00000000-0005-0000-0000-0000873C0000}"/>
    <cellStyle name="Normal 21 3 4 3 2" xfId="15495" xr:uid="{00000000-0005-0000-0000-0000883C0000}"/>
    <cellStyle name="Normal 21 3 4 4" xfId="15496" xr:uid="{00000000-0005-0000-0000-0000893C0000}"/>
    <cellStyle name="Normal 21 3 5" xfId="15497" xr:uid="{00000000-0005-0000-0000-00008A3C0000}"/>
    <cellStyle name="Normal 21 3 5 2" xfId="15498" xr:uid="{00000000-0005-0000-0000-00008B3C0000}"/>
    <cellStyle name="Normal 21 3 5 2 2" xfId="15499" xr:uid="{00000000-0005-0000-0000-00008C3C0000}"/>
    <cellStyle name="Normal 21 3 5 3" xfId="15500" xr:uid="{00000000-0005-0000-0000-00008D3C0000}"/>
    <cellStyle name="Normal 21 3 6" xfId="15501" xr:uid="{00000000-0005-0000-0000-00008E3C0000}"/>
    <cellStyle name="Normal 21 3 6 2" xfId="15502" xr:uid="{00000000-0005-0000-0000-00008F3C0000}"/>
    <cellStyle name="Normal 21 3 7" xfId="15503" xr:uid="{00000000-0005-0000-0000-0000903C0000}"/>
    <cellStyle name="Normal 21 4" xfId="15504" xr:uid="{00000000-0005-0000-0000-0000913C0000}"/>
    <cellStyle name="Normal 21 4 2" xfId="15505" xr:uid="{00000000-0005-0000-0000-0000923C0000}"/>
    <cellStyle name="Normal 21 4 2 2" xfId="15506" xr:uid="{00000000-0005-0000-0000-0000933C0000}"/>
    <cellStyle name="Normal 21 4 2 2 2" xfId="15507" xr:uid="{00000000-0005-0000-0000-0000943C0000}"/>
    <cellStyle name="Normal 21 4 2 2 2 2" xfId="15508" xr:uid="{00000000-0005-0000-0000-0000953C0000}"/>
    <cellStyle name="Normal 21 4 2 2 2 2 2" xfId="15509" xr:uid="{00000000-0005-0000-0000-0000963C0000}"/>
    <cellStyle name="Normal 21 4 2 2 2 3" xfId="15510" xr:uid="{00000000-0005-0000-0000-0000973C0000}"/>
    <cellStyle name="Normal 21 4 2 2 3" xfId="15511" xr:uid="{00000000-0005-0000-0000-0000983C0000}"/>
    <cellStyle name="Normal 21 4 2 2 3 2" xfId="15512" xr:uid="{00000000-0005-0000-0000-0000993C0000}"/>
    <cellStyle name="Normal 21 4 2 2 4" xfId="15513" xr:uid="{00000000-0005-0000-0000-00009A3C0000}"/>
    <cellStyle name="Normal 21 4 2 3" xfId="15514" xr:uid="{00000000-0005-0000-0000-00009B3C0000}"/>
    <cellStyle name="Normal 21 4 2 3 2" xfId="15515" xr:uid="{00000000-0005-0000-0000-00009C3C0000}"/>
    <cellStyle name="Normal 21 4 2 3 2 2" xfId="15516" xr:uid="{00000000-0005-0000-0000-00009D3C0000}"/>
    <cellStyle name="Normal 21 4 2 3 3" xfId="15517" xr:uid="{00000000-0005-0000-0000-00009E3C0000}"/>
    <cellStyle name="Normal 21 4 2 4" xfId="15518" xr:uid="{00000000-0005-0000-0000-00009F3C0000}"/>
    <cellStyle name="Normal 21 4 2 4 2" xfId="15519" xr:uid="{00000000-0005-0000-0000-0000A03C0000}"/>
    <cellStyle name="Normal 21 4 2 5" xfId="15520" xr:uid="{00000000-0005-0000-0000-0000A13C0000}"/>
    <cellStyle name="Normal 21 4 3" xfId="15521" xr:uid="{00000000-0005-0000-0000-0000A23C0000}"/>
    <cellStyle name="Normal 21 4 3 2" xfId="15522" xr:uid="{00000000-0005-0000-0000-0000A33C0000}"/>
    <cellStyle name="Normal 21 4 3 2 2" xfId="15523" xr:uid="{00000000-0005-0000-0000-0000A43C0000}"/>
    <cellStyle name="Normal 21 4 3 2 2 2" xfId="15524" xr:uid="{00000000-0005-0000-0000-0000A53C0000}"/>
    <cellStyle name="Normal 21 4 3 2 3" xfId="15525" xr:uid="{00000000-0005-0000-0000-0000A63C0000}"/>
    <cellStyle name="Normal 21 4 3 3" xfId="15526" xr:uid="{00000000-0005-0000-0000-0000A73C0000}"/>
    <cellStyle name="Normal 21 4 3 3 2" xfId="15527" xr:uid="{00000000-0005-0000-0000-0000A83C0000}"/>
    <cellStyle name="Normal 21 4 3 4" xfId="15528" xr:uid="{00000000-0005-0000-0000-0000A93C0000}"/>
    <cellStyle name="Normal 21 4 4" xfId="15529" xr:uid="{00000000-0005-0000-0000-0000AA3C0000}"/>
    <cellStyle name="Normal 21 4 4 2" xfId="15530" xr:uid="{00000000-0005-0000-0000-0000AB3C0000}"/>
    <cellStyle name="Normal 21 4 4 2 2" xfId="15531" xr:uid="{00000000-0005-0000-0000-0000AC3C0000}"/>
    <cellStyle name="Normal 21 4 4 3" xfId="15532" xr:uid="{00000000-0005-0000-0000-0000AD3C0000}"/>
    <cellStyle name="Normal 21 4 5" xfId="15533" xr:uid="{00000000-0005-0000-0000-0000AE3C0000}"/>
    <cellStyle name="Normal 21 4 5 2" xfId="15534" xr:uid="{00000000-0005-0000-0000-0000AF3C0000}"/>
    <cellStyle name="Normal 21 4 6" xfId="15535" xr:uid="{00000000-0005-0000-0000-0000B03C0000}"/>
    <cellStyle name="Normal 21 5" xfId="15536" xr:uid="{00000000-0005-0000-0000-0000B13C0000}"/>
    <cellStyle name="Normal 21 5 2" xfId="15537" xr:uid="{00000000-0005-0000-0000-0000B23C0000}"/>
    <cellStyle name="Normal 21 5 2 2" xfId="15538" xr:uid="{00000000-0005-0000-0000-0000B33C0000}"/>
    <cellStyle name="Normal 21 5 2 2 2" xfId="15539" xr:uid="{00000000-0005-0000-0000-0000B43C0000}"/>
    <cellStyle name="Normal 21 5 2 2 2 2" xfId="15540" xr:uid="{00000000-0005-0000-0000-0000B53C0000}"/>
    <cellStyle name="Normal 21 5 2 2 3" xfId="15541" xr:uid="{00000000-0005-0000-0000-0000B63C0000}"/>
    <cellStyle name="Normal 21 5 2 3" xfId="15542" xr:uid="{00000000-0005-0000-0000-0000B73C0000}"/>
    <cellStyle name="Normal 21 5 2 3 2" xfId="15543" xr:uid="{00000000-0005-0000-0000-0000B83C0000}"/>
    <cellStyle name="Normal 21 5 2 4" xfId="15544" xr:uid="{00000000-0005-0000-0000-0000B93C0000}"/>
    <cellStyle name="Normal 21 5 3" xfId="15545" xr:uid="{00000000-0005-0000-0000-0000BA3C0000}"/>
    <cellStyle name="Normal 21 5 3 2" xfId="15546" xr:uid="{00000000-0005-0000-0000-0000BB3C0000}"/>
    <cellStyle name="Normal 21 5 3 2 2" xfId="15547" xr:uid="{00000000-0005-0000-0000-0000BC3C0000}"/>
    <cellStyle name="Normal 21 5 3 3" xfId="15548" xr:uid="{00000000-0005-0000-0000-0000BD3C0000}"/>
    <cellStyle name="Normal 21 5 4" xfId="15549" xr:uid="{00000000-0005-0000-0000-0000BE3C0000}"/>
    <cellStyle name="Normal 21 5 4 2" xfId="15550" xr:uid="{00000000-0005-0000-0000-0000BF3C0000}"/>
    <cellStyle name="Normal 21 5 5" xfId="15551" xr:uid="{00000000-0005-0000-0000-0000C03C0000}"/>
    <cellStyle name="Normal 21 6" xfId="15552" xr:uid="{00000000-0005-0000-0000-0000C13C0000}"/>
    <cellStyle name="Normal 21 6 2" xfId="15553" xr:uid="{00000000-0005-0000-0000-0000C23C0000}"/>
    <cellStyle name="Normal 21 6 2 2" xfId="15554" xr:uid="{00000000-0005-0000-0000-0000C33C0000}"/>
    <cellStyle name="Normal 21 6 2 2 2" xfId="15555" xr:uid="{00000000-0005-0000-0000-0000C43C0000}"/>
    <cellStyle name="Normal 21 6 2 3" xfId="15556" xr:uid="{00000000-0005-0000-0000-0000C53C0000}"/>
    <cellStyle name="Normal 21 6 3" xfId="15557" xr:uid="{00000000-0005-0000-0000-0000C63C0000}"/>
    <cellStyle name="Normal 21 6 3 2" xfId="15558" xr:uid="{00000000-0005-0000-0000-0000C73C0000}"/>
    <cellStyle name="Normal 21 6 4" xfId="15559" xr:uid="{00000000-0005-0000-0000-0000C83C0000}"/>
    <cellStyle name="Normal 21 7" xfId="15560" xr:uid="{00000000-0005-0000-0000-0000C93C0000}"/>
    <cellStyle name="Normal 21 7 2" xfId="15561" xr:uid="{00000000-0005-0000-0000-0000CA3C0000}"/>
    <cellStyle name="Normal 21 7 2 2" xfId="15562" xr:uid="{00000000-0005-0000-0000-0000CB3C0000}"/>
    <cellStyle name="Normal 21 7 3" xfId="15563" xr:uid="{00000000-0005-0000-0000-0000CC3C0000}"/>
    <cellStyle name="Normal 21 8" xfId="15564" xr:uid="{00000000-0005-0000-0000-0000CD3C0000}"/>
    <cellStyle name="Normal 21 8 2" xfId="15565" xr:uid="{00000000-0005-0000-0000-0000CE3C0000}"/>
    <cellStyle name="Normal 21 9" xfId="15566" xr:uid="{00000000-0005-0000-0000-0000CF3C0000}"/>
    <cellStyle name="Normal 22" xfId="15567" xr:uid="{00000000-0005-0000-0000-0000D03C0000}"/>
    <cellStyle name="Normal 22 2" xfId="15568" xr:uid="{00000000-0005-0000-0000-0000D13C0000}"/>
    <cellStyle name="Normal 23" xfId="15569" xr:uid="{00000000-0005-0000-0000-0000D23C0000}"/>
    <cellStyle name="Normal 23 2" xfId="15570" xr:uid="{00000000-0005-0000-0000-0000D33C0000}"/>
    <cellStyle name="Normal 23 2 2" xfId="15571" xr:uid="{00000000-0005-0000-0000-0000D43C0000}"/>
    <cellStyle name="Normal 23 2 2 2" xfId="15572" xr:uid="{00000000-0005-0000-0000-0000D53C0000}"/>
    <cellStyle name="Normal 23 2 2 2 2" xfId="15573" xr:uid="{00000000-0005-0000-0000-0000D63C0000}"/>
    <cellStyle name="Normal 23 2 2 2 2 2" xfId="15574" xr:uid="{00000000-0005-0000-0000-0000D73C0000}"/>
    <cellStyle name="Normal 23 2 2 2 2 2 2" xfId="15575" xr:uid="{00000000-0005-0000-0000-0000D83C0000}"/>
    <cellStyle name="Normal 23 2 2 2 2 2 2 2" xfId="15576" xr:uid="{00000000-0005-0000-0000-0000D93C0000}"/>
    <cellStyle name="Normal 23 2 2 2 2 2 3" xfId="15577" xr:uid="{00000000-0005-0000-0000-0000DA3C0000}"/>
    <cellStyle name="Normal 23 2 2 2 2 3" xfId="15578" xr:uid="{00000000-0005-0000-0000-0000DB3C0000}"/>
    <cellStyle name="Normal 23 2 2 2 2 3 2" xfId="15579" xr:uid="{00000000-0005-0000-0000-0000DC3C0000}"/>
    <cellStyle name="Normal 23 2 2 2 2 4" xfId="15580" xr:uid="{00000000-0005-0000-0000-0000DD3C0000}"/>
    <cellStyle name="Normal 23 2 2 2 3" xfId="15581" xr:uid="{00000000-0005-0000-0000-0000DE3C0000}"/>
    <cellStyle name="Normal 23 2 2 2 3 2" xfId="15582" xr:uid="{00000000-0005-0000-0000-0000DF3C0000}"/>
    <cellStyle name="Normal 23 2 2 2 3 2 2" xfId="15583" xr:uid="{00000000-0005-0000-0000-0000E03C0000}"/>
    <cellStyle name="Normal 23 2 2 2 3 3" xfId="15584" xr:uid="{00000000-0005-0000-0000-0000E13C0000}"/>
    <cellStyle name="Normal 23 2 2 2 4" xfId="15585" xr:uid="{00000000-0005-0000-0000-0000E23C0000}"/>
    <cellStyle name="Normal 23 2 2 2 4 2" xfId="15586" xr:uid="{00000000-0005-0000-0000-0000E33C0000}"/>
    <cellStyle name="Normal 23 2 2 2 5" xfId="15587" xr:uid="{00000000-0005-0000-0000-0000E43C0000}"/>
    <cellStyle name="Normal 23 2 2 3" xfId="15588" xr:uid="{00000000-0005-0000-0000-0000E53C0000}"/>
    <cellStyle name="Normal 23 2 2 3 2" xfId="15589" xr:uid="{00000000-0005-0000-0000-0000E63C0000}"/>
    <cellStyle name="Normal 23 2 2 3 2 2" xfId="15590" xr:uid="{00000000-0005-0000-0000-0000E73C0000}"/>
    <cellStyle name="Normal 23 2 2 3 2 2 2" xfId="15591" xr:uid="{00000000-0005-0000-0000-0000E83C0000}"/>
    <cellStyle name="Normal 23 2 2 3 2 3" xfId="15592" xr:uid="{00000000-0005-0000-0000-0000E93C0000}"/>
    <cellStyle name="Normal 23 2 2 3 3" xfId="15593" xr:uid="{00000000-0005-0000-0000-0000EA3C0000}"/>
    <cellStyle name="Normal 23 2 2 3 3 2" xfId="15594" xr:uid="{00000000-0005-0000-0000-0000EB3C0000}"/>
    <cellStyle name="Normal 23 2 2 3 4" xfId="15595" xr:uid="{00000000-0005-0000-0000-0000EC3C0000}"/>
    <cellStyle name="Normal 23 2 2 4" xfId="15596" xr:uid="{00000000-0005-0000-0000-0000ED3C0000}"/>
    <cellStyle name="Normal 23 2 2 4 2" xfId="15597" xr:uid="{00000000-0005-0000-0000-0000EE3C0000}"/>
    <cellStyle name="Normal 23 2 2 4 2 2" xfId="15598" xr:uid="{00000000-0005-0000-0000-0000EF3C0000}"/>
    <cellStyle name="Normal 23 2 2 4 3" xfId="15599" xr:uid="{00000000-0005-0000-0000-0000F03C0000}"/>
    <cellStyle name="Normal 23 2 2 5" xfId="15600" xr:uid="{00000000-0005-0000-0000-0000F13C0000}"/>
    <cellStyle name="Normal 23 2 2 5 2" xfId="15601" xr:uid="{00000000-0005-0000-0000-0000F23C0000}"/>
    <cellStyle name="Normal 23 2 2 6" xfId="15602" xr:uid="{00000000-0005-0000-0000-0000F33C0000}"/>
    <cellStyle name="Normal 23 2 3" xfId="15603" xr:uid="{00000000-0005-0000-0000-0000F43C0000}"/>
    <cellStyle name="Normal 23 2 3 2" xfId="15604" xr:uid="{00000000-0005-0000-0000-0000F53C0000}"/>
    <cellStyle name="Normal 23 2 3 2 2" xfId="15605" xr:uid="{00000000-0005-0000-0000-0000F63C0000}"/>
    <cellStyle name="Normal 23 2 3 2 2 2" xfId="15606" xr:uid="{00000000-0005-0000-0000-0000F73C0000}"/>
    <cellStyle name="Normal 23 2 3 2 2 2 2" xfId="15607" xr:uid="{00000000-0005-0000-0000-0000F83C0000}"/>
    <cellStyle name="Normal 23 2 3 2 2 3" xfId="15608" xr:uid="{00000000-0005-0000-0000-0000F93C0000}"/>
    <cellStyle name="Normal 23 2 3 2 3" xfId="15609" xr:uid="{00000000-0005-0000-0000-0000FA3C0000}"/>
    <cellStyle name="Normal 23 2 3 2 3 2" xfId="15610" xr:uid="{00000000-0005-0000-0000-0000FB3C0000}"/>
    <cellStyle name="Normal 23 2 3 2 4" xfId="15611" xr:uid="{00000000-0005-0000-0000-0000FC3C0000}"/>
    <cellStyle name="Normal 23 2 3 3" xfId="15612" xr:uid="{00000000-0005-0000-0000-0000FD3C0000}"/>
    <cellStyle name="Normal 23 2 3 3 2" xfId="15613" xr:uid="{00000000-0005-0000-0000-0000FE3C0000}"/>
    <cellStyle name="Normal 23 2 3 3 2 2" xfId="15614" xr:uid="{00000000-0005-0000-0000-0000FF3C0000}"/>
    <cellStyle name="Normal 23 2 3 3 3" xfId="15615" xr:uid="{00000000-0005-0000-0000-0000003D0000}"/>
    <cellStyle name="Normal 23 2 3 4" xfId="15616" xr:uid="{00000000-0005-0000-0000-0000013D0000}"/>
    <cellStyle name="Normal 23 2 3 4 2" xfId="15617" xr:uid="{00000000-0005-0000-0000-0000023D0000}"/>
    <cellStyle name="Normal 23 2 3 5" xfId="15618" xr:uid="{00000000-0005-0000-0000-0000033D0000}"/>
    <cellStyle name="Normal 23 2 4" xfId="15619" xr:uid="{00000000-0005-0000-0000-0000043D0000}"/>
    <cellStyle name="Normal 23 2 4 2" xfId="15620" xr:uid="{00000000-0005-0000-0000-0000053D0000}"/>
    <cellStyle name="Normal 23 2 4 2 2" xfId="15621" xr:uid="{00000000-0005-0000-0000-0000063D0000}"/>
    <cellStyle name="Normal 23 2 4 2 2 2" xfId="15622" xr:uid="{00000000-0005-0000-0000-0000073D0000}"/>
    <cellStyle name="Normal 23 2 4 2 3" xfId="15623" xr:uid="{00000000-0005-0000-0000-0000083D0000}"/>
    <cellStyle name="Normal 23 2 4 3" xfId="15624" xr:uid="{00000000-0005-0000-0000-0000093D0000}"/>
    <cellStyle name="Normal 23 2 4 3 2" xfId="15625" xr:uid="{00000000-0005-0000-0000-00000A3D0000}"/>
    <cellStyle name="Normal 23 2 4 4" xfId="15626" xr:uid="{00000000-0005-0000-0000-00000B3D0000}"/>
    <cellStyle name="Normal 23 2 5" xfId="15627" xr:uid="{00000000-0005-0000-0000-00000C3D0000}"/>
    <cellStyle name="Normal 23 2 5 2" xfId="15628" xr:uid="{00000000-0005-0000-0000-00000D3D0000}"/>
    <cellStyle name="Normal 23 2 5 2 2" xfId="15629" xr:uid="{00000000-0005-0000-0000-00000E3D0000}"/>
    <cellStyle name="Normal 23 2 5 3" xfId="15630" xr:uid="{00000000-0005-0000-0000-00000F3D0000}"/>
    <cellStyle name="Normal 23 2 6" xfId="15631" xr:uid="{00000000-0005-0000-0000-0000103D0000}"/>
    <cellStyle name="Normal 23 2 6 2" xfId="15632" xr:uid="{00000000-0005-0000-0000-0000113D0000}"/>
    <cellStyle name="Normal 23 2 7" xfId="15633" xr:uid="{00000000-0005-0000-0000-0000123D0000}"/>
    <cellStyle name="Normal 23 3" xfId="15634" xr:uid="{00000000-0005-0000-0000-0000133D0000}"/>
    <cellStyle name="Normal 23 3 2" xfId="15635" xr:uid="{00000000-0005-0000-0000-0000143D0000}"/>
    <cellStyle name="Normal 23 3 2 2" xfId="15636" xr:uid="{00000000-0005-0000-0000-0000153D0000}"/>
    <cellStyle name="Normal 23 3 2 2 2" xfId="15637" xr:uid="{00000000-0005-0000-0000-0000163D0000}"/>
    <cellStyle name="Normal 23 3 2 2 2 2" xfId="15638" xr:uid="{00000000-0005-0000-0000-0000173D0000}"/>
    <cellStyle name="Normal 23 3 2 2 2 2 2" xfId="15639" xr:uid="{00000000-0005-0000-0000-0000183D0000}"/>
    <cellStyle name="Normal 23 3 2 2 2 3" xfId="15640" xr:uid="{00000000-0005-0000-0000-0000193D0000}"/>
    <cellStyle name="Normal 23 3 2 2 3" xfId="15641" xr:uid="{00000000-0005-0000-0000-00001A3D0000}"/>
    <cellStyle name="Normal 23 3 2 2 3 2" xfId="15642" xr:uid="{00000000-0005-0000-0000-00001B3D0000}"/>
    <cellStyle name="Normal 23 3 2 2 4" xfId="15643" xr:uid="{00000000-0005-0000-0000-00001C3D0000}"/>
    <cellStyle name="Normal 23 3 2 3" xfId="15644" xr:uid="{00000000-0005-0000-0000-00001D3D0000}"/>
    <cellStyle name="Normal 23 3 2 3 2" xfId="15645" xr:uid="{00000000-0005-0000-0000-00001E3D0000}"/>
    <cellStyle name="Normal 23 3 2 3 2 2" xfId="15646" xr:uid="{00000000-0005-0000-0000-00001F3D0000}"/>
    <cellStyle name="Normal 23 3 2 3 3" xfId="15647" xr:uid="{00000000-0005-0000-0000-0000203D0000}"/>
    <cellStyle name="Normal 23 3 2 4" xfId="15648" xr:uid="{00000000-0005-0000-0000-0000213D0000}"/>
    <cellStyle name="Normal 23 3 2 4 2" xfId="15649" xr:uid="{00000000-0005-0000-0000-0000223D0000}"/>
    <cellStyle name="Normal 23 3 2 5" xfId="15650" xr:uid="{00000000-0005-0000-0000-0000233D0000}"/>
    <cellStyle name="Normal 23 3 3" xfId="15651" xr:uid="{00000000-0005-0000-0000-0000243D0000}"/>
    <cellStyle name="Normal 23 3 3 2" xfId="15652" xr:uid="{00000000-0005-0000-0000-0000253D0000}"/>
    <cellStyle name="Normal 23 3 3 2 2" xfId="15653" xr:uid="{00000000-0005-0000-0000-0000263D0000}"/>
    <cellStyle name="Normal 23 3 3 2 2 2" xfId="15654" xr:uid="{00000000-0005-0000-0000-0000273D0000}"/>
    <cellStyle name="Normal 23 3 3 2 3" xfId="15655" xr:uid="{00000000-0005-0000-0000-0000283D0000}"/>
    <cellStyle name="Normal 23 3 3 3" xfId="15656" xr:uid="{00000000-0005-0000-0000-0000293D0000}"/>
    <cellStyle name="Normal 23 3 3 3 2" xfId="15657" xr:uid="{00000000-0005-0000-0000-00002A3D0000}"/>
    <cellStyle name="Normal 23 3 3 4" xfId="15658" xr:uid="{00000000-0005-0000-0000-00002B3D0000}"/>
    <cellStyle name="Normal 23 3 4" xfId="15659" xr:uid="{00000000-0005-0000-0000-00002C3D0000}"/>
    <cellStyle name="Normal 23 3 4 2" xfId="15660" xr:uid="{00000000-0005-0000-0000-00002D3D0000}"/>
    <cellStyle name="Normal 23 3 4 2 2" xfId="15661" xr:uid="{00000000-0005-0000-0000-00002E3D0000}"/>
    <cellStyle name="Normal 23 3 4 3" xfId="15662" xr:uid="{00000000-0005-0000-0000-00002F3D0000}"/>
    <cellStyle name="Normal 23 3 5" xfId="15663" xr:uid="{00000000-0005-0000-0000-0000303D0000}"/>
    <cellStyle name="Normal 23 3 5 2" xfId="15664" xr:uid="{00000000-0005-0000-0000-0000313D0000}"/>
    <cellStyle name="Normal 23 3 6" xfId="15665" xr:uid="{00000000-0005-0000-0000-0000323D0000}"/>
    <cellStyle name="Normal 23 4" xfId="15666" xr:uid="{00000000-0005-0000-0000-0000333D0000}"/>
    <cellStyle name="Normal 23 4 2" xfId="15667" xr:uid="{00000000-0005-0000-0000-0000343D0000}"/>
    <cellStyle name="Normal 23 4 2 2" xfId="15668" xr:uid="{00000000-0005-0000-0000-0000353D0000}"/>
    <cellStyle name="Normal 23 4 2 2 2" xfId="15669" xr:uid="{00000000-0005-0000-0000-0000363D0000}"/>
    <cellStyle name="Normal 23 4 2 2 2 2" xfId="15670" xr:uid="{00000000-0005-0000-0000-0000373D0000}"/>
    <cellStyle name="Normal 23 4 2 2 3" xfId="15671" xr:uid="{00000000-0005-0000-0000-0000383D0000}"/>
    <cellStyle name="Normal 23 4 2 3" xfId="15672" xr:uid="{00000000-0005-0000-0000-0000393D0000}"/>
    <cellStyle name="Normal 23 4 2 3 2" xfId="15673" xr:uid="{00000000-0005-0000-0000-00003A3D0000}"/>
    <cellStyle name="Normal 23 4 2 4" xfId="15674" xr:uid="{00000000-0005-0000-0000-00003B3D0000}"/>
    <cellStyle name="Normal 23 4 3" xfId="15675" xr:uid="{00000000-0005-0000-0000-00003C3D0000}"/>
    <cellStyle name="Normal 23 4 3 2" xfId="15676" xr:uid="{00000000-0005-0000-0000-00003D3D0000}"/>
    <cellStyle name="Normal 23 4 3 2 2" xfId="15677" xr:uid="{00000000-0005-0000-0000-00003E3D0000}"/>
    <cellStyle name="Normal 23 4 3 3" xfId="15678" xr:uid="{00000000-0005-0000-0000-00003F3D0000}"/>
    <cellStyle name="Normal 23 4 4" xfId="15679" xr:uid="{00000000-0005-0000-0000-0000403D0000}"/>
    <cellStyle name="Normal 23 4 4 2" xfId="15680" xr:uid="{00000000-0005-0000-0000-0000413D0000}"/>
    <cellStyle name="Normal 23 4 5" xfId="15681" xr:uid="{00000000-0005-0000-0000-0000423D0000}"/>
    <cellStyle name="Normal 23 5" xfId="15682" xr:uid="{00000000-0005-0000-0000-0000433D0000}"/>
    <cellStyle name="Normal 23 5 2" xfId="15683" xr:uid="{00000000-0005-0000-0000-0000443D0000}"/>
    <cellStyle name="Normal 23 5 2 2" xfId="15684" xr:uid="{00000000-0005-0000-0000-0000453D0000}"/>
    <cellStyle name="Normal 23 5 2 2 2" xfId="15685" xr:uid="{00000000-0005-0000-0000-0000463D0000}"/>
    <cellStyle name="Normal 23 5 2 3" xfId="15686" xr:uid="{00000000-0005-0000-0000-0000473D0000}"/>
    <cellStyle name="Normal 23 5 3" xfId="15687" xr:uid="{00000000-0005-0000-0000-0000483D0000}"/>
    <cellStyle name="Normal 23 5 3 2" xfId="15688" xr:uid="{00000000-0005-0000-0000-0000493D0000}"/>
    <cellStyle name="Normal 23 5 4" xfId="15689" xr:uid="{00000000-0005-0000-0000-00004A3D0000}"/>
    <cellStyle name="Normal 23 6" xfId="15690" xr:uid="{00000000-0005-0000-0000-00004B3D0000}"/>
    <cellStyle name="Normal 23 6 2" xfId="15691" xr:uid="{00000000-0005-0000-0000-00004C3D0000}"/>
    <cellStyle name="Normal 23 6 2 2" xfId="15692" xr:uid="{00000000-0005-0000-0000-00004D3D0000}"/>
    <cellStyle name="Normal 23 6 3" xfId="15693" xr:uid="{00000000-0005-0000-0000-00004E3D0000}"/>
    <cellStyle name="Normal 23 7" xfId="15694" xr:uid="{00000000-0005-0000-0000-00004F3D0000}"/>
    <cellStyle name="Normal 23 7 2" xfId="15695" xr:uid="{00000000-0005-0000-0000-0000503D0000}"/>
    <cellStyle name="Normal 23 8" xfId="15696" xr:uid="{00000000-0005-0000-0000-0000513D0000}"/>
    <cellStyle name="Normal 24" xfId="15697" xr:uid="{00000000-0005-0000-0000-0000523D0000}"/>
    <cellStyle name="Normal 24 2" xfId="15698" xr:uid="{00000000-0005-0000-0000-0000533D0000}"/>
    <cellStyle name="Normal 24 2 2" xfId="15699" xr:uid="{00000000-0005-0000-0000-0000543D0000}"/>
    <cellStyle name="Normal 24 2 2 2" xfId="15700" xr:uid="{00000000-0005-0000-0000-0000553D0000}"/>
    <cellStyle name="Normal 24 2 2 2 2" xfId="15701" xr:uid="{00000000-0005-0000-0000-0000563D0000}"/>
    <cellStyle name="Normal 24 2 2 2 2 2" xfId="15702" xr:uid="{00000000-0005-0000-0000-0000573D0000}"/>
    <cellStyle name="Normal 24 2 2 2 2 2 2" xfId="15703" xr:uid="{00000000-0005-0000-0000-0000583D0000}"/>
    <cellStyle name="Normal 24 2 2 2 2 2 2 2" xfId="15704" xr:uid="{00000000-0005-0000-0000-0000593D0000}"/>
    <cellStyle name="Normal 24 2 2 2 2 2 3" xfId="15705" xr:uid="{00000000-0005-0000-0000-00005A3D0000}"/>
    <cellStyle name="Normal 24 2 2 2 2 3" xfId="15706" xr:uid="{00000000-0005-0000-0000-00005B3D0000}"/>
    <cellStyle name="Normal 24 2 2 2 2 3 2" xfId="15707" xr:uid="{00000000-0005-0000-0000-00005C3D0000}"/>
    <cellStyle name="Normal 24 2 2 2 2 4" xfId="15708" xr:uid="{00000000-0005-0000-0000-00005D3D0000}"/>
    <cellStyle name="Normal 24 2 2 2 3" xfId="15709" xr:uid="{00000000-0005-0000-0000-00005E3D0000}"/>
    <cellStyle name="Normal 24 2 2 2 3 2" xfId="15710" xr:uid="{00000000-0005-0000-0000-00005F3D0000}"/>
    <cellStyle name="Normal 24 2 2 2 3 2 2" xfId="15711" xr:uid="{00000000-0005-0000-0000-0000603D0000}"/>
    <cellStyle name="Normal 24 2 2 2 3 3" xfId="15712" xr:uid="{00000000-0005-0000-0000-0000613D0000}"/>
    <cellStyle name="Normal 24 2 2 2 4" xfId="15713" xr:uid="{00000000-0005-0000-0000-0000623D0000}"/>
    <cellStyle name="Normal 24 2 2 2 4 2" xfId="15714" xr:uid="{00000000-0005-0000-0000-0000633D0000}"/>
    <cellStyle name="Normal 24 2 2 2 5" xfId="15715" xr:uid="{00000000-0005-0000-0000-0000643D0000}"/>
    <cellStyle name="Normal 24 2 2 3" xfId="15716" xr:uid="{00000000-0005-0000-0000-0000653D0000}"/>
    <cellStyle name="Normal 24 2 2 3 2" xfId="15717" xr:uid="{00000000-0005-0000-0000-0000663D0000}"/>
    <cellStyle name="Normal 24 2 2 3 2 2" xfId="15718" xr:uid="{00000000-0005-0000-0000-0000673D0000}"/>
    <cellStyle name="Normal 24 2 2 3 2 2 2" xfId="15719" xr:uid="{00000000-0005-0000-0000-0000683D0000}"/>
    <cellStyle name="Normal 24 2 2 3 2 3" xfId="15720" xr:uid="{00000000-0005-0000-0000-0000693D0000}"/>
    <cellStyle name="Normal 24 2 2 3 3" xfId="15721" xr:uid="{00000000-0005-0000-0000-00006A3D0000}"/>
    <cellStyle name="Normal 24 2 2 3 3 2" xfId="15722" xr:uid="{00000000-0005-0000-0000-00006B3D0000}"/>
    <cellStyle name="Normal 24 2 2 3 4" xfId="15723" xr:uid="{00000000-0005-0000-0000-00006C3D0000}"/>
    <cellStyle name="Normal 24 2 2 4" xfId="15724" xr:uid="{00000000-0005-0000-0000-00006D3D0000}"/>
    <cellStyle name="Normal 24 2 2 4 2" xfId="15725" xr:uid="{00000000-0005-0000-0000-00006E3D0000}"/>
    <cellStyle name="Normal 24 2 2 4 2 2" xfId="15726" xr:uid="{00000000-0005-0000-0000-00006F3D0000}"/>
    <cellStyle name="Normal 24 2 2 4 3" xfId="15727" xr:uid="{00000000-0005-0000-0000-0000703D0000}"/>
    <cellStyle name="Normal 24 2 2 5" xfId="15728" xr:uid="{00000000-0005-0000-0000-0000713D0000}"/>
    <cellStyle name="Normal 24 2 2 5 2" xfId="15729" xr:uid="{00000000-0005-0000-0000-0000723D0000}"/>
    <cellStyle name="Normal 24 2 2 6" xfId="15730" xr:uid="{00000000-0005-0000-0000-0000733D0000}"/>
    <cellStyle name="Normal 24 2 3" xfId="15731" xr:uid="{00000000-0005-0000-0000-0000743D0000}"/>
    <cellStyle name="Normal 24 2 3 2" xfId="15732" xr:uid="{00000000-0005-0000-0000-0000753D0000}"/>
    <cellStyle name="Normal 24 2 3 2 2" xfId="15733" xr:uid="{00000000-0005-0000-0000-0000763D0000}"/>
    <cellStyle name="Normal 24 2 3 2 2 2" xfId="15734" xr:uid="{00000000-0005-0000-0000-0000773D0000}"/>
    <cellStyle name="Normal 24 2 3 2 2 2 2" xfId="15735" xr:uid="{00000000-0005-0000-0000-0000783D0000}"/>
    <cellStyle name="Normal 24 2 3 2 2 3" xfId="15736" xr:uid="{00000000-0005-0000-0000-0000793D0000}"/>
    <cellStyle name="Normal 24 2 3 2 3" xfId="15737" xr:uid="{00000000-0005-0000-0000-00007A3D0000}"/>
    <cellStyle name="Normal 24 2 3 2 3 2" xfId="15738" xr:uid="{00000000-0005-0000-0000-00007B3D0000}"/>
    <cellStyle name="Normal 24 2 3 2 4" xfId="15739" xr:uid="{00000000-0005-0000-0000-00007C3D0000}"/>
    <cellStyle name="Normal 24 2 3 3" xfId="15740" xr:uid="{00000000-0005-0000-0000-00007D3D0000}"/>
    <cellStyle name="Normal 24 2 3 3 2" xfId="15741" xr:uid="{00000000-0005-0000-0000-00007E3D0000}"/>
    <cellStyle name="Normal 24 2 3 3 2 2" xfId="15742" xr:uid="{00000000-0005-0000-0000-00007F3D0000}"/>
    <cellStyle name="Normal 24 2 3 3 3" xfId="15743" xr:uid="{00000000-0005-0000-0000-0000803D0000}"/>
    <cellStyle name="Normal 24 2 3 4" xfId="15744" xr:uid="{00000000-0005-0000-0000-0000813D0000}"/>
    <cellStyle name="Normal 24 2 3 4 2" xfId="15745" xr:uid="{00000000-0005-0000-0000-0000823D0000}"/>
    <cellStyle name="Normal 24 2 3 5" xfId="15746" xr:uid="{00000000-0005-0000-0000-0000833D0000}"/>
    <cellStyle name="Normal 24 2 4" xfId="15747" xr:uid="{00000000-0005-0000-0000-0000843D0000}"/>
    <cellStyle name="Normal 24 2 4 2" xfId="15748" xr:uid="{00000000-0005-0000-0000-0000853D0000}"/>
    <cellStyle name="Normal 24 2 4 2 2" xfId="15749" xr:uid="{00000000-0005-0000-0000-0000863D0000}"/>
    <cellStyle name="Normal 24 2 4 2 2 2" xfId="15750" xr:uid="{00000000-0005-0000-0000-0000873D0000}"/>
    <cellStyle name="Normal 24 2 4 2 3" xfId="15751" xr:uid="{00000000-0005-0000-0000-0000883D0000}"/>
    <cellStyle name="Normal 24 2 4 3" xfId="15752" xr:uid="{00000000-0005-0000-0000-0000893D0000}"/>
    <cellStyle name="Normal 24 2 4 3 2" xfId="15753" xr:uid="{00000000-0005-0000-0000-00008A3D0000}"/>
    <cellStyle name="Normal 24 2 4 4" xfId="15754" xr:uid="{00000000-0005-0000-0000-00008B3D0000}"/>
    <cellStyle name="Normal 24 2 5" xfId="15755" xr:uid="{00000000-0005-0000-0000-00008C3D0000}"/>
    <cellStyle name="Normal 24 2 5 2" xfId="15756" xr:uid="{00000000-0005-0000-0000-00008D3D0000}"/>
    <cellStyle name="Normal 24 2 5 2 2" xfId="15757" xr:uid="{00000000-0005-0000-0000-00008E3D0000}"/>
    <cellStyle name="Normal 24 2 5 3" xfId="15758" xr:uid="{00000000-0005-0000-0000-00008F3D0000}"/>
    <cellStyle name="Normal 24 2 6" xfId="15759" xr:uid="{00000000-0005-0000-0000-0000903D0000}"/>
    <cellStyle name="Normal 24 2 6 2" xfId="15760" xr:uid="{00000000-0005-0000-0000-0000913D0000}"/>
    <cellStyle name="Normal 24 2 7" xfId="15761" xr:uid="{00000000-0005-0000-0000-0000923D0000}"/>
    <cellStyle name="Normal 24 3" xfId="15762" xr:uid="{00000000-0005-0000-0000-0000933D0000}"/>
    <cellStyle name="Normal 24 3 2" xfId="15763" xr:uid="{00000000-0005-0000-0000-0000943D0000}"/>
    <cellStyle name="Normal 24 3 2 2" xfId="15764" xr:uid="{00000000-0005-0000-0000-0000953D0000}"/>
    <cellStyle name="Normal 24 3 2 2 2" xfId="15765" xr:uid="{00000000-0005-0000-0000-0000963D0000}"/>
    <cellStyle name="Normal 24 3 2 2 2 2" xfId="15766" xr:uid="{00000000-0005-0000-0000-0000973D0000}"/>
    <cellStyle name="Normal 24 3 2 2 2 2 2" xfId="15767" xr:uid="{00000000-0005-0000-0000-0000983D0000}"/>
    <cellStyle name="Normal 24 3 2 2 2 3" xfId="15768" xr:uid="{00000000-0005-0000-0000-0000993D0000}"/>
    <cellStyle name="Normal 24 3 2 2 3" xfId="15769" xr:uid="{00000000-0005-0000-0000-00009A3D0000}"/>
    <cellStyle name="Normal 24 3 2 2 3 2" xfId="15770" xr:uid="{00000000-0005-0000-0000-00009B3D0000}"/>
    <cellStyle name="Normal 24 3 2 2 4" xfId="15771" xr:uid="{00000000-0005-0000-0000-00009C3D0000}"/>
    <cellStyle name="Normal 24 3 2 3" xfId="15772" xr:uid="{00000000-0005-0000-0000-00009D3D0000}"/>
    <cellStyle name="Normal 24 3 2 3 2" xfId="15773" xr:uid="{00000000-0005-0000-0000-00009E3D0000}"/>
    <cellStyle name="Normal 24 3 2 3 2 2" xfId="15774" xr:uid="{00000000-0005-0000-0000-00009F3D0000}"/>
    <cellStyle name="Normal 24 3 2 3 3" xfId="15775" xr:uid="{00000000-0005-0000-0000-0000A03D0000}"/>
    <cellStyle name="Normal 24 3 2 4" xfId="15776" xr:uid="{00000000-0005-0000-0000-0000A13D0000}"/>
    <cellStyle name="Normal 24 3 2 4 2" xfId="15777" xr:uid="{00000000-0005-0000-0000-0000A23D0000}"/>
    <cellStyle name="Normal 24 3 2 5" xfId="15778" xr:uid="{00000000-0005-0000-0000-0000A33D0000}"/>
    <cellStyle name="Normal 24 3 3" xfId="15779" xr:uid="{00000000-0005-0000-0000-0000A43D0000}"/>
    <cellStyle name="Normal 24 3 3 2" xfId="15780" xr:uid="{00000000-0005-0000-0000-0000A53D0000}"/>
    <cellStyle name="Normal 24 3 3 2 2" xfId="15781" xr:uid="{00000000-0005-0000-0000-0000A63D0000}"/>
    <cellStyle name="Normal 24 3 3 2 2 2" xfId="15782" xr:uid="{00000000-0005-0000-0000-0000A73D0000}"/>
    <cellStyle name="Normal 24 3 3 2 3" xfId="15783" xr:uid="{00000000-0005-0000-0000-0000A83D0000}"/>
    <cellStyle name="Normal 24 3 3 3" xfId="15784" xr:uid="{00000000-0005-0000-0000-0000A93D0000}"/>
    <cellStyle name="Normal 24 3 3 3 2" xfId="15785" xr:uid="{00000000-0005-0000-0000-0000AA3D0000}"/>
    <cellStyle name="Normal 24 3 3 4" xfId="15786" xr:uid="{00000000-0005-0000-0000-0000AB3D0000}"/>
    <cellStyle name="Normal 24 3 4" xfId="15787" xr:uid="{00000000-0005-0000-0000-0000AC3D0000}"/>
    <cellStyle name="Normal 24 3 4 2" xfId="15788" xr:uid="{00000000-0005-0000-0000-0000AD3D0000}"/>
    <cellStyle name="Normal 24 3 4 2 2" xfId="15789" xr:uid="{00000000-0005-0000-0000-0000AE3D0000}"/>
    <cellStyle name="Normal 24 3 4 3" xfId="15790" xr:uid="{00000000-0005-0000-0000-0000AF3D0000}"/>
    <cellStyle name="Normal 24 3 5" xfId="15791" xr:uid="{00000000-0005-0000-0000-0000B03D0000}"/>
    <cellStyle name="Normal 24 3 5 2" xfId="15792" xr:uid="{00000000-0005-0000-0000-0000B13D0000}"/>
    <cellStyle name="Normal 24 3 6" xfId="15793" xr:uid="{00000000-0005-0000-0000-0000B23D0000}"/>
    <cellStyle name="Normal 24 4" xfId="15794" xr:uid="{00000000-0005-0000-0000-0000B33D0000}"/>
    <cellStyle name="Normal 24 4 2" xfId="15795" xr:uid="{00000000-0005-0000-0000-0000B43D0000}"/>
    <cellStyle name="Normal 24 4 2 2" xfId="15796" xr:uid="{00000000-0005-0000-0000-0000B53D0000}"/>
    <cellStyle name="Normal 24 4 2 2 2" xfId="15797" xr:uid="{00000000-0005-0000-0000-0000B63D0000}"/>
    <cellStyle name="Normal 24 4 2 2 2 2" xfId="15798" xr:uid="{00000000-0005-0000-0000-0000B73D0000}"/>
    <cellStyle name="Normal 24 4 2 2 3" xfId="15799" xr:uid="{00000000-0005-0000-0000-0000B83D0000}"/>
    <cellStyle name="Normal 24 4 2 3" xfId="15800" xr:uid="{00000000-0005-0000-0000-0000B93D0000}"/>
    <cellStyle name="Normal 24 4 2 3 2" xfId="15801" xr:uid="{00000000-0005-0000-0000-0000BA3D0000}"/>
    <cellStyle name="Normal 24 4 2 4" xfId="15802" xr:uid="{00000000-0005-0000-0000-0000BB3D0000}"/>
    <cellStyle name="Normal 24 4 3" xfId="15803" xr:uid="{00000000-0005-0000-0000-0000BC3D0000}"/>
    <cellStyle name="Normal 24 4 3 2" xfId="15804" xr:uid="{00000000-0005-0000-0000-0000BD3D0000}"/>
    <cellStyle name="Normal 24 4 3 2 2" xfId="15805" xr:uid="{00000000-0005-0000-0000-0000BE3D0000}"/>
    <cellStyle name="Normal 24 4 3 3" xfId="15806" xr:uid="{00000000-0005-0000-0000-0000BF3D0000}"/>
    <cellStyle name="Normal 24 4 4" xfId="15807" xr:uid="{00000000-0005-0000-0000-0000C03D0000}"/>
    <cellStyle name="Normal 24 4 4 2" xfId="15808" xr:uid="{00000000-0005-0000-0000-0000C13D0000}"/>
    <cellStyle name="Normal 24 4 5" xfId="15809" xr:uid="{00000000-0005-0000-0000-0000C23D0000}"/>
    <cellStyle name="Normal 24 5" xfId="15810" xr:uid="{00000000-0005-0000-0000-0000C33D0000}"/>
    <cellStyle name="Normal 24 5 2" xfId="15811" xr:uid="{00000000-0005-0000-0000-0000C43D0000}"/>
    <cellStyle name="Normal 24 5 2 2" xfId="15812" xr:uid="{00000000-0005-0000-0000-0000C53D0000}"/>
    <cellStyle name="Normal 24 5 2 2 2" xfId="15813" xr:uid="{00000000-0005-0000-0000-0000C63D0000}"/>
    <cellStyle name="Normal 24 5 2 3" xfId="15814" xr:uid="{00000000-0005-0000-0000-0000C73D0000}"/>
    <cellStyle name="Normal 24 5 3" xfId="15815" xr:uid="{00000000-0005-0000-0000-0000C83D0000}"/>
    <cellStyle name="Normal 24 5 3 2" xfId="15816" xr:uid="{00000000-0005-0000-0000-0000C93D0000}"/>
    <cellStyle name="Normal 24 5 4" xfId="15817" xr:uid="{00000000-0005-0000-0000-0000CA3D0000}"/>
    <cellStyle name="Normal 24 6" xfId="15818" xr:uid="{00000000-0005-0000-0000-0000CB3D0000}"/>
    <cellStyle name="Normal 24 6 2" xfId="15819" xr:uid="{00000000-0005-0000-0000-0000CC3D0000}"/>
    <cellStyle name="Normal 24 6 2 2" xfId="15820" xr:uid="{00000000-0005-0000-0000-0000CD3D0000}"/>
    <cellStyle name="Normal 24 6 3" xfId="15821" xr:uid="{00000000-0005-0000-0000-0000CE3D0000}"/>
    <cellStyle name="Normal 24 7" xfId="15822" xr:uid="{00000000-0005-0000-0000-0000CF3D0000}"/>
    <cellStyle name="Normal 24 7 2" xfId="15823" xr:uid="{00000000-0005-0000-0000-0000D03D0000}"/>
    <cellStyle name="Normal 24 8" xfId="15824" xr:uid="{00000000-0005-0000-0000-0000D13D0000}"/>
    <cellStyle name="Normal 25" xfId="15825" xr:uid="{00000000-0005-0000-0000-0000D23D0000}"/>
    <cellStyle name="Normal 26" xfId="15826" xr:uid="{00000000-0005-0000-0000-0000D33D0000}"/>
    <cellStyle name="Normal 26 2" xfId="15827" xr:uid="{00000000-0005-0000-0000-0000D43D0000}"/>
    <cellStyle name="Normal 26 2 2" xfId="15828" xr:uid="{00000000-0005-0000-0000-0000D53D0000}"/>
    <cellStyle name="Normal 26 2 2 2" xfId="15829" xr:uid="{00000000-0005-0000-0000-0000D63D0000}"/>
    <cellStyle name="Normal 26 2 2 2 2" xfId="15830" xr:uid="{00000000-0005-0000-0000-0000D73D0000}"/>
    <cellStyle name="Normal 26 2 2 2 2 2" xfId="15831" xr:uid="{00000000-0005-0000-0000-0000D83D0000}"/>
    <cellStyle name="Normal 26 2 2 2 2 2 2" xfId="15832" xr:uid="{00000000-0005-0000-0000-0000D93D0000}"/>
    <cellStyle name="Normal 26 2 2 2 2 3" xfId="15833" xr:uid="{00000000-0005-0000-0000-0000DA3D0000}"/>
    <cellStyle name="Normal 26 2 2 2 3" xfId="15834" xr:uid="{00000000-0005-0000-0000-0000DB3D0000}"/>
    <cellStyle name="Normal 26 2 2 2 3 2" xfId="15835" xr:uid="{00000000-0005-0000-0000-0000DC3D0000}"/>
    <cellStyle name="Normal 26 2 2 2 4" xfId="15836" xr:uid="{00000000-0005-0000-0000-0000DD3D0000}"/>
    <cellStyle name="Normal 26 2 2 3" xfId="15837" xr:uid="{00000000-0005-0000-0000-0000DE3D0000}"/>
    <cellStyle name="Normal 26 2 2 3 2" xfId="15838" xr:uid="{00000000-0005-0000-0000-0000DF3D0000}"/>
    <cellStyle name="Normal 26 2 2 3 2 2" xfId="15839" xr:uid="{00000000-0005-0000-0000-0000E03D0000}"/>
    <cellStyle name="Normal 26 2 2 3 3" xfId="15840" xr:uid="{00000000-0005-0000-0000-0000E13D0000}"/>
    <cellStyle name="Normal 26 2 2 4" xfId="15841" xr:uid="{00000000-0005-0000-0000-0000E23D0000}"/>
    <cellStyle name="Normal 26 2 2 4 2" xfId="15842" xr:uid="{00000000-0005-0000-0000-0000E33D0000}"/>
    <cellStyle name="Normal 26 2 2 5" xfId="15843" xr:uid="{00000000-0005-0000-0000-0000E43D0000}"/>
    <cellStyle name="Normal 26 2 3" xfId="15844" xr:uid="{00000000-0005-0000-0000-0000E53D0000}"/>
    <cellStyle name="Normal 26 2 3 2" xfId="15845" xr:uid="{00000000-0005-0000-0000-0000E63D0000}"/>
    <cellStyle name="Normal 26 2 3 2 2" xfId="15846" xr:uid="{00000000-0005-0000-0000-0000E73D0000}"/>
    <cellStyle name="Normal 26 2 3 2 2 2" xfId="15847" xr:uid="{00000000-0005-0000-0000-0000E83D0000}"/>
    <cellStyle name="Normal 26 2 3 2 3" xfId="15848" xr:uid="{00000000-0005-0000-0000-0000E93D0000}"/>
    <cellStyle name="Normal 26 2 3 3" xfId="15849" xr:uid="{00000000-0005-0000-0000-0000EA3D0000}"/>
    <cellStyle name="Normal 26 2 3 3 2" xfId="15850" xr:uid="{00000000-0005-0000-0000-0000EB3D0000}"/>
    <cellStyle name="Normal 26 2 3 4" xfId="15851" xr:uid="{00000000-0005-0000-0000-0000EC3D0000}"/>
    <cellStyle name="Normal 26 2 4" xfId="15852" xr:uid="{00000000-0005-0000-0000-0000ED3D0000}"/>
    <cellStyle name="Normal 26 2 4 2" xfId="15853" xr:uid="{00000000-0005-0000-0000-0000EE3D0000}"/>
    <cellStyle name="Normal 26 2 4 2 2" xfId="15854" xr:uid="{00000000-0005-0000-0000-0000EF3D0000}"/>
    <cellStyle name="Normal 26 2 4 3" xfId="15855" xr:uid="{00000000-0005-0000-0000-0000F03D0000}"/>
    <cellStyle name="Normal 26 2 5" xfId="15856" xr:uid="{00000000-0005-0000-0000-0000F13D0000}"/>
    <cellStyle name="Normal 26 2 5 2" xfId="15857" xr:uid="{00000000-0005-0000-0000-0000F23D0000}"/>
    <cellStyle name="Normal 26 2 6" xfId="15858" xr:uid="{00000000-0005-0000-0000-0000F33D0000}"/>
    <cellStyle name="Normal 26 3" xfId="15859" xr:uid="{00000000-0005-0000-0000-0000F43D0000}"/>
    <cellStyle name="Normal 26 3 2" xfId="15860" xr:uid="{00000000-0005-0000-0000-0000F53D0000}"/>
    <cellStyle name="Normal 26 3 2 2" xfId="15861" xr:uid="{00000000-0005-0000-0000-0000F63D0000}"/>
    <cellStyle name="Normal 26 3 2 2 2" xfId="15862" xr:uid="{00000000-0005-0000-0000-0000F73D0000}"/>
    <cellStyle name="Normal 26 3 2 2 2 2" xfId="15863" xr:uid="{00000000-0005-0000-0000-0000F83D0000}"/>
    <cellStyle name="Normal 26 3 2 2 3" xfId="15864" xr:uid="{00000000-0005-0000-0000-0000F93D0000}"/>
    <cellStyle name="Normal 26 3 2 3" xfId="15865" xr:uid="{00000000-0005-0000-0000-0000FA3D0000}"/>
    <cellStyle name="Normal 26 3 2 3 2" xfId="15866" xr:uid="{00000000-0005-0000-0000-0000FB3D0000}"/>
    <cellStyle name="Normal 26 3 2 4" xfId="15867" xr:uid="{00000000-0005-0000-0000-0000FC3D0000}"/>
    <cellStyle name="Normal 26 3 3" xfId="15868" xr:uid="{00000000-0005-0000-0000-0000FD3D0000}"/>
    <cellStyle name="Normal 26 3 3 2" xfId="15869" xr:uid="{00000000-0005-0000-0000-0000FE3D0000}"/>
    <cellStyle name="Normal 26 3 3 2 2" xfId="15870" xr:uid="{00000000-0005-0000-0000-0000FF3D0000}"/>
    <cellStyle name="Normal 26 3 3 3" xfId="15871" xr:uid="{00000000-0005-0000-0000-0000003E0000}"/>
    <cellStyle name="Normal 26 3 4" xfId="15872" xr:uid="{00000000-0005-0000-0000-0000013E0000}"/>
    <cellStyle name="Normal 26 3 4 2" xfId="15873" xr:uid="{00000000-0005-0000-0000-0000023E0000}"/>
    <cellStyle name="Normal 26 3 5" xfId="15874" xr:uid="{00000000-0005-0000-0000-0000033E0000}"/>
    <cellStyle name="Normal 26 4" xfId="15875" xr:uid="{00000000-0005-0000-0000-0000043E0000}"/>
    <cellStyle name="Normal 26 4 2" xfId="15876" xr:uid="{00000000-0005-0000-0000-0000053E0000}"/>
    <cellStyle name="Normal 26 4 2 2" xfId="15877" xr:uid="{00000000-0005-0000-0000-0000063E0000}"/>
    <cellStyle name="Normal 26 4 2 2 2" xfId="15878" xr:uid="{00000000-0005-0000-0000-0000073E0000}"/>
    <cellStyle name="Normal 26 4 2 3" xfId="15879" xr:uid="{00000000-0005-0000-0000-0000083E0000}"/>
    <cellStyle name="Normal 26 4 3" xfId="15880" xr:uid="{00000000-0005-0000-0000-0000093E0000}"/>
    <cellStyle name="Normal 26 4 3 2" xfId="15881" xr:uid="{00000000-0005-0000-0000-00000A3E0000}"/>
    <cellStyle name="Normal 26 4 4" xfId="15882" xr:uid="{00000000-0005-0000-0000-00000B3E0000}"/>
    <cellStyle name="Normal 26 5" xfId="15883" xr:uid="{00000000-0005-0000-0000-00000C3E0000}"/>
    <cellStyle name="Normal 26 5 2" xfId="15884" xr:uid="{00000000-0005-0000-0000-00000D3E0000}"/>
    <cellStyle name="Normal 26 5 2 2" xfId="15885" xr:uid="{00000000-0005-0000-0000-00000E3E0000}"/>
    <cellStyle name="Normal 26 5 3" xfId="15886" xr:uid="{00000000-0005-0000-0000-00000F3E0000}"/>
    <cellStyle name="Normal 26 6" xfId="15887" xr:uid="{00000000-0005-0000-0000-0000103E0000}"/>
    <cellStyle name="Normal 26 6 2" xfId="15888" xr:uid="{00000000-0005-0000-0000-0000113E0000}"/>
    <cellStyle name="Normal 26 7" xfId="15889" xr:uid="{00000000-0005-0000-0000-0000123E0000}"/>
    <cellStyle name="Normal 27" xfId="15890" xr:uid="{00000000-0005-0000-0000-0000133E0000}"/>
    <cellStyle name="Normal 28" xfId="15891" xr:uid="{00000000-0005-0000-0000-0000143E0000}"/>
    <cellStyle name="Normal 28 2" xfId="15892" xr:uid="{00000000-0005-0000-0000-0000153E0000}"/>
    <cellStyle name="Normal 28 2 2" xfId="15893" xr:uid="{00000000-0005-0000-0000-0000163E0000}"/>
    <cellStyle name="Normal 28 2 2 2" xfId="15894" xr:uid="{00000000-0005-0000-0000-0000173E0000}"/>
    <cellStyle name="Normal 28 2 2 2 2" xfId="15895" xr:uid="{00000000-0005-0000-0000-0000183E0000}"/>
    <cellStyle name="Normal 28 2 2 2 2 2" xfId="15896" xr:uid="{00000000-0005-0000-0000-0000193E0000}"/>
    <cellStyle name="Normal 28 2 2 2 3" xfId="15897" xr:uid="{00000000-0005-0000-0000-00001A3E0000}"/>
    <cellStyle name="Normal 28 2 2 3" xfId="15898" xr:uid="{00000000-0005-0000-0000-00001B3E0000}"/>
    <cellStyle name="Normal 28 2 2 3 2" xfId="15899" xr:uid="{00000000-0005-0000-0000-00001C3E0000}"/>
    <cellStyle name="Normal 28 2 2 4" xfId="15900" xr:uid="{00000000-0005-0000-0000-00001D3E0000}"/>
    <cellStyle name="Normal 28 2 3" xfId="15901" xr:uid="{00000000-0005-0000-0000-00001E3E0000}"/>
    <cellStyle name="Normal 28 2 3 2" xfId="15902" xr:uid="{00000000-0005-0000-0000-00001F3E0000}"/>
    <cellStyle name="Normal 28 2 3 2 2" xfId="15903" xr:uid="{00000000-0005-0000-0000-0000203E0000}"/>
    <cellStyle name="Normal 28 2 3 3" xfId="15904" xr:uid="{00000000-0005-0000-0000-0000213E0000}"/>
    <cellStyle name="Normal 28 2 4" xfId="15905" xr:uid="{00000000-0005-0000-0000-0000223E0000}"/>
    <cellStyle name="Normal 28 2 4 2" xfId="15906" xr:uid="{00000000-0005-0000-0000-0000233E0000}"/>
    <cellStyle name="Normal 28 2 5" xfId="15907" xr:uid="{00000000-0005-0000-0000-0000243E0000}"/>
    <cellStyle name="Normal 28 3" xfId="15908" xr:uid="{00000000-0005-0000-0000-0000253E0000}"/>
    <cellStyle name="Normal 28 3 2" xfId="15909" xr:uid="{00000000-0005-0000-0000-0000263E0000}"/>
    <cellStyle name="Normal 28 3 2 2" xfId="15910" xr:uid="{00000000-0005-0000-0000-0000273E0000}"/>
    <cellStyle name="Normal 28 3 2 2 2" xfId="15911" xr:uid="{00000000-0005-0000-0000-0000283E0000}"/>
    <cellStyle name="Normal 28 3 2 3" xfId="15912" xr:uid="{00000000-0005-0000-0000-0000293E0000}"/>
    <cellStyle name="Normal 28 3 3" xfId="15913" xr:uid="{00000000-0005-0000-0000-00002A3E0000}"/>
    <cellStyle name="Normal 28 3 3 2" xfId="15914" xr:uid="{00000000-0005-0000-0000-00002B3E0000}"/>
    <cellStyle name="Normal 28 3 4" xfId="15915" xr:uid="{00000000-0005-0000-0000-00002C3E0000}"/>
    <cellStyle name="Normal 28 4" xfId="15916" xr:uid="{00000000-0005-0000-0000-00002D3E0000}"/>
    <cellStyle name="Normal 28 4 2" xfId="15917" xr:uid="{00000000-0005-0000-0000-00002E3E0000}"/>
    <cellStyle name="Normal 28 4 2 2" xfId="15918" xr:uid="{00000000-0005-0000-0000-00002F3E0000}"/>
    <cellStyle name="Normal 28 4 3" xfId="15919" xr:uid="{00000000-0005-0000-0000-0000303E0000}"/>
    <cellStyle name="Normal 28 5" xfId="15920" xr:uid="{00000000-0005-0000-0000-0000313E0000}"/>
    <cellStyle name="Normal 28 5 2" xfId="15921" xr:uid="{00000000-0005-0000-0000-0000323E0000}"/>
    <cellStyle name="Normal 28 6" xfId="15922" xr:uid="{00000000-0005-0000-0000-0000333E0000}"/>
    <cellStyle name="Normal 29" xfId="15923" xr:uid="{00000000-0005-0000-0000-0000343E0000}"/>
    <cellStyle name="Normal 3" xfId="15924" xr:uid="{00000000-0005-0000-0000-0000353E0000}"/>
    <cellStyle name="Normal 3 2" xfId="15925" xr:uid="{00000000-0005-0000-0000-0000363E0000}"/>
    <cellStyle name="Normal 30" xfId="15926" xr:uid="{00000000-0005-0000-0000-0000373E0000}"/>
    <cellStyle name="Normal 30 2" xfId="15927" xr:uid="{00000000-0005-0000-0000-0000383E0000}"/>
    <cellStyle name="Normal 30 2 2" xfId="15928" xr:uid="{00000000-0005-0000-0000-0000393E0000}"/>
    <cellStyle name="Normal 30 2 2 2" xfId="15929" xr:uid="{00000000-0005-0000-0000-00003A3E0000}"/>
    <cellStyle name="Normal 30 2 2 2 2" xfId="15930" xr:uid="{00000000-0005-0000-0000-00003B3E0000}"/>
    <cellStyle name="Normal 30 2 2 3" xfId="15931" xr:uid="{00000000-0005-0000-0000-00003C3E0000}"/>
    <cellStyle name="Normal 30 2 3" xfId="15932" xr:uid="{00000000-0005-0000-0000-00003D3E0000}"/>
    <cellStyle name="Normal 30 2 3 2" xfId="15933" xr:uid="{00000000-0005-0000-0000-00003E3E0000}"/>
    <cellStyle name="Normal 30 2 4" xfId="15934" xr:uid="{00000000-0005-0000-0000-00003F3E0000}"/>
    <cellStyle name="Normal 30 3" xfId="15935" xr:uid="{00000000-0005-0000-0000-0000403E0000}"/>
    <cellStyle name="Normal 30 3 2" xfId="15936" xr:uid="{00000000-0005-0000-0000-0000413E0000}"/>
    <cellStyle name="Normal 30 3 2 2" xfId="15937" xr:uid="{00000000-0005-0000-0000-0000423E0000}"/>
    <cellStyle name="Normal 30 3 3" xfId="15938" xr:uid="{00000000-0005-0000-0000-0000433E0000}"/>
    <cellStyle name="Normal 30 4" xfId="15939" xr:uid="{00000000-0005-0000-0000-0000443E0000}"/>
    <cellStyle name="Normal 30 4 2" xfId="15940" xr:uid="{00000000-0005-0000-0000-0000453E0000}"/>
    <cellStyle name="Normal 30 5" xfId="15941" xr:uid="{00000000-0005-0000-0000-0000463E0000}"/>
    <cellStyle name="Normal 31" xfId="15942" xr:uid="{00000000-0005-0000-0000-0000473E0000}"/>
    <cellStyle name="Normal 32" xfId="15943" xr:uid="{00000000-0005-0000-0000-0000483E0000}"/>
    <cellStyle name="Normal 32 2" xfId="15944" xr:uid="{00000000-0005-0000-0000-0000493E0000}"/>
    <cellStyle name="Normal 32 2 2" xfId="15945" xr:uid="{00000000-0005-0000-0000-00004A3E0000}"/>
    <cellStyle name="Normal 32 2 2 2" xfId="15946" xr:uid="{00000000-0005-0000-0000-00004B3E0000}"/>
    <cellStyle name="Normal 32 2 3" xfId="15947" xr:uid="{00000000-0005-0000-0000-00004C3E0000}"/>
    <cellStyle name="Normal 32 3" xfId="15948" xr:uid="{00000000-0005-0000-0000-00004D3E0000}"/>
    <cellStyle name="Normal 32 3 2" xfId="15949" xr:uid="{00000000-0005-0000-0000-00004E3E0000}"/>
    <cellStyle name="Normal 32 4" xfId="15950" xr:uid="{00000000-0005-0000-0000-00004F3E0000}"/>
    <cellStyle name="Normal 33" xfId="15951" xr:uid="{00000000-0005-0000-0000-0000503E0000}"/>
    <cellStyle name="Normal 34" xfId="15952" xr:uid="{00000000-0005-0000-0000-0000513E0000}"/>
    <cellStyle name="Normal 34 2" xfId="15953" xr:uid="{00000000-0005-0000-0000-0000523E0000}"/>
    <cellStyle name="Normal 34 2 2" xfId="15954" xr:uid="{00000000-0005-0000-0000-0000533E0000}"/>
    <cellStyle name="Normal 34 3" xfId="15955" xr:uid="{00000000-0005-0000-0000-0000543E0000}"/>
    <cellStyle name="Normal 35" xfId="15956" xr:uid="{00000000-0005-0000-0000-0000553E0000}"/>
    <cellStyle name="Normal 36" xfId="15957" xr:uid="{00000000-0005-0000-0000-0000563E0000}"/>
    <cellStyle name="Normal 36 2" xfId="15958" xr:uid="{00000000-0005-0000-0000-0000573E0000}"/>
    <cellStyle name="Normal 37" xfId="15959" xr:uid="{00000000-0005-0000-0000-0000583E0000}"/>
    <cellStyle name="Normal 38" xfId="15960" xr:uid="{00000000-0005-0000-0000-0000593E0000}"/>
    <cellStyle name="Normal 39" xfId="1" xr:uid="{00000000-0005-0000-0000-00005A3E0000}"/>
    <cellStyle name="Normal 4" xfId="15961" xr:uid="{00000000-0005-0000-0000-00005B3E0000}"/>
    <cellStyle name="Normal 4 2" xfId="15962" xr:uid="{00000000-0005-0000-0000-00005C3E0000}"/>
    <cellStyle name="Normal 5" xfId="15963" xr:uid="{00000000-0005-0000-0000-00005D3E0000}"/>
    <cellStyle name="Normal 6" xfId="15964" xr:uid="{00000000-0005-0000-0000-00005E3E0000}"/>
    <cellStyle name="Normal 7" xfId="15965" xr:uid="{00000000-0005-0000-0000-00005F3E0000}"/>
    <cellStyle name="Normal 8" xfId="15966" xr:uid="{00000000-0005-0000-0000-0000603E0000}"/>
    <cellStyle name="Normal 9" xfId="15967" xr:uid="{00000000-0005-0000-0000-0000613E0000}"/>
    <cellStyle name="Note 10" xfId="15968" xr:uid="{00000000-0005-0000-0000-0000623E0000}"/>
    <cellStyle name="Note 11" xfId="15969" xr:uid="{00000000-0005-0000-0000-0000633E0000}"/>
    <cellStyle name="Note 12" xfId="15970" xr:uid="{00000000-0005-0000-0000-0000643E0000}"/>
    <cellStyle name="Note 13" xfId="15971" xr:uid="{00000000-0005-0000-0000-0000653E0000}"/>
    <cellStyle name="Note 2" xfId="15972" xr:uid="{00000000-0005-0000-0000-0000663E0000}"/>
    <cellStyle name="Note 2 2" xfId="15973" xr:uid="{00000000-0005-0000-0000-0000673E0000}"/>
    <cellStyle name="Note 2 2 10" xfId="15974" xr:uid="{00000000-0005-0000-0000-0000683E0000}"/>
    <cellStyle name="Note 2 2 10 2" xfId="15975" xr:uid="{00000000-0005-0000-0000-0000693E0000}"/>
    <cellStyle name="Note 2 2 11" xfId="15976" xr:uid="{00000000-0005-0000-0000-00006A3E0000}"/>
    <cellStyle name="Note 2 2 2" xfId="15977" xr:uid="{00000000-0005-0000-0000-00006B3E0000}"/>
    <cellStyle name="Note 2 2 2 10" xfId="15978" xr:uid="{00000000-0005-0000-0000-00006C3E0000}"/>
    <cellStyle name="Note 2 2 2 2" xfId="15979" xr:uid="{00000000-0005-0000-0000-00006D3E0000}"/>
    <cellStyle name="Note 2 2 2 2 2" xfId="15980" xr:uid="{00000000-0005-0000-0000-00006E3E0000}"/>
    <cellStyle name="Note 2 2 2 2 2 2" xfId="15981" xr:uid="{00000000-0005-0000-0000-00006F3E0000}"/>
    <cellStyle name="Note 2 2 2 2 2 2 2" xfId="15982" xr:uid="{00000000-0005-0000-0000-0000703E0000}"/>
    <cellStyle name="Note 2 2 2 2 2 2 2 2" xfId="15983" xr:uid="{00000000-0005-0000-0000-0000713E0000}"/>
    <cellStyle name="Note 2 2 2 2 2 2 2 2 2" xfId="15984" xr:uid="{00000000-0005-0000-0000-0000723E0000}"/>
    <cellStyle name="Note 2 2 2 2 2 2 2 2 2 2" xfId="15985" xr:uid="{00000000-0005-0000-0000-0000733E0000}"/>
    <cellStyle name="Note 2 2 2 2 2 2 2 2 2 2 2" xfId="15986" xr:uid="{00000000-0005-0000-0000-0000743E0000}"/>
    <cellStyle name="Note 2 2 2 2 2 2 2 2 2 2 2 2" xfId="15987" xr:uid="{00000000-0005-0000-0000-0000753E0000}"/>
    <cellStyle name="Note 2 2 2 2 2 2 2 2 2 2 3" xfId="15988" xr:uid="{00000000-0005-0000-0000-0000763E0000}"/>
    <cellStyle name="Note 2 2 2 2 2 2 2 2 2 3" xfId="15989" xr:uid="{00000000-0005-0000-0000-0000773E0000}"/>
    <cellStyle name="Note 2 2 2 2 2 2 2 2 2 3 2" xfId="15990" xr:uid="{00000000-0005-0000-0000-0000783E0000}"/>
    <cellStyle name="Note 2 2 2 2 2 2 2 2 2 4" xfId="15991" xr:uid="{00000000-0005-0000-0000-0000793E0000}"/>
    <cellStyle name="Note 2 2 2 2 2 2 2 2 3" xfId="15992" xr:uid="{00000000-0005-0000-0000-00007A3E0000}"/>
    <cellStyle name="Note 2 2 2 2 2 2 2 2 3 2" xfId="15993" xr:uid="{00000000-0005-0000-0000-00007B3E0000}"/>
    <cellStyle name="Note 2 2 2 2 2 2 2 2 3 2 2" xfId="15994" xr:uid="{00000000-0005-0000-0000-00007C3E0000}"/>
    <cellStyle name="Note 2 2 2 2 2 2 2 2 3 3" xfId="15995" xr:uid="{00000000-0005-0000-0000-00007D3E0000}"/>
    <cellStyle name="Note 2 2 2 2 2 2 2 2 4" xfId="15996" xr:uid="{00000000-0005-0000-0000-00007E3E0000}"/>
    <cellStyle name="Note 2 2 2 2 2 2 2 2 4 2" xfId="15997" xr:uid="{00000000-0005-0000-0000-00007F3E0000}"/>
    <cellStyle name="Note 2 2 2 2 2 2 2 2 5" xfId="15998" xr:uid="{00000000-0005-0000-0000-0000803E0000}"/>
    <cellStyle name="Note 2 2 2 2 2 2 2 3" xfId="15999" xr:uid="{00000000-0005-0000-0000-0000813E0000}"/>
    <cellStyle name="Note 2 2 2 2 2 2 2 3 2" xfId="16000" xr:uid="{00000000-0005-0000-0000-0000823E0000}"/>
    <cellStyle name="Note 2 2 2 2 2 2 2 3 2 2" xfId="16001" xr:uid="{00000000-0005-0000-0000-0000833E0000}"/>
    <cellStyle name="Note 2 2 2 2 2 2 2 3 2 2 2" xfId="16002" xr:uid="{00000000-0005-0000-0000-0000843E0000}"/>
    <cellStyle name="Note 2 2 2 2 2 2 2 3 2 3" xfId="16003" xr:uid="{00000000-0005-0000-0000-0000853E0000}"/>
    <cellStyle name="Note 2 2 2 2 2 2 2 3 3" xfId="16004" xr:uid="{00000000-0005-0000-0000-0000863E0000}"/>
    <cellStyle name="Note 2 2 2 2 2 2 2 3 3 2" xfId="16005" xr:uid="{00000000-0005-0000-0000-0000873E0000}"/>
    <cellStyle name="Note 2 2 2 2 2 2 2 3 4" xfId="16006" xr:uid="{00000000-0005-0000-0000-0000883E0000}"/>
    <cellStyle name="Note 2 2 2 2 2 2 2 4" xfId="16007" xr:uid="{00000000-0005-0000-0000-0000893E0000}"/>
    <cellStyle name="Note 2 2 2 2 2 2 2 4 2" xfId="16008" xr:uid="{00000000-0005-0000-0000-00008A3E0000}"/>
    <cellStyle name="Note 2 2 2 2 2 2 2 4 2 2" xfId="16009" xr:uid="{00000000-0005-0000-0000-00008B3E0000}"/>
    <cellStyle name="Note 2 2 2 2 2 2 2 4 3" xfId="16010" xr:uid="{00000000-0005-0000-0000-00008C3E0000}"/>
    <cellStyle name="Note 2 2 2 2 2 2 2 5" xfId="16011" xr:uid="{00000000-0005-0000-0000-00008D3E0000}"/>
    <cellStyle name="Note 2 2 2 2 2 2 2 5 2" xfId="16012" xr:uid="{00000000-0005-0000-0000-00008E3E0000}"/>
    <cellStyle name="Note 2 2 2 2 2 2 2 6" xfId="16013" xr:uid="{00000000-0005-0000-0000-00008F3E0000}"/>
    <cellStyle name="Note 2 2 2 2 2 2 3" xfId="16014" xr:uid="{00000000-0005-0000-0000-0000903E0000}"/>
    <cellStyle name="Note 2 2 2 2 2 2 3 2" xfId="16015" xr:uid="{00000000-0005-0000-0000-0000913E0000}"/>
    <cellStyle name="Note 2 2 2 2 2 2 3 2 2" xfId="16016" xr:uid="{00000000-0005-0000-0000-0000923E0000}"/>
    <cellStyle name="Note 2 2 2 2 2 2 3 2 2 2" xfId="16017" xr:uid="{00000000-0005-0000-0000-0000933E0000}"/>
    <cellStyle name="Note 2 2 2 2 2 2 3 2 2 2 2" xfId="16018" xr:uid="{00000000-0005-0000-0000-0000943E0000}"/>
    <cellStyle name="Note 2 2 2 2 2 2 3 2 2 3" xfId="16019" xr:uid="{00000000-0005-0000-0000-0000953E0000}"/>
    <cellStyle name="Note 2 2 2 2 2 2 3 2 3" xfId="16020" xr:uid="{00000000-0005-0000-0000-0000963E0000}"/>
    <cellStyle name="Note 2 2 2 2 2 2 3 2 3 2" xfId="16021" xr:uid="{00000000-0005-0000-0000-0000973E0000}"/>
    <cellStyle name="Note 2 2 2 2 2 2 3 2 4" xfId="16022" xr:uid="{00000000-0005-0000-0000-0000983E0000}"/>
    <cellStyle name="Note 2 2 2 2 2 2 3 3" xfId="16023" xr:uid="{00000000-0005-0000-0000-0000993E0000}"/>
    <cellStyle name="Note 2 2 2 2 2 2 3 3 2" xfId="16024" xr:uid="{00000000-0005-0000-0000-00009A3E0000}"/>
    <cellStyle name="Note 2 2 2 2 2 2 3 3 2 2" xfId="16025" xr:uid="{00000000-0005-0000-0000-00009B3E0000}"/>
    <cellStyle name="Note 2 2 2 2 2 2 3 3 3" xfId="16026" xr:uid="{00000000-0005-0000-0000-00009C3E0000}"/>
    <cellStyle name="Note 2 2 2 2 2 2 3 4" xfId="16027" xr:uid="{00000000-0005-0000-0000-00009D3E0000}"/>
    <cellStyle name="Note 2 2 2 2 2 2 3 4 2" xfId="16028" xr:uid="{00000000-0005-0000-0000-00009E3E0000}"/>
    <cellStyle name="Note 2 2 2 2 2 2 3 5" xfId="16029" xr:uid="{00000000-0005-0000-0000-00009F3E0000}"/>
    <cellStyle name="Note 2 2 2 2 2 2 4" xfId="16030" xr:uid="{00000000-0005-0000-0000-0000A03E0000}"/>
    <cellStyle name="Note 2 2 2 2 2 2 4 2" xfId="16031" xr:uid="{00000000-0005-0000-0000-0000A13E0000}"/>
    <cellStyle name="Note 2 2 2 2 2 2 4 2 2" xfId="16032" xr:uid="{00000000-0005-0000-0000-0000A23E0000}"/>
    <cellStyle name="Note 2 2 2 2 2 2 4 2 2 2" xfId="16033" xr:uid="{00000000-0005-0000-0000-0000A33E0000}"/>
    <cellStyle name="Note 2 2 2 2 2 2 4 2 3" xfId="16034" xr:uid="{00000000-0005-0000-0000-0000A43E0000}"/>
    <cellStyle name="Note 2 2 2 2 2 2 4 3" xfId="16035" xr:uid="{00000000-0005-0000-0000-0000A53E0000}"/>
    <cellStyle name="Note 2 2 2 2 2 2 4 3 2" xfId="16036" xr:uid="{00000000-0005-0000-0000-0000A63E0000}"/>
    <cellStyle name="Note 2 2 2 2 2 2 4 4" xfId="16037" xr:uid="{00000000-0005-0000-0000-0000A73E0000}"/>
    <cellStyle name="Note 2 2 2 2 2 2 5" xfId="16038" xr:uid="{00000000-0005-0000-0000-0000A83E0000}"/>
    <cellStyle name="Note 2 2 2 2 2 2 5 2" xfId="16039" xr:uid="{00000000-0005-0000-0000-0000A93E0000}"/>
    <cellStyle name="Note 2 2 2 2 2 2 5 2 2" xfId="16040" xr:uid="{00000000-0005-0000-0000-0000AA3E0000}"/>
    <cellStyle name="Note 2 2 2 2 2 2 5 3" xfId="16041" xr:uid="{00000000-0005-0000-0000-0000AB3E0000}"/>
    <cellStyle name="Note 2 2 2 2 2 2 6" xfId="16042" xr:uid="{00000000-0005-0000-0000-0000AC3E0000}"/>
    <cellStyle name="Note 2 2 2 2 2 2 6 2" xfId="16043" xr:uid="{00000000-0005-0000-0000-0000AD3E0000}"/>
    <cellStyle name="Note 2 2 2 2 2 2 7" xfId="16044" xr:uid="{00000000-0005-0000-0000-0000AE3E0000}"/>
    <cellStyle name="Note 2 2 2 2 2 3" xfId="16045" xr:uid="{00000000-0005-0000-0000-0000AF3E0000}"/>
    <cellStyle name="Note 2 2 2 2 2 3 2" xfId="16046" xr:uid="{00000000-0005-0000-0000-0000B03E0000}"/>
    <cellStyle name="Note 2 2 2 2 2 3 2 2" xfId="16047" xr:uid="{00000000-0005-0000-0000-0000B13E0000}"/>
    <cellStyle name="Note 2 2 2 2 2 3 2 2 2" xfId="16048" xr:uid="{00000000-0005-0000-0000-0000B23E0000}"/>
    <cellStyle name="Note 2 2 2 2 2 3 2 2 2 2" xfId="16049" xr:uid="{00000000-0005-0000-0000-0000B33E0000}"/>
    <cellStyle name="Note 2 2 2 2 2 3 2 2 2 2 2" xfId="16050" xr:uid="{00000000-0005-0000-0000-0000B43E0000}"/>
    <cellStyle name="Note 2 2 2 2 2 3 2 2 2 3" xfId="16051" xr:uid="{00000000-0005-0000-0000-0000B53E0000}"/>
    <cellStyle name="Note 2 2 2 2 2 3 2 2 3" xfId="16052" xr:uid="{00000000-0005-0000-0000-0000B63E0000}"/>
    <cellStyle name="Note 2 2 2 2 2 3 2 2 3 2" xfId="16053" xr:uid="{00000000-0005-0000-0000-0000B73E0000}"/>
    <cellStyle name="Note 2 2 2 2 2 3 2 2 4" xfId="16054" xr:uid="{00000000-0005-0000-0000-0000B83E0000}"/>
    <cellStyle name="Note 2 2 2 2 2 3 2 3" xfId="16055" xr:uid="{00000000-0005-0000-0000-0000B93E0000}"/>
    <cellStyle name="Note 2 2 2 2 2 3 2 3 2" xfId="16056" xr:uid="{00000000-0005-0000-0000-0000BA3E0000}"/>
    <cellStyle name="Note 2 2 2 2 2 3 2 3 2 2" xfId="16057" xr:uid="{00000000-0005-0000-0000-0000BB3E0000}"/>
    <cellStyle name="Note 2 2 2 2 2 3 2 3 3" xfId="16058" xr:uid="{00000000-0005-0000-0000-0000BC3E0000}"/>
    <cellStyle name="Note 2 2 2 2 2 3 2 4" xfId="16059" xr:uid="{00000000-0005-0000-0000-0000BD3E0000}"/>
    <cellStyle name="Note 2 2 2 2 2 3 2 4 2" xfId="16060" xr:uid="{00000000-0005-0000-0000-0000BE3E0000}"/>
    <cellStyle name="Note 2 2 2 2 2 3 2 5" xfId="16061" xr:uid="{00000000-0005-0000-0000-0000BF3E0000}"/>
    <cellStyle name="Note 2 2 2 2 2 3 3" xfId="16062" xr:uid="{00000000-0005-0000-0000-0000C03E0000}"/>
    <cellStyle name="Note 2 2 2 2 2 3 3 2" xfId="16063" xr:uid="{00000000-0005-0000-0000-0000C13E0000}"/>
    <cellStyle name="Note 2 2 2 2 2 3 3 2 2" xfId="16064" xr:uid="{00000000-0005-0000-0000-0000C23E0000}"/>
    <cellStyle name="Note 2 2 2 2 2 3 3 2 2 2" xfId="16065" xr:uid="{00000000-0005-0000-0000-0000C33E0000}"/>
    <cellStyle name="Note 2 2 2 2 2 3 3 2 3" xfId="16066" xr:uid="{00000000-0005-0000-0000-0000C43E0000}"/>
    <cellStyle name="Note 2 2 2 2 2 3 3 3" xfId="16067" xr:uid="{00000000-0005-0000-0000-0000C53E0000}"/>
    <cellStyle name="Note 2 2 2 2 2 3 3 3 2" xfId="16068" xr:uid="{00000000-0005-0000-0000-0000C63E0000}"/>
    <cellStyle name="Note 2 2 2 2 2 3 3 4" xfId="16069" xr:uid="{00000000-0005-0000-0000-0000C73E0000}"/>
    <cellStyle name="Note 2 2 2 2 2 3 4" xfId="16070" xr:uid="{00000000-0005-0000-0000-0000C83E0000}"/>
    <cellStyle name="Note 2 2 2 2 2 3 4 2" xfId="16071" xr:uid="{00000000-0005-0000-0000-0000C93E0000}"/>
    <cellStyle name="Note 2 2 2 2 2 3 4 2 2" xfId="16072" xr:uid="{00000000-0005-0000-0000-0000CA3E0000}"/>
    <cellStyle name="Note 2 2 2 2 2 3 4 3" xfId="16073" xr:uid="{00000000-0005-0000-0000-0000CB3E0000}"/>
    <cellStyle name="Note 2 2 2 2 2 3 5" xfId="16074" xr:uid="{00000000-0005-0000-0000-0000CC3E0000}"/>
    <cellStyle name="Note 2 2 2 2 2 3 5 2" xfId="16075" xr:uid="{00000000-0005-0000-0000-0000CD3E0000}"/>
    <cellStyle name="Note 2 2 2 2 2 3 6" xfId="16076" xr:uid="{00000000-0005-0000-0000-0000CE3E0000}"/>
    <cellStyle name="Note 2 2 2 2 2 4" xfId="16077" xr:uid="{00000000-0005-0000-0000-0000CF3E0000}"/>
    <cellStyle name="Note 2 2 2 2 2 4 2" xfId="16078" xr:uid="{00000000-0005-0000-0000-0000D03E0000}"/>
    <cellStyle name="Note 2 2 2 2 2 4 2 2" xfId="16079" xr:uid="{00000000-0005-0000-0000-0000D13E0000}"/>
    <cellStyle name="Note 2 2 2 2 2 4 2 2 2" xfId="16080" xr:uid="{00000000-0005-0000-0000-0000D23E0000}"/>
    <cellStyle name="Note 2 2 2 2 2 4 2 2 2 2" xfId="16081" xr:uid="{00000000-0005-0000-0000-0000D33E0000}"/>
    <cellStyle name="Note 2 2 2 2 2 4 2 2 3" xfId="16082" xr:uid="{00000000-0005-0000-0000-0000D43E0000}"/>
    <cellStyle name="Note 2 2 2 2 2 4 2 3" xfId="16083" xr:uid="{00000000-0005-0000-0000-0000D53E0000}"/>
    <cellStyle name="Note 2 2 2 2 2 4 2 3 2" xfId="16084" xr:uid="{00000000-0005-0000-0000-0000D63E0000}"/>
    <cellStyle name="Note 2 2 2 2 2 4 2 4" xfId="16085" xr:uid="{00000000-0005-0000-0000-0000D73E0000}"/>
    <cellStyle name="Note 2 2 2 2 2 4 3" xfId="16086" xr:uid="{00000000-0005-0000-0000-0000D83E0000}"/>
    <cellStyle name="Note 2 2 2 2 2 4 3 2" xfId="16087" xr:uid="{00000000-0005-0000-0000-0000D93E0000}"/>
    <cellStyle name="Note 2 2 2 2 2 4 3 2 2" xfId="16088" xr:uid="{00000000-0005-0000-0000-0000DA3E0000}"/>
    <cellStyle name="Note 2 2 2 2 2 4 3 3" xfId="16089" xr:uid="{00000000-0005-0000-0000-0000DB3E0000}"/>
    <cellStyle name="Note 2 2 2 2 2 4 4" xfId="16090" xr:uid="{00000000-0005-0000-0000-0000DC3E0000}"/>
    <cellStyle name="Note 2 2 2 2 2 4 4 2" xfId="16091" xr:uid="{00000000-0005-0000-0000-0000DD3E0000}"/>
    <cellStyle name="Note 2 2 2 2 2 4 5" xfId="16092" xr:uid="{00000000-0005-0000-0000-0000DE3E0000}"/>
    <cellStyle name="Note 2 2 2 2 2 5" xfId="16093" xr:uid="{00000000-0005-0000-0000-0000DF3E0000}"/>
    <cellStyle name="Note 2 2 2 2 2 5 2" xfId="16094" xr:uid="{00000000-0005-0000-0000-0000E03E0000}"/>
    <cellStyle name="Note 2 2 2 2 2 5 2 2" xfId="16095" xr:uid="{00000000-0005-0000-0000-0000E13E0000}"/>
    <cellStyle name="Note 2 2 2 2 2 5 2 2 2" xfId="16096" xr:uid="{00000000-0005-0000-0000-0000E23E0000}"/>
    <cellStyle name="Note 2 2 2 2 2 5 2 3" xfId="16097" xr:uid="{00000000-0005-0000-0000-0000E33E0000}"/>
    <cellStyle name="Note 2 2 2 2 2 5 3" xfId="16098" xr:uid="{00000000-0005-0000-0000-0000E43E0000}"/>
    <cellStyle name="Note 2 2 2 2 2 5 3 2" xfId="16099" xr:uid="{00000000-0005-0000-0000-0000E53E0000}"/>
    <cellStyle name="Note 2 2 2 2 2 5 4" xfId="16100" xr:uid="{00000000-0005-0000-0000-0000E63E0000}"/>
    <cellStyle name="Note 2 2 2 2 2 6" xfId="16101" xr:uid="{00000000-0005-0000-0000-0000E73E0000}"/>
    <cellStyle name="Note 2 2 2 2 2 6 2" xfId="16102" xr:uid="{00000000-0005-0000-0000-0000E83E0000}"/>
    <cellStyle name="Note 2 2 2 2 2 6 2 2" xfId="16103" xr:uid="{00000000-0005-0000-0000-0000E93E0000}"/>
    <cellStyle name="Note 2 2 2 2 2 6 3" xfId="16104" xr:uid="{00000000-0005-0000-0000-0000EA3E0000}"/>
    <cellStyle name="Note 2 2 2 2 2 7" xfId="16105" xr:uid="{00000000-0005-0000-0000-0000EB3E0000}"/>
    <cellStyle name="Note 2 2 2 2 2 7 2" xfId="16106" xr:uid="{00000000-0005-0000-0000-0000EC3E0000}"/>
    <cellStyle name="Note 2 2 2 2 2 8" xfId="16107" xr:uid="{00000000-0005-0000-0000-0000ED3E0000}"/>
    <cellStyle name="Note 2 2 2 2 3" xfId="16108" xr:uid="{00000000-0005-0000-0000-0000EE3E0000}"/>
    <cellStyle name="Note 2 2 2 2 3 2" xfId="16109" xr:uid="{00000000-0005-0000-0000-0000EF3E0000}"/>
    <cellStyle name="Note 2 2 2 2 3 2 2" xfId="16110" xr:uid="{00000000-0005-0000-0000-0000F03E0000}"/>
    <cellStyle name="Note 2 2 2 2 3 2 2 2" xfId="16111" xr:uid="{00000000-0005-0000-0000-0000F13E0000}"/>
    <cellStyle name="Note 2 2 2 2 3 2 2 2 2" xfId="16112" xr:uid="{00000000-0005-0000-0000-0000F23E0000}"/>
    <cellStyle name="Note 2 2 2 2 3 2 2 2 2 2" xfId="16113" xr:uid="{00000000-0005-0000-0000-0000F33E0000}"/>
    <cellStyle name="Note 2 2 2 2 3 2 2 2 2 2 2" xfId="16114" xr:uid="{00000000-0005-0000-0000-0000F43E0000}"/>
    <cellStyle name="Note 2 2 2 2 3 2 2 2 2 3" xfId="16115" xr:uid="{00000000-0005-0000-0000-0000F53E0000}"/>
    <cellStyle name="Note 2 2 2 2 3 2 2 2 3" xfId="16116" xr:uid="{00000000-0005-0000-0000-0000F63E0000}"/>
    <cellStyle name="Note 2 2 2 2 3 2 2 2 3 2" xfId="16117" xr:uid="{00000000-0005-0000-0000-0000F73E0000}"/>
    <cellStyle name="Note 2 2 2 2 3 2 2 2 4" xfId="16118" xr:uid="{00000000-0005-0000-0000-0000F83E0000}"/>
    <cellStyle name="Note 2 2 2 2 3 2 2 3" xfId="16119" xr:uid="{00000000-0005-0000-0000-0000F93E0000}"/>
    <cellStyle name="Note 2 2 2 2 3 2 2 3 2" xfId="16120" xr:uid="{00000000-0005-0000-0000-0000FA3E0000}"/>
    <cellStyle name="Note 2 2 2 2 3 2 2 3 2 2" xfId="16121" xr:uid="{00000000-0005-0000-0000-0000FB3E0000}"/>
    <cellStyle name="Note 2 2 2 2 3 2 2 3 3" xfId="16122" xr:uid="{00000000-0005-0000-0000-0000FC3E0000}"/>
    <cellStyle name="Note 2 2 2 2 3 2 2 4" xfId="16123" xr:uid="{00000000-0005-0000-0000-0000FD3E0000}"/>
    <cellStyle name="Note 2 2 2 2 3 2 2 4 2" xfId="16124" xr:uid="{00000000-0005-0000-0000-0000FE3E0000}"/>
    <cellStyle name="Note 2 2 2 2 3 2 2 5" xfId="16125" xr:uid="{00000000-0005-0000-0000-0000FF3E0000}"/>
    <cellStyle name="Note 2 2 2 2 3 2 3" xfId="16126" xr:uid="{00000000-0005-0000-0000-0000003F0000}"/>
    <cellStyle name="Note 2 2 2 2 3 2 3 2" xfId="16127" xr:uid="{00000000-0005-0000-0000-0000013F0000}"/>
    <cellStyle name="Note 2 2 2 2 3 2 3 2 2" xfId="16128" xr:uid="{00000000-0005-0000-0000-0000023F0000}"/>
    <cellStyle name="Note 2 2 2 2 3 2 3 2 2 2" xfId="16129" xr:uid="{00000000-0005-0000-0000-0000033F0000}"/>
    <cellStyle name="Note 2 2 2 2 3 2 3 2 3" xfId="16130" xr:uid="{00000000-0005-0000-0000-0000043F0000}"/>
    <cellStyle name="Note 2 2 2 2 3 2 3 3" xfId="16131" xr:uid="{00000000-0005-0000-0000-0000053F0000}"/>
    <cellStyle name="Note 2 2 2 2 3 2 3 3 2" xfId="16132" xr:uid="{00000000-0005-0000-0000-0000063F0000}"/>
    <cellStyle name="Note 2 2 2 2 3 2 3 4" xfId="16133" xr:uid="{00000000-0005-0000-0000-0000073F0000}"/>
    <cellStyle name="Note 2 2 2 2 3 2 4" xfId="16134" xr:uid="{00000000-0005-0000-0000-0000083F0000}"/>
    <cellStyle name="Note 2 2 2 2 3 2 4 2" xfId="16135" xr:uid="{00000000-0005-0000-0000-0000093F0000}"/>
    <cellStyle name="Note 2 2 2 2 3 2 4 2 2" xfId="16136" xr:uid="{00000000-0005-0000-0000-00000A3F0000}"/>
    <cellStyle name="Note 2 2 2 2 3 2 4 3" xfId="16137" xr:uid="{00000000-0005-0000-0000-00000B3F0000}"/>
    <cellStyle name="Note 2 2 2 2 3 2 5" xfId="16138" xr:uid="{00000000-0005-0000-0000-00000C3F0000}"/>
    <cellStyle name="Note 2 2 2 2 3 2 5 2" xfId="16139" xr:uid="{00000000-0005-0000-0000-00000D3F0000}"/>
    <cellStyle name="Note 2 2 2 2 3 2 6" xfId="16140" xr:uid="{00000000-0005-0000-0000-00000E3F0000}"/>
    <cellStyle name="Note 2 2 2 2 3 3" xfId="16141" xr:uid="{00000000-0005-0000-0000-00000F3F0000}"/>
    <cellStyle name="Note 2 2 2 2 3 3 2" xfId="16142" xr:uid="{00000000-0005-0000-0000-0000103F0000}"/>
    <cellStyle name="Note 2 2 2 2 3 3 2 2" xfId="16143" xr:uid="{00000000-0005-0000-0000-0000113F0000}"/>
    <cellStyle name="Note 2 2 2 2 3 3 2 2 2" xfId="16144" xr:uid="{00000000-0005-0000-0000-0000123F0000}"/>
    <cellStyle name="Note 2 2 2 2 3 3 2 2 2 2" xfId="16145" xr:uid="{00000000-0005-0000-0000-0000133F0000}"/>
    <cellStyle name="Note 2 2 2 2 3 3 2 2 3" xfId="16146" xr:uid="{00000000-0005-0000-0000-0000143F0000}"/>
    <cellStyle name="Note 2 2 2 2 3 3 2 3" xfId="16147" xr:uid="{00000000-0005-0000-0000-0000153F0000}"/>
    <cellStyle name="Note 2 2 2 2 3 3 2 3 2" xfId="16148" xr:uid="{00000000-0005-0000-0000-0000163F0000}"/>
    <cellStyle name="Note 2 2 2 2 3 3 2 4" xfId="16149" xr:uid="{00000000-0005-0000-0000-0000173F0000}"/>
    <cellStyle name="Note 2 2 2 2 3 3 3" xfId="16150" xr:uid="{00000000-0005-0000-0000-0000183F0000}"/>
    <cellStyle name="Note 2 2 2 2 3 3 3 2" xfId="16151" xr:uid="{00000000-0005-0000-0000-0000193F0000}"/>
    <cellStyle name="Note 2 2 2 2 3 3 3 2 2" xfId="16152" xr:uid="{00000000-0005-0000-0000-00001A3F0000}"/>
    <cellStyle name="Note 2 2 2 2 3 3 3 3" xfId="16153" xr:uid="{00000000-0005-0000-0000-00001B3F0000}"/>
    <cellStyle name="Note 2 2 2 2 3 3 4" xfId="16154" xr:uid="{00000000-0005-0000-0000-00001C3F0000}"/>
    <cellStyle name="Note 2 2 2 2 3 3 4 2" xfId="16155" xr:uid="{00000000-0005-0000-0000-00001D3F0000}"/>
    <cellStyle name="Note 2 2 2 2 3 3 5" xfId="16156" xr:uid="{00000000-0005-0000-0000-00001E3F0000}"/>
    <cellStyle name="Note 2 2 2 2 3 4" xfId="16157" xr:uid="{00000000-0005-0000-0000-00001F3F0000}"/>
    <cellStyle name="Note 2 2 2 2 3 4 2" xfId="16158" xr:uid="{00000000-0005-0000-0000-0000203F0000}"/>
    <cellStyle name="Note 2 2 2 2 3 4 2 2" xfId="16159" xr:uid="{00000000-0005-0000-0000-0000213F0000}"/>
    <cellStyle name="Note 2 2 2 2 3 4 2 2 2" xfId="16160" xr:uid="{00000000-0005-0000-0000-0000223F0000}"/>
    <cellStyle name="Note 2 2 2 2 3 4 2 3" xfId="16161" xr:uid="{00000000-0005-0000-0000-0000233F0000}"/>
    <cellStyle name="Note 2 2 2 2 3 4 3" xfId="16162" xr:uid="{00000000-0005-0000-0000-0000243F0000}"/>
    <cellStyle name="Note 2 2 2 2 3 4 3 2" xfId="16163" xr:uid="{00000000-0005-0000-0000-0000253F0000}"/>
    <cellStyle name="Note 2 2 2 2 3 4 4" xfId="16164" xr:uid="{00000000-0005-0000-0000-0000263F0000}"/>
    <cellStyle name="Note 2 2 2 2 3 5" xfId="16165" xr:uid="{00000000-0005-0000-0000-0000273F0000}"/>
    <cellStyle name="Note 2 2 2 2 3 5 2" xfId="16166" xr:uid="{00000000-0005-0000-0000-0000283F0000}"/>
    <cellStyle name="Note 2 2 2 2 3 5 2 2" xfId="16167" xr:uid="{00000000-0005-0000-0000-0000293F0000}"/>
    <cellStyle name="Note 2 2 2 2 3 5 3" xfId="16168" xr:uid="{00000000-0005-0000-0000-00002A3F0000}"/>
    <cellStyle name="Note 2 2 2 2 3 6" xfId="16169" xr:uid="{00000000-0005-0000-0000-00002B3F0000}"/>
    <cellStyle name="Note 2 2 2 2 3 6 2" xfId="16170" xr:uid="{00000000-0005-0000-0000-00002C3F0000}"/>
    <cellStyle name="Note 2 2 2 2 3 7" xfId="16171" xr:uid="{00000000-0005-0000-0000-00002D3F0000}"/>
    <cellStyle name="Note 2 2 2 2 4" xfId="16172" xr:uid="{00000000-0005-0000-0000-00002E3F0000}"/>
    <cellStyle name="Note 2 2 2 2 4 2" xfId="16173" xr:uid="{00000000-0005-0000-0000-00002F3F0000}"/>
    <cellStyle name="Note 2 2 2 2 4 2 2" xfId="16174" xr:uid="{00000000-0005-0000-0000-0000303F0000}"/>
    <cellStyle name="Note 2 2 2 2 4 2 2 2" xfId="16175" xr:uid="{00000000-0005-0000-0000-0000313F0000}"/>
    <cellStyle name="Note 2 2 2 2 4 2 2 2 2" xfId="16176" xr:uid="{00000000-0005-0000-0000-0000323F0000}"/>
    <cellStyle name="Note 2 2 2 2 4 2 2 2 2 2" xfId="16177" xr:uid="{00000000-0005-0000-0000-0000333F0000}"/>
    <cellStyle name="Note 2 2 2 2 4 2 2 2 3" xfId="16178" xr:uid="{00000000-0005-0000-0000-0000343F0000}"/>
    <cellStyle name="Note 2 2 2 2 4 2 2 3" xfId="16179" xr:uid="{00000000-0005-0000-0000-0000353F0000}"/>
    <cellStyle name="Note 2 2 2 2 4 2 2 3 2" xfId="16180" xr:uid="{00000000-0005-0000-0000-0000363F0000}"/>
    <cellStyle name="Note 2 2 2 2 4 2 2 4" xfId="16181" xr:uid="{00000000-0005-0000-0000-0000373F0000}"/>
    <cellStyle name="Note 2 2 2 2 4 2 3" xfId="16182" xr:uid="{00000000-0005-0000-0000-0000383F0000}"/>
    <cellStyle name="Note 2 2 2 2 4 2 3 2" xfId="16183" xr:uid="{00000000-0005-0000-0000-0000393F0000}"/>
    <cellStyle name="Note 2 2 2 2 4 2 3 2 2" xfId="16184" xr:uid="{00000000-0005-0000-0000-00003A3F0000}"/>
    <cellStyle name="Note 2 2 2 2 4 2 3 3" xfId="16185" xr:uid="{00000000-0005-0000-0000-00003B3F0000}"/>
    <cellStyle name="Note 2 2 2 2 4 2 4" xfId="16186" xr:uid="{00000000-0005-0000-0000-00003C3F0000}"/>
    <cellStyle name="Note 2 2 2 2 4 2 4 2" xfId="16187" xr:uid="{00000000-0005-0000-0000-00003D3F0000}"/>
    <cellStyle name="Note 2 2 2 2 4 2 5" xfId="16188" xr:uid="{00000000-0005-0000-0000-00003E3F0000}"/>
    <cellStyle name="Note 2 2 2 2 4 3" xfId="16189" xr:uid="{00000000-0005-0000-0000-00003F3F0000}"/>
    <cellStyle name="Note 2 2 2 2 4 3 2" xfId="16190" xr:uid="{00000000-0005-0000-0000-0000403F0000}"/>
    <cellStyle name="Note 2 2 2 2 4 3 2 2" xfId="16191" xr:uid="{00000000-0005-0000-0000-0000413F0000}"/>
    <cellStyle name="Note 2 2 2 2 4 3 2 2 2" xfId="16192" xr:uid="{00000000-0005-0000-0000-0000423F0000}"/>
    <cellStyle name="Note 2 2 2 2 4 3 2 3" xfId="16193" xr:uid="{00000000-0005-0000-0000-0000433F0000}"/>
    <cellStyle name="Note 2 2 2 2 4 3 3" xfId="16194" xr:uid="{00000000-0005-0000-0000-0000443F0000}"/>
    <cellStyle name="Note 2 2 2 2 4 3 3 2" xfId="16195" xr:uid="{00000000-0005-0000-0000-0000453F0000}"/>
    <cellStyle name="Note 2 2 2 2 4 3 4" xfId="16196" xr:uid="{00000000-0005-0000-0000-0000463F0000}"/>
    <cellStyle name="Note 2 2 2 2 4 4" xfId="16197" xr:uid="{00000000-0005-0000-0000-0000473F0000}"/>
    <cellStyle name="Note 2 2 2 2 4 4 2" xfId="16198" xr:uid="{00000000-0005-0000-0000-0000483F0000}"/>
    <cellStyle name="Note 2 2 2 2 4 4 2 2" xfId="16199" xr:uid="{00000000-0005-0000-0000-0000493F0000}"/>
    <cellStyle name="Note 2 2 2 2 4 4 3" xfId="16200" xr:uid="{00000000-0005-0000-0000-00004A3F0000}"/>
    <cellStyle name="Note 2 2 2 2 4 5" xfId="16201" xr:uid="{00000000-0005-0000-0000-00004B3F0000}"/>
    <cellStyle name="Note 2 2 2 2 4 5 2" xfId="16202" xr:uid="{00000000-0005-0000-0000-00004C3F0000}"/>
    <cellStyle name="Note 2 2 2 2 4 6" xfId="16203" xr:uid="{00000000-0005-0000-0000-00004D3F0000}"/>
    <cellStyle name="Note 2 2 2 2 5" xfId="16204" xr:uid="{00000000-0005-0000-0000-00004E3F0000}"/>
    <cellStyle name="Note 2 2 2 2 5 2" xfId="16205" xr:uid="{00000000-0005-0000-0000-00004F3F0000}"/>
    <cellStyle name="Note 2 2 2 2 5 2 2" xfId="16206" xr:uid="{00000000-0005-0000-0000-0000503F0000}"/>
    <cellStyle name="Note 2 2 2 2 5 2 2 2" xfId="16207" xr:uid="{00000000-0005-0000-0000-0000513F0000}"/>
    <cellStyle name="Note 2 2 2 2 5 2 2 2 2" xfId="16208" xr:uid="{00000000-0005-0000-0000-0000523F0000}"/>
    <cellStyle name="Note 2 2 2 2 5 2 2 3" xfId="16209" xr:uid="{00000000-0005-0000-0000-0000533F0000}"/>
    <cellStyle name="Note 2 2 2 2 5 2 3" xfId="16210" xr:uid="{00000000-0005-0000-0000-0000543F0000}"/>
    <cellStyle name="Note 2 2 2 2 5 2 3 2" xfId="16211" xr:uid="{00000000-0005-0000-0000-0000553F0000}"/>
    <cellStyle name="Note 2 2 2 2 5 2 4" xfId="16212" xr:uid="{00000000-0005-0000-0000-0000563F0000}"/>
    <cellStyle name="Note 2 2 2 2 5 3" xfId="16213" xr:uid="{00000000-0005-0000-0000-0000573F0000}"/>
    <cellStyle name="Note 2 2 2 2 5 3 2" xfId="16214" xr:uid="{00000000-0005-0000-0000-0000583F0000}"/>
    <cellStyle name="Note 2 2 2 2 5 3 2 2" xfId="16215" xr:uid="{00000000-0005-0000-0000-0000593F0000}"/>
    <cellStyle name="Note 2 2 2 2 5 3 3" xfId="16216" xr:uid="{00000000-0005-0000-0000-00005A3F0000}"/>
    <cellStyle name="Note 2 2 2 2 5 4" xfId="16217" xr:uid="{00000000-0005-0000-0000-00005B3F0000}"/>
    <cellStyle name="Note 2 2 2 2 5 4 2" xfId="16218" xr:uid="{00000000-0005-0000-0000-00005C3F0000}"/>
    <cellStyle name="Note 2 2 2 2 5 5" xfId="16219" xr:uid="{00000000-0005-0000-0000-00005D3F0000}"/>
    <cellStyle name="Note 2 2 2 2 6" xfId="16220" xr:uid="{00000000-0005-0000-0000-00005E3F0000}"/>
    <cellStyle name="Note 2 2 2 2 6 2" xfId="16221" xr:uid="{00000000-0005-0000-0000-00005F3F0000}"/>
    <cellStyle name="Note 2 2 2 2 6 2 2" xfId="16222" xr:uid="{00000000-0005-0000-0000-0000603F0000}"/>
    <cellStyle name="Note 2 2 2 2 6 2 2 2" xfId="16223" xr:uid="{00000000-0005-0000-0000-0000613F0000}"/>
    <cellStyle name="Note 2 2 2 2 6 2 3" xfId="16224" xr:uid="{00000000-0005-0000-0000-0000623F0000}"/>
    <cellStyle name="Note 2 2 2 2 6 3" xfId="16225" xr:uid="{00000000-0005-0000-0000-0000633F0000}"/>
    <cellStyle name="Note 2 2 2 2 6 3 2" xfId="16226" xr:uid="{00000000-0005-0000-0000-0000643F0000}"/>
    <cellStyle name="Note 2 2 2 2 6 4" xfId="16227" xr:uid="{00000000-0005-0000-0000-0000653F0000}"/>
    <cellStyle name="Note 2 2 2 2 7" xfId="16228" xr:uid="{00000000-0005-0000-0000-0000663F0000}"/>
    <cellStyle name="Note 2 2 2 2 7 2" xfId="16229" xr:uid="{00000000-0005-0000-0000-0000673F0000}"/>
    <cellStyle name="Note 2 2 2 2 7 2 2" xfId="16230" xr:uid="{00000000-0005-0000-0000-0000683F0000}"/>
    <cellStyle name="Note 2 2 2 2 7 3" xfId="16231" xr:uid="{00000000-0005-0000-0000-0000693F0000}"/>
    <cellStyle name="Note 2 2 2 2 8" xfId="16232" xr:uid="{00000000-0005-0000-0000-00006A3F0000}"/>
    <cellStyle name="Note 2 2 2 2 8 2" xfId="16233" xr:uid="{00000000-0005-0000-0000-00006B3F0000}"/>
    <cellStyle name="Note 2 2 2 2 9" xfId="16234" xr:uid="{00000000-0005-0000-0000-00006C3F0000}"/>
    <cellStyle name="Note 2 2 2 3" xfId="16235" xr:uid="{00000000-0005-0000-0000-00006D3F0000}"/>
    <cellStyle name="Note 2 2 2 3 2" xfId="16236" xr:uid="{00000000-0005-0000-0000-00006E3F0000}"/>
    <cellStyle name="Note 2 2 2 3 2 2" xfId="16237" xr:uid="{00000000-0005-0000-0000-00006F3F0000}"/>
    <cellStyle name="Note 2 2 2 3 2 2 2" xfId="16238" xr:uid="{00000000-0005-0000-0000-0000703F0000}"/>
    <cellStyle name="Note 2 2 2 3 2 2 2 2" xfId="16239" xr:uid="{00000000-0005-0000-0000-0000713F0000}"/>
    <cellStyle name="Note 2 2 2 3 2 2 2 2 2" xfId="16240" xr:uid="{00000000-0005-0000-0000-0000723F0000}"/>
    <cellStyle name="Note 2 2 2 3 2 2 2 2 2 2" xfId="16241" xr:uid="{00000000-0005-0000-0000-0000733F0000}"/>
    <cellStyle name="Note 2 2 2 3 2 2 2 2 2 2 2" xfId="16242" xr:uid="{00000000-0005-0000-0000-0000743F0000}"/>
    <cellStyle name="Note 2 2 2 3 2 2 2 2 2 3" xfId="16243" xr:uid="{00000000-0005-0000-0000-0000753F0000}"/>
    <cellStyle name="Note 2 2 2 3 2 2 2 2 3" xfId="16244" xr:uid="{00000000-0005-0000-0000-0000763F0000}"/>
    <cellStyle name="Note 2 2 2 3 2 2 2 2 3 2" xfId="16245" xr:uid="{00000000-0005-0000-0000-0000773F0000}"/>
    <cellStyle name="Note 2 2 2 3 2 2 2 2 4" xfId="16246" xr:uid="{00000000-0005-0000-0000-0000783F0000}"/>
    <cellStyle name="Note 2 2 2 3 2 2 2 3" xfId="16247" xr:uid="{00000000-0005-0000-0000-0000793F0000}"/>
    <cellStyle name="Note 2 2 2 3 2 2 2 3 2" xfId="16248" xr:uid="{00000000-0005-0000-0000-00007A3F0000}"/>
    <cellStyle name="Note 2 2 2 3 2 2 2 3 2 2" xfId="16249" xr:uid="{00000000-0005-0000-0000-00007B3F0000}"/>
    <cellStyle name="Note 2 2 2 3 2 2 2 3 3" xfId="16250" xr:uid="{00000000-0005-0000-0000-00007C3F0000}"/>
    <cellStyle name="Note 2 2 2 3 2 2 2 4" xfId="16251" xr:uid="{00000000-0005-0000-0000-00007D3F0000}"/>
    <cellStyle name="Note 2 2 2 3 2 2 2 4 2" xfId="16252" xr:uid="{00000000-0005-0000-0000-00007E3F0000}"/>
    <cellStyle name="Note 2 2 2 3 2 2 2 5" xfId="16253" xr:uid="{00000000-0005-0000-0000-00007F3F0000}"/>
    <cellStyle name="Note 2 2 2 3 2 2 3" xfId="16254" xr:uid="{00000000-0005-0000-0000-0000803F0000}"/>
    <cellStyle name="Note 2 2 2 3 2 2 3 2" xfId="16255" xr:uid="{00000000-0005-0000-0000-0000813F0000}"/>
    <cellStyle name="Note 2 2 2 3 2 2 3 2 2" xfId="16256" xr:uid="{00000000-0005-0000-0000-0000823F0000}"/>
    <cellStyle name="Note 2 2 2 3 2 2 3 2 2 2" xfId="16257" xr:uid="{00000000-0005-0000-0000-0000833F0000}"/>
    <cellStyle name="Note 2 2 2 3 2 2 3 2 3" xfId="16258" xr:uid="{00000000-0005-0000-0000-0000843F0000}"/>
    <cellStyle name="Note 2 2 2 3 2 2 3 3" xfId="16259" xr:uid="{00000000-0005-0000-0000-0000853F0000}"/>
    <cellStyle name="Note 2 2 2 3 2 2 3 3 2" xfId="16260" xr:uid="{00000000-0005-0000-0000-0000863F0000}"/>
    <cellStyle name="Note 2 2 2 3 2 2 3 4" xfId="16261" xr:uid="{00000000-0005-0000-0000-0000873F0000}"/>
    <cellStyle name="Note 2 2 2 3 2 2 4" xfId="16262" xr:uid="{00000000-0005-0000-0000-0000883F0000}"/>
    <cellStyle name="Note 2 2 2 3 2 2 4 2" xfId="16263" xr:uid="{00000000-0005-0000-0000-0000893F0000}"/>
    <cellStyle name="Note 2 2 2 3 2 2 4 2 2" xfId="16264" xr:uid="{00000000-0005-0000-0000-00008A3F0000}"/>
    <cellStyle name="Note 2 2 2 3 2 2 4 3" xfId="16265" xr:uid="{00000000-0005-0000-0000-00008B3F0000}"/>
    <cellStyle name="Note 2 2 2 3 2 2 5" xfId="16266" xr:uid="{00000000-0005-0000-0000-00008C3F0000}"/>
    <cellStyle name="Note 2 2 2 3 2 2 5 2" xfId="16267" xr:uid="{00000000-0005-0000-0000-00008D3F0000}"/>
    <cellStyle name="Note 2 2 2 3 2 2 6" xfId="16268" xr:uid="{00000000-0005-0000-0000-00008E3F0000}"/>
    <cellStyle name="Note 2 2 2 3 2 3" xfId="16269" xr:uid="{00000000-0005-0000-0000-00008F3F0000}"/>
    <cellStyle name="Note 2 2 2 3 2 3 2" xfId="16270" xr:uid="{00000000-0005-0000-0000-0000903F0000}"/>
    <cellStyle name="Note 2 2 2 3 2 3 2 2" xfId="16271" xr:uid="{00000000-0005-0000-0000-0000913F0000}"/>
    <cellStyle name="Note 2 2 2 3 2 3 2 2 2" xfId="16272" xr:uid="{00000000-0005-0000-0000-0000923F0000}"/>
    <cellStyle name="Note 2 2 2 3 2 3 2 2 2 2" xfId="16273" xr:uid="{00000000-0005-0000-0000-0000933F0000}"/>
    <cellStyle name="Note 2 2 2 3 2 3 2 2 3" xfId="16274" xr:uid="{00000000-0005-0000-0000-0000943F0000}"/>
    <cellStyle name="Note 2 2 2 3 2 3 2 3" xfId="16275" xr:uid="{00000000-0005-0000-0000-0000953F0000}"/>
    <cellStyle name="Note 2 2 2 3 2 3 2 3 2" xfId="16276" xr:uid="{00000000-0005-0000-0000-0000963F0000}"/>
    <cellStyle name="Note 2 2 2 3 2 3 2 4" xfId="16277" xr:uid="{00000000-0005-0000-0000-0000973F0000}"/>
    <cellStyle name="Note 2 2 2 3 2 3 3" xfId="16278" xr:uid="{00000000-0005-0000-0000-0000983F0000}"/>
    <cellStyle name="Note 2 2 2 3 2 3 3 2" xfId="16279" xr:uid="{00000000-0005-0000-0000-0000993F0000}"/>
    <cellStyle name="Note 2 2 2 3 2 3 3 2 2" xfId="16280" xr:uid="{00000000-0005-0000-0000-00009A3F0000}"/>
    <cellStyle name="Note 2 2 2 3 2 3 3 3" xfId="16281" xr:uid="{00000000-0005-0000-0000-00009B3F0000}"/>
    <cellStyle name="Note 2 2 2 3 2 3 4" xfId="16282" xr:uid="{00000000-0005-0000-0000-00009C3F0000}"/>
    <cellStyle name="Note 2 2 2 3 2 3 4 2" xfId="16283" xr:uid="{00000000-0005-0000-0000-00009D3F0000}"/>
    <cellStyle name="Note 2 2 2 3 2 3 5" xfId="16284" xr:uid="{00000000-0005-0000-0000-00009E3F0000}"/>
    <cellStyle name="Note 2 2 2 3 2 4" xfId="16285" xr:uid="{00000000-0005-0000-0000-00009F3F0000}"/>
    <cellStyle name="Note 2 2 2 3 2 4 2" xfId="16286" xr:uid="{00000000-0005-0000-0000-0000A03F0000}"/>
    <cellStyle name="Note 2 2 2 3 2 4 2 2" xfId="16287" xr:uid="{00000000-0005-0000-0000-0000A13F0000}"/>
    <cellStyle name="Note 2 2 2 3 2 4 2 2 2" xfId="16288" xr:uid="{00000000-0005-0000-0000-0000A23F0000}"/>
    <cellStyle name="Note 2 2 2 3 2 4 2 3" xfId="16289" xr:uid="{00000000-0005-0000-0000-0000A33F0000}"/>
    <cellStyle name="Note 2 2 2 3 2 4 3" xfId="16290" xr:uid="{00000000-0005-0000-0000-0000A43F0000}"/>
    <cellStyle name="Note 2 2 2 3 2 4 3 2" xfId="16291" xr:uid="{00000000-0005-0000-0000-0000A53F0000}"/>
    <cellStyle name="Note 2 2 2 3 2 4 4" xfId="16292" xr:uid="{00000000-0005-0000-0000-0000A63F0000}"/>
    <cellStyle name="Note 2 2 2 3 2 5" xfId="16293" xr:uid="{00000000-0005-0000-0000-0000A73F0000}"/>
    <cellStyle name="Note 2 2 2 3 2 5 2" xfId="16294" xr:uid="{00000000-0005-0000-0000-0000A83F0000}"/>
    <cellStyle name="Note 2 2 2 3 2 5 2 2" xfId="16295" xr:uid="{00000000-0005-0000-0000-0000A93F0000}"/>
    <cellStyle name="Note 2 2 2 3 2 5 3" xfId="16296" xr:uid="{00000000-0005-0000-0000-0000AA3F0000}"/>
    <cellStyle name="Note 2 2 2 3 2 6" xfId="16297" xr:uid="{00000000-0005-0000-0000-0000AB3F0000}"/>
    <cellStyle name="Note 2 2 2 3 2 6 2" xfId="16298" xr:uid="{00000000-0005-0000-0000-0000AC3F0000}"/>
    <cellStyle name="Note 2 2 2 3 2 7" xfId="16299" xr:uid="{00000000-0005-0000-0000-0000AD3F0000}"/>
    <cellStyle name="Note 2 2 2 3 3" xfId="16300" xr:uid="{00000000-0005-0000-0000-0000AE3F0000}"/>
    <cellStyle name="Note 2 2 2 3 3 2" xfId="16301" xr:uid="{00000000-0005-0000-0000-0000AF3F0000}"/>
    <cellStyle name="Note 2 2 2 3 3 2 2" xfId="16302" xr:uid="{00000000-0005-0000-0000-0000B03F0000}"/>
    <cellStyle name="Note 2 2 2 3 3 2 2 2" xfId="16303" xr:uid="{00000000-0005-0000-0000-0000B13F0000}"/>
    <cellStyle name="Note 2 2 2 3 3 2 2 2 2" xfId="16304" xr:uid="{00000000-0005-0000-0000-0000B23F0000}"/>
    <cellStyle name="Note 2 2 2 3 3 2 2 2 2 2" xfId="16305" xr:uid="{00000000-0005-0000-0000-0000B33F0000}"/>
    <cellStyle name="Note 2 2 2 3 3 2 2 2 3" xfId="16306" xr:uid="{00000000-0005-0000-0000-0000B43F0000}"/>
    <cellStyle name="Note 2 2 2 3 3 2 2 3" xfId="16307" xr:uid="{00000000-0005-0000-0000-0000B53F0000}"/>
    <cellStyle name="Note 2 2 2 3 3 2 2 3 2" xfId="16308" xr:uid="{00000000-0005-0000-0000-0000B63F0000}"/>
    <cellStyle name="Note 2 2 2 3 3 2 2 4" xfId="16309" xr:uid="{00000000-0005-0000-0000-0000B73F0000}"/>
    <cellStyle name="Note 2 2 2 3 3 2 3" xfId="16310" xr:uid="{00000000-0005-0000-0000-0000B83F0000}"/>
    <cellStyle name="Note 2 2 2 3 3 2 3 2" xfId="16311" xr:uid="{00000000-0005-0000-0000-0000B93F0000}"/>
    <cellStyle name="Note 2 2 2 3 3 2 3 2 2" xfId="16312" xr:uid="{00000000-0005-0000-0000-0000BA3F0000}"/>
    <cellStyle name="Note 2 2 2 3 3 2 3 3" xfId="16313" xr:uid="{00000000-0005-0000-0000-0000BB3F0000}"/>
    <cellStyle name="Note 2 2 2 3 3 2 4" xfId="16314" xr:uid="{00000000-0005-0000-0000-0000BC3F0000}"/>
    <cellStyle name="Note 2 2 2 3 3 2 4 2" xfId="16315" xr:uid="{00000000-0005-0000-0000-0000BD3F0000}"/>
    <cellStyle name="Note 2 2 2 3 3 2 5" xfId="16316" xr:uid="{00000000-0005-0000-0000-0000BE3F0000}"/>
    <cellStyle name="Note 2 2 2 3 3 3" xfId="16317" xr:uid="{00000000-0005-0000-0000-0000BF3F0000}"/>
    <cellStyle name="Note 2 2 2 3 3 3 2" xfId="16318" xr:uid="{00000000-0005-0000-0000-0000C03F0000}"/>
    <cellStyle name="Note 2 2 2 3 3 3 2 2" xfId="16319" xr:uid="{00000000-0005-0000-0000-0000C13F0000}"/>
    <cellStyle name="Note 2 2 2 3 3 3 2 2 2" xfId="16320" xr:uid="{00000000-0005-0000-0000-0000C23F0000}"/>
    <cellStyle name="Note 2 2 2 3 3 3 2 3" xfId="16321" xr:uid="{00000000-0005-0000-0000-0000C33F0000}"/>
    <cellStyle name="Note 2 2 2 3 3 3 3" xfId="16322" xr:uid="{00000000-0005-0000-0000-0000C43F0000}"/>
    <cellStyle name="Note 2 2 2 3 3 3 3 2" xfId="16323" xr:uid="{00000000-0005-0000-0000-0000C53F0000}"/>
    <cellStyle name="Note 2 2 2 3 3 3 4" xfId="16324" xr:uid="{00000000-0005-0000-0000-0000C63F0000}"/>
    <cellStyle name="Note 2 2 2 3 3 4" xfId="16325" xr:uid="{00000000-0005-0000-0000-0000C73F0000}"/>
    <cellStyle name="Note 2 2 2 3 3 4 2" xfId="16326" xr:uid="{00000000-0005-0000-0000-0000C83F0000}"/>
    <cellStyle name="Note 2 2 2 3 3 4 2 2" xfId="16327" xr:uid="{00000000-0005-0000-0000-0000C93F0000}"/>
    <cellStyle name="Note 2 2 2 3 3 4 3" xfId="16328" xr:uid="{00000000-0005-0000-0000-0000CA3F0000}"/>
    <cellStyle name="Note 2 2 2 3 3 5" xfId="16329" xr:uid="{00000000-0005-0000-0000-0000CB3F0000}"/>
    <cellStyle name="Note 2 2 2 3 3 5 2" xfId="16330" xr:uid="{00000000-0005-0000-0000-0000CC3F0000}"/>
    <cellStyle name="Note 2 2 2 3 3 6" xfId="16331" xr:uid="{00000000-0005-0000-0000-0000CD3F0000}"/>
    <cellStyle name="Note 2 2 2 3 4" xfId="16332" xr:uid="{00000000-0005-0000-0000-0000CE3F0000}"/>
    <cellStyle name="Note 2 2 2 3 4 2" xfId="16333" xr:uid="{00000000-0005-0000-0000-0000CF3F0000}"/>
    <cellStyle name="Note 2 2 2 3 4 2 2" xfId="16334" xr:uid="{00000000-0005-0000-0000-0000D03F0000}"/>
    <cellStyle name="Note 2 2 2 3 4 2 2 2" xfId="16335" xr:uid="{00000000-0005-0000-0000-0000D13F0000}"/>
    <cellStyle name="Note 2 2 2 3 4 2 2 2 2" xfId="16336" xr:uid="{00000000-0005-0000-0000-0000D23F0000}"/>
    <cellStyle name="Note 2 2 2 3 4 2 2 3" xfId="16337" xr:uid="{00000000-0005-0000-0000-0000D33F0000}"/>
    <cellStyle name="Note 2 2 2 3 4 2 3" xfId="16338" xr:uid="{00000000-0005-0000-0000-0000D43F0000}"/>
    <cellStyle name="Note 2 2 2 3 4 2 3 2" xfId="16339" xr:uid="{00000000-0005-0000-0000-0000D53F0000}"/>
    <cellStyle name="Note 2 2 2 3 4 2 4" xfId="16340" xr:uid="{00000000-0005-0000-0000-0000D63F0000}"/>
    <cellStyle name="Note 2 2 2 3 4 3" xfId="16341" xr:uid="{00000000-0005-0000-0000-0000D73F0000}"/>
    <cellStyle name="Note 2 2 2 3 4 3 2" xfId="16342" xr:uid="{00000000-0005-0000-0000-0000D83F0000}"/>
    <cellStyle name="Note 2 2 2 3 4 3 2 2" xfId="16343" xr:uid="{00000000-0005-0000-0000-0000D93F0000}"/>
    <cellStyle name="Note 2 2 2 3 4 3 3" xfId="16344" xr:uid="{00000000-0005-0000-0000-0000DA3F0000}"/>
    <cellStyle name="Note 2 2 2 3 4 4" xfId="16345" xr:uid="{00000000-0005-0000-0000-0000DB3F0000}"/>
    <cellStyle name="Note 2 2 2 3 4 4 2" xfId="16346" xr:uid="{00000000-0005-0000-0000-0000DC3F0000}"/>
    <cellStyle name="Note 2 2 2 3 4 5" xfId="16347" xr:uid="{00000000-0005-0000-0000-0000DD3F0000}"/>
    <cellStyle name="Note 2 2 2 3 5" xfId="16348" xr:uid="{00000000-0005-0000-0000-0000DE3F0000}"/>
    <cellStyle name="Note 2 2 2 3 5 2" xfId="16349" xr:uid="{00000000-0005-0000-0000-0000DF3F0000}"/>
    <cellStyle name="Note 2 2 2 3 5 2 2" xfId="16350" xr:uid="{00000000-0005-0000-0000-0000E03F0000}"/>
    <cellStyle name="Note 2 2 2 3 5 2 2 2" xfId="16351" xr:uid="{00000000-0005-0000-0000-0000E13F0000}"/>
    <cellStyle name="Note 2 2 2 3 5 2 3" xfId="16352" xr:uid="{00000000-0005-0000-0000-0000E23F0000}"/>
    <cellStyle name="Note 2 2 2 3 5 3" xfId="16353" xr:uid="{00000000-0005-0000-0000-0000E33F0000}"/>
    <cellStyle name="Note 2 2 2 3 5 3 2" xfId="16354" xr:uid="{00000000-0005-0000-0000-0000E43F0000}"/>
    <cellStyle name="Note 2 2 2 3 5 4" xfId="16355" xr:uid="{00000000-0005-0000-0000-0000E53F0000}"/>
    <cellStyle name="Note 2 2 2 3 6" xfId="16356" xr:uid="{00000000-0005-0000-0000-0000E63F0000}"/>
    <cellStyle name="Note 2 2 2 3 6 2" xfId="16357" xr:uid="{00000000-0005-0000-0000-0000E73F0000}"/>
    <cellStyle name="Note 2 2 2 3 6 2 2" xfId="16358" xr:uid="{00000000-0005-0000-0000-0000E83F0000}"/>
    <cellStyle name="Note 2 2 2 3 6 3" xfId="16359" xr:uid="{00000000-0005-0000-0000-0000E93F0000}"/>
    <cellStyle name="Note 2 2 2 3 7" xfId="16360" xr:uid="{00000000-0005-0000-0000-0000EA3F0000}"/>
    <cellStyle name="Note 2 2 2 3 7 2" xfId="16361" xr:uid="{00000000-0005-0000-0000-0000EB3F0000}"/>
    <cellStyle name="Note 2 2 2 3 8" xfId="16362" xr:uid="{00000000-0005-0000-0000-0000EC3F0000}"/>
    <cellStyle name="Note 2 2 2 4" xfId="16363" xr:uid="{00000000-0005-0000-0000-0000ED3F0000}"/>
    <cellStyle name="Note 2 2 2 4 2" xfId="16364" xr:uid="{00000000-0005-0000-0000-0000EE3F0000}"/>
    <cellStyle name="Note 2 2 2 4 2 2" xfId="16365" xr:uid="{00000000-0005-0000-0000-0000EF3F0000}"/>
    <cellStyle name="Note 2 2 2 4 2 2 2" xfId="16366" xr:uid="{00000000-0005-0000-0000-0000F03F0000}"/>
    <cellStyle name="Note 2 2 2 4 2 2 2 2" xfId="16367" xr:uid="{00000000-0005-0000-0000-0000F13F0000}"/>
    <cellStyle name="Note 2 2 2 4 2 2 2 2 2" xfId="16368" xr:uid="{00000000-0005-0000-0000-0000F23F0000}"/>
    <cellStyle name="Note 2 2 2 4 2 2 2 2 2 2" xfId="16369" xr:uid="{00000000-0005-0000-0000-0000F33F0000}"/>
    <cellStyle name="Note 2 2 2 4 2 2 2 2 3" xfId="16370" xr:uid="{00000000-0005-0000-0000-0000F43F0000}"/>
    <cellStyle name="Note 2 2 2 4 2 2 2 3" xfId="16371" xr:uid="{00000000-0005-0000-0000-0000F53F0000}"/>
    <cellStyle name="Note 2 2 2 4 2 2 2 3 2" xfId="16372" xr:uid="{00000000-0005-0000-0000-0000F63F0000}"/>
    <cellStyle name="Note 2 2 2 4 2 2 2 4" xfId="16373" xr:uid="{00000000-0005-0000-0000-0000F73F0000}"/>
    <cellStyle name="Note 2 2 2 4 2 2 3" xfId="16374" xr:uid="{00000000-0005-0000-0000-0000F83F0000}"/>
    <cellStyle name="Note 2 2 2 4 2 2 3 2" xfId="16375" xr:uid="{00000000-0005-0000-0000-0000F93F0000}"/>
    <cellStyle name="Note 2 2 2 4 2 2 3 2 2" xfId="16376" xr:uid="{00000000-0005-0000-0000-0000FA3F0000}"/>
    <cellStyle name="Note 2 2 2 4 2 2 3 3" xfId="16377" xr:uid="{00000000-0005-0000-0000-0000FB3F0000}"/>
    <cellStyle name="Note 2 2 2 4 2 2 4" xfId="16378" xr:uid="{00000000-0005-0000-0000-0000FC3F0000}"/>
    <cellStyle name="Note 2 2 2 4 2 2 4 2" xfId="16379" xr:uid="{00000000-0005-0000-0000-0000FD3F0000}"/>
    <cellStyle name="Note 2 2 2 4 2 2 5" xfId="16380" xr:uid="{00000000-0005-0000-0000-0000FE3F0000}"/>
    <cellStyle name="Note 2 2 2 4 2 3" xfId="16381" xr:uid="{00000000-0005-0000-0000-0000FF3F0000}"/>
    <cellStyle name="Note 2 2 2 4 2 3 2" xfId="16382" xr:uid="{00000000-0005-0000-0000-000000400000}"/>
    <cellStyle name="Note 2 2 2 4 2 3 2 2" xfId="16383" xr:uid="{00000000-0005-0000-0000-000001400000}"/>
    <cellStyle name="Note 2 2 2 4 2 3 2 2 2" xfId="16384" xr:uid="{00000000-0005-0000-0000-000002400000}"/>
    <cellStyle name="Note 2 2 2 4 2 3 2 3" xfId="16385" xr:uid="{00000000-0005-0000-0000-000003400000}"/>
    <cellStyle name="Note 2 2 2 4 2 3 3" xfId="16386" xr:uid="{00000000-0005-0000-0000-000004400000}"/>
    <cellStyle name="Note 2 2 2 4 2 3 3 2" xfId="16387" xr:uid="{00000000-0005-0000-0000-000005400000}"/>
    <cellStyle name="Note 2 2 2 4 2 3 4" xfId="16388" xr:uid="{00000000-0005-0000-0000-000006400000}"/>
    <cellStyle name="Note 2 2 2 4 2 4" xfId="16389" xr:uid="{00000000-0005-0000-0000-000007400000}"/>
    <cellStyle name="Note 2 2 2 4 2 4 2" xfId="16390" xr:uid="{00000000-0005-0000-0000-000008400000}"/>
    <cellStyle name="Note 2 2 2 4 2 4 2 2" xfId="16391" xr:uid="{00000000-0005-0000-0000-000009400000}"/>
    <cellStyle name="Note 2 2 2 4 2 4 3" xfId="16392" xr:uid="{00000000-0005-0000-0000-00000A400000}"/>
    <cellStyle name="Note 2 2 2 4 2 5" xfId="16393" xr:uid="{00000000-0005-0000-0000-00000B400000}"/>
    <cellStyle name="Note 2 2 2 4 2 5 2" xfId="16394" xr:uid="{00000000-0005-0000-0000-00000C400000}"/>
    <cellStyle name="Note 2 2 2 4 2 6" xfId="16395" xr:uid="{00000000-0005-0000-0000-00000D400000}"/>
    <cellStyle name="Note 2 2 2 4 3" xfId="16396" xr:uid="{00000000-0005-0000-0000-00000E400000}"/>
    <cellStyle name="Note 2 2 2 4 3 2" xfId="16397" xr:uid="{00000000-0005-0000-0000-00000F400000}"/>
    <cellStyle name="Note 2 2 2 4 3 2 2" xfId="16398" xr:uid="{00000000-0005-0000-0000-000010400000}"/>
    <cellStyle name="Note 2 2 2 4 3 2 2 2" xfId="16399" xr:uid="{00000000-0005-0000-0000-000011400000}"/>
    <cellStyle name="Note 2 2 2 4 3 2 2 2 2" xfId="16400" xr:uid="{00000000-0005-0000-0000-000012400000}"/>
    <cellStyle name="Note 2 2 2 4 3 2 2 3" xfId="16401" xr:uid="{00000000-0005-0000-0000-000013400000}"/>
    <cellStyle name="Note 2 2 2 4 3 2 3" xfId="16402" xr:uid="{00000000-0005-0000-0000-000014400000}"/>
    <cellStyle name="Note 2 2 2 4 3 2 3 2" xfId="16403" xr:uid="{00000000-0005-0000-0000-000015400000}"/>
    <cellStyle name="Note 2 2 2 4 3 2 4" xfId="16404" xr:uid="{00000000-0005-0000-0000-000016400000}"/>
    <cellStyle name="Note 2 2 2 4 3 3" xfId="16405" xr:uid="{00000000-0005-0000-0000-000017400000}"/>
    <cellStyle name="Note 2 2 2 4 3 3 2" xfId="16406" xr:uid="{00000000-0005-0000-0000-000018400000}"/>
    <cellStyle name="Note 2 2 2 4 3 3 2 2" xfId="16407" xr:uid="{00000000-0005-0000-0000-000019400000}"/>
    <cellStyle name="Note 2 2 2 4 3 3 3" xfId="16408" xr:uid="{00000000-0005-0000-0000-00001A400000}"/>
    <cellStyle name="Note 2 2 2 4 3 4" xfId="16409" xr:uid="{00000000-0005-0000-0000-00001B400000}"/>
    <cellStyle name="Note 2 2 2 4 3 4 2" xfId="16410" xr:uid="{00000000-0005-0000-0000-00001C400000}"/>
    <cellStyle name="Note 2 2 2 4 3 5" xfId="16411" xr:uid="{00000000-0005-0000-0000-00001D400000}"/>
    <cellStyle name="Note 2 2 2 4 4" xfId="16412" xr:uid="{00000000-0005-0000-0000-00001E400000}"/>
    <cellStyle name="Note 2 2 2 4 4 2" xfId="16413" xr:uid="{00000000-0005-0000-0000-00001F400000}"/>
    <cellStyle name="Note 2 2 2 4 4 2 2" xfId="16414" xr:uid="{00000000-0005-0000-0000-000020400000}"/>
    <cellStyle name="Note 2 2 2 4 4 2 2 2" xfId="16415" xr:uid="{00000000-0005-0000-0000-000021400000}"/>
    <cellStyle name="Note 2 2 2 4 4 2 3" xfId="16416" xr:uid="{00000000-0005-0000-0000-000022400000}"/>
    <cellStyle name="Note 2 2 2 4 4 3" xfId="16417" xr:uid="{00000000-0005-0000-0000-000023400000}"/>
    <cellStyle name="Note 2 2 2 4 4 3 2" xfId="16418" xr:uid="{00000000-0005-0000-0000-000024400000}"/>
    <cellStyle name="Note 2 2 2 4 4 4" xfId="16419" xr:uid="{00000000-0005-0000-0000-000025400000}"/>
    <cellStyle name="Note 2 2 2 4 5" xfId="16420" xr:uid="{00000000-0005-0000-0000-000026400000}"/>
    <cellStyle name="Note 2 2 2 4 5 2" xfId="16421" xr:uid="{00000000-0005-0000-0000-000027400000}"/>
    <cellStyle name="Note 2 2 2 4 5 2 2" xfId="16422" xr:uid="{00000000-0005-0000-0000-000028400000}"/>
    <cellStyle name="Note 2 2 2 4 5 3" xfId="16423" xr:uid="{00000000-0005-0000-0000-000029400000}"/>
    <cellStyle name="Note 2 2 2 4 6" xfId="16424" xr:uid="{00000000-0005-0000-0000-00002A400000}"/>
    <cellStyle name="Note 2 2 2 4 6 2" xfId="16425" xr:uid="{00000000-0005-0000-0000-00002B400000}"/>
    <cellStyle name="Note 2 2 2 4 7" xfId="16426" xr:uid="{00000000-0005-0000-0000-00002C400000}"/>
    <cellStyle name="Note 2 2 2 5" xfId="16427" xr:uid="{00000000-0005-0000-0000-00002D400000}"/>
    <cellStyle name="Note 2 2 2 5 2" xfId="16428" xr:uid="{00000000-0005-0000-0000-00002E400000}"/>
    <cellStyle name="Note 2 2 2 5 2 2" xfId="16429" xr:uid="{00000000-0005-0000-0000-00002F400000}"/>
    <cellStyle name="Note 2 2 2 5 2 2 2" xfId="16430" xr:uid="{00000000-0005-0000-0000-000030400000}"/>
    <cellStyle name="Note 2 2 2 5 2 2 2 2" xfId="16431" xr:uid="{00000000-0005-0000-0000-000031400000}"/>
    <cellStyle name="Note 2 2 2 5 2 2 2 2 2" xfId="16432" xr:uid="{00000000-0005-0000-0000-000032400000}"/>
    <cellStyle name="Note 2 2 2 5 2 2 2 3" xfId="16433" xr:uid="{00000000-0005-0000-0000-000033400000}"/>
    <cellStyle name="Note 2 2 2 5 2 2 3" xfId="16434" xr:uid="{00000000-0005-0000-0000-000034400000}"/>
    <cellStyle name="Note 2 2 2 5 2 2 3 2" xfId="16435" xr:uid="{00000000-0005-0000-0000-000035400000}"/>
    <cellStyle name="Note 2 2 2 5 2 2 4" xfId="16436" xr:uid="{00000000-0005-0000-0000-000036400000}"/>
    <cellStyle name="Note 2 2 2 5 2 3" xfId="16437" xr:uid="{00000000-0005-0000-0000-000037400000}"/>
    <cellStyle name="Note 2 2 2 5 2 3 2" xfId="16438" xr:uid="{00000000-0005-0000-0000-000038400000}"/>
    <cellStyle name="Note 2 2 2 5 2 3 2 2" xfId="16439" xr:uid="{00000000-0005-0000-0000-000039400000}"/>
    <cellStyle name="Note 2 2 2 5 2 3 3" xfId="16440" xr:uid="{00000000-0005-0000-0000-00003A400000}"/>
    <cellStyle name="Note 2 2 2 5 2 4" xfId="16441" xr:uid="{00000000-0005-0000-0000-00003B400000}"/>
    <cellStyle name="Note 2 2 2 5 2 4 2" xfId="16442" xr:uid="{00000000-0005-0000-0000-00003C400000}"/>
    <cellStyle name="Note 2 2 2 5 2 5" xfId="16443" xr:uid="{00000000-0005-0000-0000-00003D400000}"/>
    <cellStyle name="Note 2 2 2 5 3" xfId="16444" xr:uid="{00000000-0005-0000-0000-00003E400000}"/>
    <cellStyle name="Note 2 2 2 5 3 2" xfId="16445" xr:uid="{00000000-0005-0000-0000-00003F400000}"/>
    <cellStyle name="Note 2 2 2 5 3 2 2" xfId="16446" xr:uid="{00000000-0005-0000-0000-000040400000}"/>
    <cellStyle name="Note 2 2 2 5 3 2 2 2" xfId="16447" xr:uid="{00000000-0005-0000-0000-000041400000}"/>
    <cellStyle name="Note 2 2 2 5 3 2 3" xfId="16448" xr:uid="{00000000-0005-0000-0000-000042400000}"/>
    <cellStyle name="Note 2 2 2 5 3 3" xfId="16449" xr:uid="{00000000-0005-0000-0000-000043400000}"/>
    <cellStyle name="Note 2 2 2 5 3 3 2" xfId="16450" xr:uid="{00000000-0005-0000-0000-000044400000}"/>
    <cellStyle name="Note 2 2 2 5 3 4" xfId="16451" xr:uid="{00000000-0005-0000-0000-000045400000}"/>
    <cellStyle name="Note 2 2 2 5 4" xfId="16452" xr:uid="{00000000-0005-0000-0000-000046400000}"/>
    <cellStyle name="Note 2 2 2 5 4 2" xfId="16453" xr:uid="{00000000-0005-0000-0000-000047400000}"/>
    <cellStyle name="Note 2 2 2 5 4 2 2" xfId="16454" xr:uid="{00000000-0005-0000-0000-000048400000}"/>
    <cellStyle name="Note 2 2 2 5 4 3" xfId="16455" xr:uid="{00000000-0005-0000-0000-000049400000}"/>
    <cellStyle name="Note 2 2 2 5 5" xfId="16456" xr:uid="{00000000-0005-0000-0000-00004A400000}"/>
    <cellStyle name="Note 2 2 2 5 5 2" xfId="16457" xr:uid="{00000000-0005-0000-0000-00004B400000}"/>
    <cellStyle name="Note 2 2 2 5 6" xfId="16458" xr:uid="{00000000-0005-0000-0000-00004C400000}"/>
    <cellStyle name="Note 2 2 2 6" xfId="16459" xr:uid="{00000000-0005-0000-0000-00004D400000}"/>
    <cellStyle name="Note 2 2 2 6 2" xfId="16460" xr:uid="{00000000-0005-0000-0000-00004E400000}"/>
    <cellStyle name="Note 2 2 2 6 2 2" xfId="16461" xr:uid="{00000000-0005-0000-0000-00004F400000}"/>
    <cellStyle name="Note 2 2 2 6 2 2 2" xfId="16462" xr:uid="{00000000-0005-0000-0000-000050400000}"/>
    <cellStyle name="Note 2 2 2 6 2 2 2 2" xfId="16463" xr:uid="{00000000-0005-0000-0000-000051400000}"/>
    <cellStyle name="Note 2 2 2 6 2 2 3" xfId="16464" xr:uid="{00000000-0005-0000-0000-000052400000}"/>
    <cellStyle name="Note 2 2 2 6 2 3" xfId="16465" xr:uid="{00000000-0005-0000-0000-000053400000}"/>
    <cellStyle name="Note 2 2 2 6 2 3 2" xfId="16466" xr:uid="{00000000-0005-0000-0000-000054400000}"/>
    <cellStyle name="Note 2 2 2 6 2 4" xfId="16467" xr:uid="{00000000-0005-0000-0000-000055400000}"/>
    <cellStyle name="Note 2 2 2 6 3" xfId="16468" xr:uid="{00000000-0005-0000-0000-000056400000}"/>
    <cellStyle name="Note 2 2 2 6 3 2" xfId="16469" xr:uid="{00000000-0005-0000-0000-000057400000}"/>
    <cellStyle name="Note 2 2 2 6 3 2 2" xfId="16470" xr:uid="{00000000-0005-0000-0000-000058400000}"/>
    <cellStyle name="Note 2 2 2 6 3 3" xfId="16471" xr:uid="{00000000-0005-0000-0000-000059400000}"/>
    <cellStyle name="Note 2 2 2 6 4" xfId="16472" xr:uid="{00000000-0005-0000-0000-00005A400000}"/>
    <cellStyle name="Note 2 2 2 6 4 2" xfId="16473" xr:uid="{00000000-0005-0000-0000-00005B400000}"/>
    <cellStyle name="Note 2 2 2 6 5" xfId="16474" xr:uid="{00000000-0005-0000-0000-00005C400000}"/>
    <cellStyle name="Note 2 2 2 7" xfId="16475" xr:uid="{00000000-0005-0000-0000-00005D400000}"/>
    <cellStyle name="Note 2 2 2 7 2" xfId="16476" xr:uid="{00000000-0005-0000-0000-00005E400000}"/>
    <cellStyle name="Note 2 2 2 7 2 2" xfId="16477" xr:uid="{00000000-0005-0000-0000-00005F400000}"/>
    <cellStyle name="Note 2 2 2 7 2 2 2" xfId="16478" xr:uid="{00000000-0005-0000-0000-000060400000}"/>
    <cellStyle name="Note 2 2 2 7 2 3" xfId="16479" xr:uid="{00000000-0005-0000-0000-000061400000}"/>
    <cellStyle name="Note 2 2 2 7 3" xfId="16480" xr:uid="{00000000-0005-0000-0000-000062400000}"/>
    <cellStyle name="Note 2 2 2 7 3 2" xfId="16481" xr:uid="{00000000-0005-0000-0000-000063400000}"/>
    <cellStyle name="Note 2 2 2 7 4" xfId="16482" xr:uid="{00000000-0005-0000-0000-000064400000}"/>
    <cellStyle name="Note 2 2 2 8" xfId="16483" xr:uid="{00000000-0005-0000-0000-000065400000}"/>
    <cellStyle name="Note 2 2 2 8 2" xfId="16484" xr:uid="{00000000-0005-0000-0000-000066400000}"/>
    <cellStyle name="Note 2 2 2 8 2 2" xfId="16485" xr:uid="{00000000-0005-0000-0000-000067400000}"/>
    <cellStyle name="Note 2 2 2 8 3" xfId="16486" xr:uid="{00000000-0005-0000-0000-000068400000}"/>
    <cellStyle name="Note 2 2 2 9" xfId="16487" xr:uid="{00000000-0005-0000-0000-000069400000}"/>
    <cellStyle name="Note 2 2 2 9 2" xfId="16488" xr:uid="{00000000-0005-0000-0000-00006A400000}"/>
    <cellStyle name="Note 2 2 3" xfId="16489" xr:uid="{00000000-0005-0000-0000-00006B400000}"/>
    <cellStyle name="Note 2 2 3 2" xfId="16490" xr:uid="{00000000-0005-0000-0000-00006C400000}"/>
    <cellStyle name="Note 2 2 3 2 2" xfId="16491" xr:uid="{00000000-0005-0000-0000-00006D400000}"/>
    <cellStyle name="Note 2 2 3 2 2 2" xfId="16492" xr:uid="{00000000-0005-0000-0000-00006E400000}"/>
    <cellStyle name="Note 2 2 3 2 2 2 2" xfId="16493" xr:uid="{00000000-0005-0000-0000-00006F400000}"/>
    <cellStyle name="Note 2 2 3 2 2 2 2 2" xfId="16494" xr:uid="{00000000-0005-0000-0000-000070400000}"/>
    <cellStyle name="Note 2 2 3 2 2 2 2 2 2" xfId="16495" xr:uid="{00000000-0005-0000-0000-000071400000}"/>
    <cellStyle name="Note 2 2 3 2 2 2 2 2 2 2" xfId="16496" xr:uid="{00000000-0005-0000-0000-000072400000}"/>
    <cellStyle name="Note 2 2 3 2 2 2 2 2 2 2 2" xfId="16497" xr:uid="{00000000-0005-0000-0000-000073400000}"/>
    <cellStyle name="Note 2 2 3 2 2 2 2 2 2 3" xfId="16498" xr:uid="{00000000-0005-0000-0000-000074400000}"/>
    <cellStyle name="Note 2 2 3 2 2 2 2 2 3" xfId="16499" xr:uid="{00000000-0005-0000-0000-000075400000}"/>
    <cellStyle name="Note 2 2 3 2 2 2 2 2 3 2" xfId="16500" xr:uid="{00000000-0005-0000-0000-000076400000}"/>
    <cellStyle name="Note 2 2 3 2 2 2 2 2 4" xfId="16501" xr:uid="{00000000-0005-0000-0000-000077400000}"/>
    <cellStyle name="Note 2 2 3 2 2 2 2 3" xfId="16502" xr:uid="{00000000-0005-0000-0000-000078400000}"/>
    <cellStyle name="Note 2 2 3 2 2 2 2 3 2" xfId="16503" xr:uid="{00000000-0005-0000-0000-000079400000}"/>
    <cellStyle name="Note 2 2 3 2 2 2 2 3 2 2" xfId="16504" xr:uid="{00000000-0005-0000-0000-00007A400000}"/>
    <cellStyle name="Note 2 2 3 2 2 2 2 3 3" xfId="16505" xr:uid="{00000000-0005-0000-0000-00007B400000}"/>
    <cellStyle name="Note 2 2 3 2 2 2 2 4" xfId="16506" xr:uid="{00000000-0005-0000-0000-00007C400000}"/>
    <cellStyle name="Note 2 2 3 2 2 2 2 4 2" xfId="16507" xr:uid="{00000000-0005-0000-0000-00007D400000}"/>
    <cellStyle name="Note 2 2 3 2 2 2 2 5" xfId="16508" xr:uid="{00000000-0005-0000-0000-00007E400000}"/>
    <cellStyle name="Note 2 2 3 2 2 2 3" xfId="16509" xr:uid="{00000000-0005-0000-0000-00007F400000}"/>
    <cellStyle name="Note 2 2 3 2 2 2 3 2" xfId="16510" xr:uid="{00000000-0005-0000-0000-000080400000}"/>
    <cellStyle name="Note 2 2 3 2 2 2 3 2 2" xfId="16511" xr:uid="{00000000-0005-0000-0000-000081400000}"/>
    <cellStyle name="Note 2 2 3 2 2 2 3 2 2 2" xfId="16512" xr:uid="{00000000-0005-0000-0000-000082400000}"/>
    <cellStyle name="Note 2 2 3 2 2 2 3 2 3" xfId="16513" xr:uid="{00000000-0005-0000-0000-000083400000}"/>
    <cellStyle name="Note 2 2 3 2 2 2 3 3" xfId="16514" xr:uid="{00000000-0005-0000-0000-000084400000}"/>
    <cellStyle name="Note 2 2 3 2 2 2 3 3 2" xfId="16515" xr:uid="{00000000-0005-0000-0000-000085400000}"/>
    <cellStyle name="Note 2 2 3 2 2 2 3 4" xfId="16516" xr:uid="{00000000-0005-0000-0000-000086400000}"/>
    <cellStyle name="Note 2 2 3 2 2 2 4" xfId="16517" xr:uid="{00000000-0005-0000-0000-000087400000}"/>
    <cellStyle name="Note 2 2 3 2 2 2 4 2" xfId="16518" xr:uid="{00000000-0005-0000-0000-000088400000}"/>
    <cellStyle name="Note 2 2 3 2 2 2 4 2 2" xfId="16519" xr:uid="{00000000-0005-0000-0000-000089400000}"/>
    <cellStyle name="Note 2 2 3 2 2 2 4 3" xfId="16520" xr:uid="{00000000-0005-0000-0000-00008A400000}"/>
    <cellStyle name="Note 2 2 3 2 2 2 5" xfId="16521" xr:uid="{00000000-0005-0000-0000-00008B400000}"/>
    <cellStyle name="Note 2 2 3 2 2 2 5 2" xfId="16522" xr:uid="{00000000-0005-0000-0000-00008C400000}"/>
    <cellStyle name="Note 2 2 3 2 2 2 6" xfId="16523" xr:uid="{00000000-0005-0000-0000-00008D400000}"/>
    <cellStyle name="Note 2 2 3 2 2 3" xfId="16524" xr:uid="{00000000-0005-0000-0000-00008E400000}"/>
    <cellStyle name="Note 2 2 3 2 2 3 2" xfId="16525" xr:uid="{00000000-0005-0000-0000-00008F400000}"/>
    <cellStyle name="Note 2 2 3 2 2 3 2 2" xfId="16526" xr:uid="{00000000-0005-0000-0000-000090400000}"/>
    <cellStyle name="Note 2 2 3 2 2 3 2 2 2" xfId="16527" xr:uid="{00000000-0005-0000-0000-000091400000}"/>
    <cellStyle name="Note 2 2 3 2 2 3 2 2 2 2" xfId="16528" xr:uid="{00000000-0005-0000-0000-000092400000}"/>
    <cellStyle name="Note 2 2 3 2 2 3 2 2 3" xfId="16529" xr:uid="{00000000-0005-0000-0000-000093400000}"/>
    <cellStyle name="Note 2 2 3 2 2 3 2 3" xfId="16530" xr:uid="{00000000-0005-0000-0000-000094400000}"/>
    <cellStyle name="Note 2 2 3 2 2 3 2 3 2" xfId="16531" xr:uid="{00000000-0005-0000-0000-000095400000}"/>
    <cellStyle name="Note 2 2 3 2 2 3 2 4" xfId="16532" xr:uid="{00000000-0005-0000-0000-000096400000}"/>
    <cellStyle name="Note 2 2 3 2 2 3 3" xfId="16533" xr:uid="{00000000-0005-0000-0000-000097400000}"/>
    <cellStyle name="Note 2 2 3 2 2 3 3 2" xfId="16534" xr:uid="{00000000-0005-0000-0000-000098400000}"/>
    <cellStyle name="Note 2 2 3 2 2 3 3 2 2" xfId="16535" xr:uid="{00000000-0005-0000-0000-000099400000}"/>
    <cellStyle name="Note 2 2 3 2 2 3 3 3" xfId="16536" xr:uid="{00000000-0005-0000-0000-00009A400000}"/>
    <cellStyle name="Note 2 2 3 2 2 3 4" xfId="16537" xr:uid="{00000000-0005-0000-0000-00009B400000}"/>
    <cellStyle name="Note 2 2 3 2 2 3 4 2" xfId="16538" xr:uid="{00000000-0005-0000-0000-00009C400000}"/>
    <cellStyle name="Note 2 2 3 2 2 3 5" xfId="16539" xr:uid="{00000000-0005-0000-0000-00009D400000}"/>
    <cellStyle name="Note 2 2 3 2 2 4" xfId="16540" xr:uid="{00000000-0005-0000-0000-00009E400000}"/>
    <cellStyle name="Note 2 2 3 2 2 4 2" xfId="16541" xr:uid="{00000000-0005-0000-0000-00009F400000}"/>
    <cellStyle name="Note 2 2 3 2 2 4 2 2" xfId="16542" xr:uid="{00000000-0005-0000-0000-0000A0400000}"/>
    <cellStyle name="Note 2 2 3 2 2 4 2 2 2" xfId="16543" xr:uid="{00000000-0005-0000-0000-0000A1400000}"/>
    <cellStyle name="Note 2 2 3 2 2 4 2 3" xfId="16544" xr:uid="{00000000-0005-0000-0000-0000A2400000}"/>
    <cellStyle name="Note 2 2 3 2 2 4 3" xfId="16545" xr:uid="{00000000-0005-0000-0000-0000A3400000}"/>
    <cellStyle name="Note 2 2 3 2 2 4 3 2" xfId="16546" xr:uid="{00000000-0005-0000-0000-0000A4400000}"/>
    <cellStyle name="Note 2 2 3 2 2 4 4" xfId="16547" xr:uid="{00000000-0005-0000-0000-0000A5400000}"/>
    <cellStyle name="Note 2 2 3 2 2 5" xfId="16548" xr:uid="{00000000-0005-0000-0000-0000A6400000}"/>
    <cellStyle name="Note 2 2 3 2 2 5 2" xfId="16549" xr:uid="{00000000-0005-0000-0000-0000A7400000}"/>
    <cellStyle name="Note 2 2 3 2 2 5 2 2" xfId="16550" xr:uid="{00000000-0005-0000-0000-0000A8400000}"/>
    <cellStyle name="Note 2 2 3 2 2 5 3" xfId="16551" xr:uid="{00000000-0005-0000-0000-0000A9400000}"/>
    <cellStyle name="Note 2 2 3 2 2 6" xfId="16552" xr:uid="{00000000-0005-0000-0000-0000AA400000}"/>
    <cellStyle name="Note 2 2 3 2 2 6 2" xfId="16553" xr:uid="{00000000-0005-0000-0000-0000AB400000}"/>
    <cellStyle name="Note 2 2 3 2 2 7" xfId="16554" xr:uid="{00000000-0005-0000-0000-0000AC400000}"/>
    <cellStyle name="Note 2 2 3 2 3" xfId="16555" xr:uid="{00000000-0005-0000-0000-0000AD400000}"/>
    <cellStyle name="Note 2 2 3 2 3 2" xfId="16556" xr:uid="{00000000-0005-0000-0000-0000AE400000}"/>
    <cellStyle name="Note 2 2 3 2 3 2 2" xfId="16557" xr:uid="{00000000-0005-0000-0000-0000AF400000}"/>
    <cellStyle name="Note 2 2 3 2 3 2 2 2" xfId="16558" xr:uid="{00000000-0005-0000-0000-0000B0400000}"/>
    <cellStyle name="Note 2 2 3 2 3 2 2 2 2" xfId="16559" xr:uid="{00000000-0005-0000-0000-0000B1400000}"/>
    <cellStyle name="Note 2 2 3 2 3 2 2 2 2 2" xfId="16560" xr:uid="{00000000-0005-0000-0000-0000B2400000}"/>
    <cellStyle name="Note 2 2 3 2 3 2 2 2 3" xfId="16561" xr:uid="{00000000-0005-0000-0000-0000B3400000}"/>
    <cellStyle name="Note 2 2 3 2 3 2 2 3" xfId="16562" xr:uid="{00000000-0005-0000-0000-0000B4400000}"/>
    <cellStyle name="Note 2 2 3 2 3 2 2 3 2" xfId="16563" xr:uid="{00000000-0005-0000-0000-0000B5400000}"/>
    <cellStyle name="Note 2 2 3 2 3 2 2 4" xfId="16564" xr:uid="{00000000-0005-0000-0000-0000B6400000}"/>
    <cellStyle name="Note 2 2 3 2 3 2 3" xfId="16565" xr:uid="{00000000-0005-0000-0000-0000B7400000}"/>
    <cellStyle name="Note 2 2 3 2 3 2 3 2" xfId="16566" xr:uid="{00000000-0005-0000-0000-0000B8400000}"/>
    <cellStyle name="Note 2 2 3 2 3 2 3 2 2" xfId="16567" xr:uid="{00000000-0005-0000-0000-0000B9400000}"/>
    <cellStyle name="Note 2 2 3 2 3 2 3 3" xfId="16568" xr:uid="{00000000-0005-0000-0000-0000BA400000}"/>
    <cellStyle name="Note 2 2 3 2 3 2 4" xfId="16569" xr:uid="{00000000-0005-0000-0000-0000BB400000}"/>
    <cellStyle name="Note 2 2 3 2 3 2 4 2" xfId="16570" xr:uid="{00000000-0005-0000-0000-0000BC400000}"/>
    <cellStyle name="Note 2 2 3 2 3 2 5" xfId="16571" xr:uid="{00000000-0005-0000-0000-0000BD400000}"/>
    <cellStyle name="Note 2 2 3 2 3 3" xfId="16572" xr:uid="{00000000-0005-0000-0000-0000BE400000}"/>
    <cellStyle name="Note 2 2 3 2 3 3 2" xfId="16573" xr:uid="{00000000-0005-0000-0000-0000BF400000}"/>
    <cellStyle name="Note 2 2 3 2 3 3 2 2" xfId="16574" xr:uid="{00000000-0005-0000-0000-0000C0400000}"/>
    <cellStyle name="Note 2 2 3 2 3 3 2 2 2" xfId="16575" xr:uid="{00000000-0005-0000-0000-0000C1400000}"/>
    <cellStyle name="Note 2 2 3 2 3 3 2 3" xfId="16576" xr:uid="{00000000-0005-0000-0000-0000C2400000}"/>
    <cellStyle name="Note 2 2 3 2 3 3 3" xfId="16577" xr:uid="{00000000-0005-0000-0000-0000C3400000}"/>
    <cellStyle name="Note 2 2 3 2 3 3 3 2" xfId="16578" xr:uid="{00000000-0005-0000-0000-0000C4400000}"/>
    <cellStyle name="Note 2 2 3 2 3 3 4" xfId="16579" xr:uid="{00000000-0005-0000-0000-0000C5400000}"/>
    <cellStyle name="Note 2 2 3 2 3 4" xfId="16580" xr:uid="{00000000-0005-0000-0000-0000C6400000}"/>
    <cellStyle name="Note 2 2 3 2 3 4 2" xfId="16581" xr:uid="{00000000-0005-0000-0000-0000C7400000}"/>
    <cellStyle name="Note 2 2 3 2 3 4 2 2" xfId="16582" xr:uid="{00000000-0005-0000-0000-0000C8400000}"/>
    <cellStyle name="Note 2 2 3 2 3 4 3" xfId="16583" xr:uid="{00000000-0005-0000-0000-0000C9400000}"/>
    <cellStyle name="Note 2 2 3 2 3 5" xfId="16584" xr:uid="{00000000-0005-0000-0000-0000CA400000}"/>
    <cellStyle name="Note 2 2 3 2 3 5 2" xfId="16585" xr:uid="{00000000-0005-0000-0000-0000CB400000}"/>
    <cellStyle name="Note 2 2 3 2 3 6" xfId="16586" xr:uid="{00000000-0005-0000-0000-0000CC400000}"/>
    <cellStyle name="Note 2 2 3 2 4" xfId="16587" xr:uid="{00000000-0005-0000-0000-0000CD400000}"/>
    <cellStyle name="Note 2 2 3 2 4 2" xfId="16588" xr:uid="{00000000-0005-0000-0000-0000CE400000}"/>
    <cellStyle name="Note 2 2 3 2 4 2 2" xfId="16589" xr:uid="{00000000-0005-0000-0000-0000CF400000}"/>
    <cellStyle name="Note 2 2 3 2 4 2 2 2" xfId="16590" xr:uid="{00000000-0005-0000-0000-0000D0400000}"/>
    <cellStyle name="Note 2 2 3 2 4 2 2 2 2" xfId="16591" xr:uid="{00000000-0005-0000-0000-0000D1400000}"/>
    <cellStyle name="Note 2 2 3 2 4 2 2 3" xfId="16592" xr:uid="{00000000-0005-0000-0000-0000D2400000}"/>
    <cellStyle name="Note 2 2 3 2 4 2 3" xfId="16593" xr:uid="{00000000-0005-0000-0000-0000D3400000}"/>
    <cellStyle name="Note 2 2 3 2 4 2 3 2" xfId="16594" xr:uid="{00000000-0005-0000-0000-0000D4400000}"/>
    <cellStyle name="Note 2 2 3 2 4 2 4" xfId="16595" xr:uid="{00000000-0005-0000-0000-0000D5400000}"/>
    <cellStyle name="Note 2 2 3 2 4 3" xfId="16596" xr:uid="{00000000-0005-0000-0000-0000D6400000}"/>
    <cellStyle name="Note 2 2 3 2 4 3 2" xfId="16597" xr:uid="{00000000-0005-0000-0000-0000D7400000}"/>
    <cellStyle name="Note 2 2 3 2 4 3 2 2" xfId="16598" xr:uid="{00000000-0005-0000-0000-0000D8400000}"/>
    <cellStyle name="Note 2 2 3 2 4 3 3" xfId="16599" xr:uid="{00000000-0005-0000-0000-0000D9400000}"/>
    <cellStyle name="Note 2 2 3 2 4 4" xfId="16600" xr:uid="{00000000-0005-0000-0000-0000DA400000}"/>
    <cellStyle name="Note 2 2 3 2 4 4 2" xfId="16601" xr:uid="{00000000-0005-0000-0000-0000DB400000}"/>
    <cellStyle name="Note 2 2 3 2 4 5" xfId="16602" xr:uid="{00000000-0005-0000-0000-0000DC400000}"/>
    <cellStyle name="Note 2 2 3 2 5" xfId="16603" xr:uid="{00000000-0005-0000-0000-0000DD400000}"/>
    <cellStyle name="Note 2 2 3 2 5 2" xfId="16604" xr:uid="{00000000-0005-0000-0000-0000DE400000}"/>
    <cellStyle name="Note 2 2 3 2 5 2 2" xfId="16605" xr:uid="{00000000-0005-0000-0000-0000DF400000}"/>
    <cellStyle name="Note 2 2 3 2 5 2 2 2" xfId="16606" xr:uid="{00000000-0005-0000-0000-0000E0400000}"/>
    <cellStyle name="Note 2 2 3 2 5 2 3" xfId="16607" xr:uid="{00000000-0005-0000-0000-0000E1400000}"/>
    <cellStyle name="Note 2 2 3 2 5 3" xfId="16608" xr:uid="{00000000-0005-0000-0000-0000E2400000}"/>
    <cellStyle name="Note 2 2 3 2 5 3 2" xfId="16609" xr:uid="{00000000-0005-0000-0000-0000E3400000}"/>
    <cellStyle name="Note 2 2 3 2 5 4" xfId="16610" xr:uid="{00000000-0005-0000-0000-0000E4400000}"/>
    <cellStyle name="Note 2 2 3 2 6" xfId="16611" xr:uid="{00000000-0005-0000-0000-0000E5400000}"/>
    <cellStyle name="Note 2 2 3 2 6 2" xfId="16612" xr:uid="{00000000-0005-0000-0000-0000E6400000}"/>
    <cellStyle name="Note 2 2 3 2 6 2 2" xfId="16613" xr:uid="{00000000-0005-0000-0000-0000E7400000}"/>
    <cellStyle name="Note 2 2 3 2 6 3" xfId="16614" xr:uid="{00000000-0005-0000-0000-0000E8400000}"/>
    <cellStyle name="Note 2 2 3 2 7" xfId="16615" xr:uid="{00000000-0005-0000-0000-0000E9400000}"/>
    <cellStyle name="Note 2 2 3 2 7 2" xfId="16616" xr:uid="{00000000-0005-0000-0000-0000EA400000}"/>
    <cellStyle name="Note 2 2 3 2 8" xfId="16617" xr:uid="{00000000-0005-0000-0000-0000EB400000}"/>
    <cellStyle name="Note 2 2 3 3" xfId="16618" xr:uid="{00000000-0005-0000-0000-0000EC400000}"/>
    <cellStyle name="Note 2 2 3 3 2" xfId="16619" xr:uid="{00000000-0005-0000-0000-0000ED400000}"/>
    <cellStyle name="Note 2 2 3 3 2 2" xfId="16620" xr:uid="{00000000-0005-0000-0000-0000EE400000}"/>
    <cellStyle name="Note 2 2 3 3 2 2 2" xfId="16621" xr:uid="{00000000-0005-0000-0000-0000EF400000}"/>
    <cellStyle name="Note 2 2 3 3 2 2 2 2" xfId="16622" xr:uid="{00000000-0005-0000-0000-0000F0400000}"/>
    <cellStyle name="Note 2 2 3 3 2 2 2 2 2" xfId="16623" xr:uid="{00000000-0005-0000-0000-0000F1400000}"/>
    <cellStyle name="Note 2 2 3 3 2 2 2 2 2 2" xfId="16624" xr:uid="{00000000-0005-0000-0000-0000F2400000}"/>
    <cellStyle name="Note 2 2 3 3 2 2 2 2 3" xfId="16625" xr:uid="{00000000-0005-0000-0000-0000F3400000}"/>
    <cellStyle name="Note 2 2 3 3 2 2 2 3" xfId="16626" xr:uid="{00000000-0005-0000-0000-0000F4400000}"/>
    <cellStyle name="Note 2 2 3 3 2 2 2 3 2" xfId="16627" xr:uid="{00000000-0005-0000-0000-0000F5400000}"/>
    <cellStyle name="Note 2 2 3 3 2 2 2 4" xfId="16628" xr:uid="{00000000-0005-0000-0000-0000F6400000}"/>
    <cellStyle name="Note 2 2 3 3 2 2 3" xfId="16629" xr:uid="{00000000-0005-0000-0000-0000F7400000}"/>
    <cellStyle name="Note 2 2 3 3 2 2 3 2" xfId="16630" xr:uid="{00000000-0005-0000-0000-0000F8400000}"/>
    <cellStyle name="Note 2 2 3 3 2 2 3 2 2" xfId="16631" xr:uid="{00000000-0005-0000-0000-0000F9400000}"/>
    <cellStyle name="Note 2 2 3 3 2 2 3 3" xfId="16632" xr:uid="{00000000-0005-0000-0000-0000FA400000}"/>
    <cellStyle name="Note 2 2 3 3 2 2 4" xfId="16633" xr:uid="{00000000-0005-0000-0000-0000FB400000}"/>
    <cellStyle name="Note 2 2 3 3 2 2 4 2" xfId="16634" xr:uid="{00000000-0005-0000-0000-0000FC400000}"/>
    <cellStyle name="Note 2 2 3 3 2 2 5" xfId="16635" xr:uid="{00000000-0005-0000-0000-0000FD400000}"/>
    <cellStyle name="Note 2 2 3 3 2 3" xfId="16636" xr:uid="{00000000-0005-0000-0000-0000FE400000}"/>
    <cellStyle name="Note 2 2 3 3 2 3 2" xfId="16637" xr:uid="{00000000-0005-0000-0000-0000FF400000}"/>
    <cellStyle name="Note 2 2 3 3 2 3 2 2" xfId="16638" xr:uid="{00000000-0005-0000-0000-000000410000}"/>
    <cellStyle name="Note 2 2 3 3 2 3 2 2 2" xfId="16639" xr:uid="{00000000-0005-0000-0000-000001410000}"/>
    <cellStyle name="Note 2 2 3 3 2 3 2 3" xfId="16640" xr:uid="{00000000-0005-0000-0000-000002410000}"/>
    <cellStyle name="Note 2 2 3 3 2 3 3" xfId="16641" xr:uid="{00000000-0005-0000-0000-000003410000}"/>
    <cellStyle name="Note 2 2 3 3 2 3 3 2" xfId="16642" xr:uid="{00000000-0005-0000-0000-000004410000}"/>
    <cellStyle name="Note 2 2 3 3 2 3 4" xfId="16643" xr:uid="{00000000-0005-0000-0000-000005410000}"/>
    <cellStyle name="Note 2 2 3 3 2 4" xfId="16644" xr:uid="{00000000-0005-0000-0000-000006410000}"/>
    <cellStyle name="Note 2 2 3 3 2 4 2" xfId="16645" xr:uid="{00000000-0005-0000-0000-000007410000}"/>
    <cellStyle name="Note 2 2 3 3 2 4 2 2" xfId="16646" xr:uid="{00000000-0005-0000-0000-000008410000}"/>
    <cellStyle name="Note 2 2 3 3 2 4 3" xfId="16647" xr:uid="{00000000-0005-0000-0000-000009410000}"/>
    <cellStyle name="Note 2 2 3 3 2 5" xfId="16648" xr:uid="{00000000-0005-0000-0000-00000A410000}"/>
    <cellStyle name="Note 2 2 3 3 2 5 2" xfId="16649" xr:uid="{00000000-0005-0000-0000-00000B410000}"/>
    <cellStyle name="Note 2 2 3 3 2 6" xfId="16650" xr:uid="{00000000-0005-0000-0000-00000C410000}"/>
    <cellStyle name="Note 2 2 3 3 3" xfId="16651" xr:uid="{00000000-0005-0000-0000-00000D410000}"/>
    <cellStyle name="Note 2 2 3 3 3 2" xfId="16652" xr:uid="{00000000-0005-0000-0000-00000E410000}"/>
    <cellStyle name="Note 2 2 3 3 3 2 2" xfId="16653" xr:uid="{00000000-0005-0000-0000-00000F410000}"/>
    <cellStyle name="Note 2 2 3 3 3 2 2 2" xfId="16654" xr:uid="{00000000-0005-0000-0000-000010410000}"/>
    <cellStyle name="Note 2 2 3 3 3 2 2 2 2" xfId="16655" xr:uid="{00000000-0005-0000-0000-000011410000}"/>
    <cellStyle name="Note 2 2 3 3 3 2 2 3" xfId="16656" xr:uid="{00000000-0005-0000-0000-000012410000}"/>
    <cellStyle name="Note 2 2 3 3 3 2 3" xfId="16657" xr:uid="{00000000-0005-0000-0000-000013410000}"/>
    <cellStyle name="Note 2 2 3 3 3 2 3 2" xfId="16658" xr:uid="{00000000-0005-0000-0000-000014410000}"/>
    <cellStyle name="Note 2 2 3 3 3 2 4" xfId="16659" xr:uid="{00000000-0005-0000-0000-000015410000}"/>
    <cellStyle name="Note 2 2 3 3 3 3" xfId="16660" xr:uid="{00000000-0005-0000-0000-000016410000}"/>
    <cellStyle name="Note 2 2 3 3 3 3 2" xfId="16661" xr:uid="{00000000-0005-0000-0000-000017410000}"/>
    <cellStyle name="Note 2 2 3 3 3 3 2 2" xfId="16662" xr:uid="{00000000-0005-0000-0000-000018410000}"/>
    <cellStyle name="Note 2 2 3 3 3 3 3" xfId="16663" xr:uid="{00000000-0005-0000-0000-000019410000}"/>
    <cellStyle name="Note 2 2 3 3 3 4" xfId="16664" xr:uid="{00000000-0005-0000-0000-00001A410000}"/>
    <cellStyle name="Note 2 2 3 3 3 4 2" xfId="16665" xr:uid="{00000000-0005-0000-0000-00001B410000}"/>
    <cellStyle name="Note 2 2 3 3 3 5" xfId="16666" xr:uid="{00000000-0005-0000-0000-00001C410000}"/>
    <cellStyle name="Note 2 2 3 3 4" xfId="16667" xr:uid="{00000000-0005-0000-0000-00001D410000}"/>
    <cellStyle name="Note 2 2 3 3 4 2" xfId="16668" xr:uid="{00000000-0005-0000-0000-00001E410000}"/>
    <cellStyle name="Note 2 2 3 3 4 2 2" xfId="16669" xr:uid="{00000000-0005-0000-0000-00001F410000}"/>
    <cellStyle name="Note 2 2 3 3 4 2 2 2" xfId="16670" xr:uid="{00000000-0005-0000-0000-000020410000}"/>
    <cellStyle name="Note 2 2 3 3 4 2 3" xfId="16671" xr:uid="{00000000-0005-0000-0000-000021410000}"/>
    <cellStyle name="Note 2 2 3 3 4 3" xfId="16672" xr:uid="{00000000-0005-0000-0000-000022410000}"/>
    <cellStyle name="Note 2 2 3 3 4 3 2" xfId="16673" xr:uid="{00000000-0005-0000-0000-000023410000}"/>
    <cellStyle name="Note 2 2 3 3 4 4" xfId="16674" xr:uid="{00000000-0005-0000-0000-000024410000}"/>
    <cellStyle name="Note 2 2 3 3 5" xfId="16675" xr:uid="{00000000-0005-0000-0000-000025410000}"/>
    <cellStyle name="Note 2 2 3 3 5 2" xfId="16676" xr:uid="{00000000-0005-0000-0000-000026410000}"/>
    <cellStyle name="Note 2 2 3 3 5 2 2" xfId="16677" xr:uid="{00000000-0005-0000-0000-000027410000}"/>
    <cellStyle name="Note 2 2 3 3 5 3" xfId="16678" xr:uid="{00000000-0005-0000-0000-000028410000}"/>
    <cellStyle name="Note 2 2 3 3 6" xfId="16679" xr:uid="{00000000-0005-0000-0000-000029410000}"/>
    <cellStyle name="Note 2 2 3 3 6 2" xfId="16680" xr:uid="{00000000-0005-0000-0000-00002A410000}"/>
    <cellStyle name="Note 2 2 3 3 7" xfId="16681" xr:uid="{00000000-0005-0000-0000-00002B410000}"/>
    <cellStyle name="Note 2 2 3 4" xfId="16682" xr:uid="{00000000-0005-0000-0000-00002C410000}"/>
    <cellStyle name="Note 2 2 3 4 2" xfId="16683" xr:uid="{00000000-0005-0000-0000-00002D410000}"/>
    <cellStyle name="Note 2 2 3 4 2 2" xfId="16684" xr:uid="{00000000-0005-0000-0000-00002E410000}"/>
    <cellStyle name="Note 2 2 3 4 2 2 2" xfId="16685" xr:uid="{00000000-0005-0000-0000-00002F410000}"/>
    <cellStyle name="Note 2 2 3 4 2 2 2 2" xfId="16686" xr:uid="{00000000-0005-0000-0000-000030410000}"/>
    <cellStyle name="Note 2 2 3 4 2 2 2 2 2" xfId="16687" xr:uid="{00000000-0005-0000-0000-000031410000}"/>
    <cellStyle name="Note 2 2 3 4 2 2 2 3" xfId="16688" xr:uid="{00000000-0005-0000-0000-000032410000}"/>
    <cellStyle name="Note 2 2 3 4 2 2 3" xfId="16689" xr:uid="{00000000-0005-0000-0000-000033410000}"/>
    <cellStyle name="Note 2 2 3 4 2 2 3 2" xfId="16690" xr:uid="{00000000-0005-0000-0000-000034410000}"/>
    <cellStyle name="Note 2 2 3 4 2 2 4" xfId="16691" xr:uid="{00000000-0005-0000-0000-000035410000}"/>
    <cellStyle name="Note 2 2 3 4 2 3" xfId="16692" xr:uid="{00000000-0005-0000-0000-000036410000}"/>
    <cellStyle name="Note 2 2 3 4 2 3 2" xfId="16693" xr:uid="{00000000-0005-0000-0000-000037410000}"/>
    <cellStyle name="Note 2 2 3 4 2 3 2 2" xfId="16694" xr:uid="{00000000-0005-0000-0000-000038410000}"/>
    <cellStyle name="Note 2 2 3 4 2 3 3" xfId="16695" xr:uid="{00000000-0005-0000-0000-000039410000}"/>
    <cellStyle name="Note 2 2 3 4 2 4" xfId="16696" xr:uid="{00000000-0005-0000-0000-00003A410000}"/>
    <cellStyle name="Note 2 2 3 4 2 4 2" xfId="16697" xr:uid="{00000000-0005-0000-0000-00003B410000}"/>
    <cellStyle name="Note 2 2 3 4 2 5" xfId="16698" xr:uid="{00000000-0005-0000-0000-00003C410000}"/>
    <cellStyle name="Note 2 2 3 4 3" xfId="16699" xr:uid="{00000000-0005-0000-0000-00003D410000}"/>
    <cellStyle name="Note 2 2 3 4 3 2" xfId="16700" xr:uid="{00000000-0005-0000-0000-00003E410000}"/>
    <cellStyle name="Note 2 2 3 4 3 2 2" xfId="16701" xr:uid="{00000000-0005-0000-0000-00003F410000}"/>
    <cellStyle name="Note 2 2 3 4 3 2 2 2" xfId="16702" xr:uid="{00000000-0005-0000-0000-000040410000}"/>
    <cellStyle name="Note 2 2 3 4 3 2 3" xfId="16703" xr:uid="{00000000-0005-0000-0000-000041410000}"/>
    <cellStyle name="Note 2 2 3 4 3 3" xfId="16704" xr:uid="{00000000-0005-0000-0000-000042410000}"/>
    <cellStyle name="Note 2 2 3 4 3 3 2" xfId="16705" xr:uid="{00000000-0005-0000-0000-000043410000}"/>
    <cellStyle name="Note 2 2 3 4 3 4" xfId="16706" xr:uid="{00000000-0005-0000-0000-000044410000}"/>
    <cellStyle name="Note 2 2 3 4 4" xfId="16707" xr:uid="{00000000-0005-0000-0000-000045410000}"/>
    <cellStyle name="Note 2 2 3 4 4 2" xfId="16708" xr:uid="{00000000-0005-0000-0000-000046410000}"/>
    <cellStyle name="Note 2 2 3 4 4 2 2" xfId="16709" xr:uid="{00000000-0005-0000-0000-000047410000}"/>
    <cellStyle name="Note 2 2 3 4 4 3" xfId="16710" xr:uid="{00000000-0005-0000-0000-000048410000}"/>
    <cellStyle name="Note 2 2 3 4 5" xfId="16711" xr:uid="{00000000-0005-0000-0000-000049410000}"/>
    <cellStyle name="Note 2 2 3 4 5 2" xfId="16712" xr:uid="{00000000-0005-0000-0000-00004A410000}"/>
    <cellStyle name="Note 2 2 3 4 6" xfId="16713" xr:uid="{00000000-0005-0000-0000-00004B410000}"/>
    <cellStyle name="Note 2 2 3 5" xfId="16714" xr:uid="{00000000-0005-0000-0000-00004C410000}"/>
    <cellStyle name="Note 2 2 3 5 2" xfId="16715" xr:uid="{00000000-0005-0000-0000-00004D410000}"/>
    <cellStyle name="Note 2 2 3 5 2 2" xfId="16716" xr:uid="{00000000-0005-0000-0000-00004E410000}"/>
    <cellStyle name="Note 2 2 3 5 2 2 2" xfId="16717" xr:uid="{00000000-0005-0000-0000-00004F410000}"/>
    <cellStyle name="Note 2 2 3 5 2 2 2 2" xfId="16718" xr:uid="{00000000-0005-0000-0000-000050410000}"/>
    <cellStyle name="Note 2 2 3 5 2 2 3" xfId="16719" xr:uid="{00000000-0005-0000-0000-000051410000}"/>
    <cellStyle name="Note 2 2 3 5 2 3" xfId="16720" xr:uid="{00000000-0005-0000-0000-000052410000}"/>
    <cellStyle name="Note 2 2 3 5 2 3 2" xfId="16721" xr:uid="{00000000-0005-0000-0000-000053410000}"/>
    <cellStyle name="Note 2 2 3 5 2 4" xfId="16722" xr:uid="{00000000-0005-0000-0000-000054410000}"/>
    <cellStyle name="Note 2 2 3 5 3" xfId="16723" xr:uid="{00000000-0005-0000-0000-000055410000}"/>
    <cellStyle name="Note 2 2 3 5 3 2" xfId="16724" xr:uid="{00000000-0005-0000-0000-000056410000}"/>
    <cellStyle name="Note 2 2 3 5 3 2 2" xfId="16725" xr:uid="{00000000-0005-0000-0000-000057410000}"/>
    <cellStyle name="Note 2 2 3 5 3 3" xfId="16726" xr:uid="{00000000-0005-0000-0000-000058410000}"/>
    <cellStyle name="Note 2 2 3 5 4" xfId="16727" xr:uid="{00000000-0005-0000-0000-000059410000}"/>
    <cellStyle name="Note 2 2 3 5 4 2" xfId="16728" xr:uid="{00000000-0005-0000-0000-00005A410000}"/>
    <cellStyle name="Note 2 2 3 5 5" xfId="16729" xr:uid="{00000000-0005-0000-0000-00005B410000}"/>
    <cellStyle name="Note 2 2 3 6" xfId="16730" xr:uid="{00000000-0005-0000-0000-00005C410000}"/>
    <cellStyle name="Note 2 2 3 6 2" xfId="16731" xr:uid="{00000000-0005-0000-0000-00005D410000}"/>
    <cellStyle name="Note 2 2 3 6 2 2" xfId="16732" xr:uid="{00000000-0005-0000-0000-00005E410000}"/>
    <cellStyle name="Note 2 2 3 6 2 2 2" xfId="16733" xr:uid="{00000000-0005-0000-0000-00005F410000}"/>
    <cellStyle name="Note 2 2 3 6 2 3" xfId="16734" xr:uid="{00000000-0005-0000-0000-000060410000}"/>
    <cellStyle name="Note 2 2 3 6 3" xfId="16735" xr:uid="{00000000-0005-0000-0000-000061410000}"/>
    <cellStyle name="Note 2 2 3 6 3 2" xfId="16736" xr:uid="{00000000-0005-0000-0000-000062410000}"/>
    <cellStyle name="Note 2 2 3 6 4" xfId="16737" xr:uid="{00000000-0005-0000-0000-000063410000}"/>
    <cellStyle name="Note 2 2 3 7" xfId="16738" xr:uid="{00000000-0005-0000-0000-000064410000}"/>
    <cellStyle name="Note 2 2 3 7 2" xfId="16739" xr:uid="{00000000-0005-0000-0000-000065410000}"/>
    <cellStyle name="Note 2 2 3 7 2 2" xfId="16740" xr:uid="{00000000-0005-0000-0000-000066410000}"/>
    <cellStyle name="Note 2 2 3 7 3" xfId="16741" xr:uid="{00000000-0005-0000-0000-000067410000}"/>
    <cellStyle name="Note 2 2 3 8" xfId="16742" xr:uid="{00000000-0005-0000-0000-000068410000}"/>
    <cellStyle name="Note 2 2 3 8 2" xfId="16743" xr:uid="{00000000-0005-0000-0000-000069410000}"/>
    <cellStyle name="Note 2 2 3 9" xfId="16744" xr:uid="{00000000-0005-0000-0000-00006A410000}"/>
    <cellStyle name="Note 2 2 4" xfId="16745" xr:uid="{00000000-0005-0000-0000-00006B410000}"/>
    <cellStyle name="Note 2 2 4 2" xfId="16746" xr:uid="{00000000-0005-0000-0000-00006C410000}"/>
    <cellStyle name="Note 2 2 4 2 2" xfId="16747" xr:uid="{00000000-0005-0000-0000-00006D410000}"/>
    <cellStyle name="Note 2 2 4 2 2 2" xfId="16748" xr:uid="{00000000-0005-0000-0000-00006E410000}"/>
    <cellStyle name="Note 2 2 4 2 2 2 2" xfId="16749" xr:uid="{00000000-0005-0000-0000-00006F410000}"/>
    <cellStyle name="Note 2 2 4 2 2 2 2 2" xfId="16750" xr:uid="{00000000-0005-0000-0000-000070410000}"/>
    <cellStyle name="Note 2 2 4 2 2 2 2 2 2" xfId="16751" xr:uid="{00000000-0005-0000-0000-000071410000}"/>
    <cellStyle name="Note 2 2 4 2 2 2 2 2 2 2" xfId="16752" xr:uid="{00000000-0005-0000-0000-000072410000}"/>
    <cellStyle name="Note 2 2 4 2 2 2 2 2 3" xfId="16753" xr:uid="{00000000-0005-0000-0000-000073410000}"/>
    <cellStyle name="Note 2 2 4 2 2 2 2 3" xfId="16754" xr:uid="{00000000-0005-0000-0000-000074410000}"/>
    <cellStyle name="Note 2 2 4 2 2 2 2 3 2" xfId="16755" xr:uid="{00000000-0005-0000-0000-000075410000}"/>
    <cellStyle name="Note 2 2 4 2 2 2 2 4" xfId="16756" xr:uid="{00000000-0005-0000-0000-000076410000}"/>
    <cellStyle name="Note 2 2 4 2 2 2 3" xfId="16757" xr:uid="{00000000-0005-0000-0000-000077410000}"/>
    <cellStyle name="Note 2 2 4 2 2 2 3 2" xfId="16758" xr:uid="{00000000-0005-0000-0000-000078410000}"/>
    <cellStyle name="Note 2 2 4 2 2 2 3 2 2" xfId="16759" xr:uid="{00000000-0005-0000-0000-000079410000}"/>
    <cellStyle name="Note 2 2 4 2 2 2 3 3" xfId="16760" xr:uid="{00000000-0005-0000-0000-00007A410000}"/>
    <cellStyle name="Note 2 2 4 2 2 2 4" xfId="16761" xr:uid="{00000000-0005-0000-0000-00007B410000}"/>
    <cellStyle name="Note 2 2 4 2 2 2 4 2" xfId="16762" xr:uid="{00000000-0005-0000-0000-00007C410000}"/>
    <cellStyle name="Note 2 2 4 2 2 2 5" xfId="16763" xr:uid="{00000000-0005-0000-0000-00007D410000}"/>
    <cellStyle name="Note 2 2 4 2 2 3" xfId="16764" xr:uid="{00000000-0005-0000-0000-00007E410000}"/>
    <cellStyle name="Note 2 2 4 2 2 3 2" xfId="16765" xr:uid="{00000000-0005-0000-0000-00007F410000}"/>
    <cellStyle name="Note 2 2 4 2 2 3 2 2" xfId="16766" xr:uid="{00000000-0005-0000-0000-000080410000}"/>
    <cellStyle name="Note 2 2 4 2 2 3 2 2 2" xfId="16767" xr:uid="{00000000-0005-0000-0000-000081410000}"/>
    <cellStyle name="Note 2 2 4 2 2 3 2 3" xfId="16768" xr:uid="{00000000-0005-0000-0000-000082410000}"/>
    <cellStyle name="Note 2 2 4 2 2 3 3" xfId="16769" xr:uid="{00000000-0005-0000-0000-000083410000}"/>
    <cellStyle name="Note 2 2 4 2 2 3 3 2" xfId="16770" xr:uid="{00000000-0005-0000-0000-000084410000}"/>
    <cellStyle name="Note 2 2 4 2 2 3 4" xfId="16771" xr:uid="{00000000-0005-0000-0000-000085410000}"/>
    <cellStyle name="Note 2 2 4 2 2 4" xfId="16772" xr:uid="{00000000-0005-0000-0000-000086410000}"/>
    <cellStyle name="Note 2 2 4 2 2 4 2" xfId="16773" xr:uid="{00000000-0005-0000-0000-000087410000}"/>
    <cellStyle name="Note 2 2 4 2 2 4 2 2" xfId="16774" xr:uid="{00000000-0005-0000-0000-000088410000}"/>
    <cellStyle name="Note 2 2 4 2 2 4 3" xfId="16775" xr:uid="{00000000-0005-0000-0000-000089410000}"/>
    <cellStyle name="Note 2 2 4 2 2 5" xfId="16776" xr:uid="{00000000-0005-0000-0000-00008A410000}"/>
    <cellStyle name="Note 2 2 4 2 2 5 2" xfId="16777" xr:uid="{00000000-0005-0000-0000-00008B410000}"/>
    <cellStyle name="Note 2 2 4 2 2 6" xfId="16778" xr:uid="{00000000-0005-0000-0000-00008C410000}"/>
    <cellStyle name="Note 2 2 4 2 3" xfId="16779" xr:uid="{00000000-0005-0000-0000-00008D410000}"/>
    <cellStyle name="Note 2 2 4 2 3 2" xfId="16780" xr:uid="{00000000-0005-0000-0000-00008E410000}"/>
    <cellStyle name="Note 2 2 4 2 3 2 2" xfId="16781" xr:uid="{00000000-0005-0000-0000-00008F410000}"/>
    <cellStyle name="Note 2 2 4 2 3 2 2 2" xfId="16782" xr:uid="{00000000-0005-0000-0000-000090410000}"/>
    <cellStyle name="Note 2 2 4 2 3 2 2 2 2" xfId="16783" xr:uid="{00000000-0005-0000-0000-000091410000}"/>
    <cellStyle name="Note 2 2 4 2 3 2 2 3" xfId="16784" xr:uid="{00000000-0005-0000-0000-000092410000}"/>
    <cellStyle name="Note 2 2 4 2 3 2 3" xfId="16785" xr:uid="{00000000-0005-0000-0000-000093410000}"/>
    <cellStyle name="Note 2 2 4 2 3 2 3 2" xfId="16786" xr:uid="{00000000-0005-0000-0000-000094410000}"/>
    <cellStyle name="Note 2 2 4 2 3 2 4" xfId="16787" xr:uid="{00000000-0005-0000-0000-000095410000}"/>
    <cellStyle name="Note 2 2 4 2 3 3" xfId="16788" xr:uid="{00000000-0005-0000-0000-000096410000}"/>
    <cellStyle name="Note 2 2 4 2 3 3 2" xfId="16789" xr:uid="{00000000-0005-0000-0000-000097410000}"/>
    <cellStyle name="Note 2 2 4 2 3 3 2 2" xfId="16790" xr:uid="{00000000-0005-0000-0000-000098410000}"/>
    <cellStyle name="Note 2 2 4 2 3 3 3" xfId="16791" xr:uid="{00000000-0005-0000-0000-000099410000}"/>
    <cellStyle name="Note 2 2 4 2 3 4" xfId="16792" xr:uid="{00000000-0005-0000-0000-00009A410000}"/>
    <cellStyle name="Note 2 2 4 2 3 4 2" xfId="16793" xr:uid="{00000000-0005-0000-0000-00009B410000}"/>
    <cellStyle name="Note 2 2 4 2 3 5" xfId="16794" xr:uid="{00000000-0005-0000-0000-00009C410000}"/>
    <cellStyle name="Note 2 2 4 2 4" xfId="16795" xr:uid="{00000000-0005-0000-0000-00009D410000}"/>
    <cellStyle name="Note 2 2 4 2 4 2" xfId="16796" xr:uid="{00000000-0005-0000-0000-00009E410000}"/>
    <cellStyle name="Note 2 2 4 2 4 2 2" xfId="16797" xr:uid="{00000000-0005-0000-0000-00009F410000}"/>
    <cellStyle name="Note 2 2 4 2 4 2 2 2" xfId="16798" xr:uid="{00000000-0005-0000-0000-0000A0410000}"/>
    <cellStyle name="Note 2 2 4 2 4 2 3" xfId="16799" xr:uid="{00000000-0005-0000-0000-0000A1410000}"/>
    <cellStyle name="Note 2 2 4 2 4 3" xfId="16800" xr:uid="{00000000-0005-0000-0000-0000A2410000}"/>
    <cellStyle name="Note 2 2 4 2 4 3 2" xfId="16801" xr:uid="{00000000-0005-0000-0000-0000A3410000}"/>
    <cellStyle name="Note 2 2 4 2 4 4" xfId="16802" xr:uid="{00000000-0005-0000-0000-0000A4410000}"/>
    <cellStyle name="Note 2 2 4 2 5" xfId="16803" xr:uid="{00000000-0005-0000-0000-0000A5410000}"/>
    <cellStyle name="Note 2 2 4 2 5 2" xfId="16804" xr:uid="{00000000-0005-0000-0000-0000A6410000}"/>
    <cellStyle name="Note 2 2 4 2 5 2 2" xfId="16805" xr:uid="{00000000-0005-0000-0000-0000A7410000}"/>
    <cellStyle name="Note 2 2 4 2 5 3" xfId="16806" xr:uid="{00000000-0005-0000-0000-0000A8410000}"/>
    <cellStyle name="Note 2 2 4 2 6" xfId="16807" xr:uid="{00000000-0005-0000-0000-0000A9410000}"/>
    <cellStyle name="Note 2 2 4 2 6 2" xfId="16808" xr:uid="{00000000-0005-0000-0000-0000AA410000}"/>
    <cellStyle name="Note 2 2 4 2 7" xfId="16809" xr:uid="{00000000-0005-0000-0000-0000AB410000}"/>
    <cellStyle name="Note 2 2 4 3" xfId="16810" xr:uid="{00000000-0005-0000-0000-0000AC410000}"/>
    <cellStyle name="Note 2 2 4 3 2" xfId="16811" xr:uid="{00000000-0005-0000-0000-0000AD410000}"/>
    <cellStyle name="Note 2 2 4 3 2 2" xfId="16812" xr:uid="{00000000-0005-0000-0000-0000AE410000}"/>
    <cellStyle name="Note 2 2 4 3 2 2 2" xfId="16813" xr:uid="{00000000-0005-0000-0000-0000AF410000}"/>
    <cellStyle name="Note 2 2 4 3 2 2 2 2" xfId="16814" xr:uid="{00000000-0005-0000-0000-0000B0410000}"/>
    <cellStyle name="Note 2 2 4 3 2 2 2 2 2" xfId="16815" xr:uid="{00000000-0005-0000-0000-0000B1410000}"/>
    <cellStyle name="Note 2 2 4 3 2 2 2 3" xfId="16816" xr:uid="{00000000-0005-0000-0000-0000B2410000}"/>
    <cellStyle name="Note 2 2 4 3 2 2 3" xfId="16817" xr:uid="{00000000-0005-0000-0000-0000B3410000}"/>
    <cellStyle name="Note 2 2 4 3 2 2 3 2" xfId="16818" xr:uid="{00000000-0005-0000-0000-0000B4410000}"/>
    <cellStyle name="Note 2 2 4 3 2 2 4" xfId="16819" xr:uid="{00000000-0005-0000-0000-0000B5410000}"/>
    <cellStyle name="Note 2 2 4 3 2 3" xfId="16820" xr:uid="{00000000-0005-0000-0000-0000B6410000}"/>
    <cellStyle name="Note 2 2 4 3 2 3 2" xfId="16821" xr:uid="{00000000-0005-0000-0000-0000B7410000}"/>
    <cellStyle name="Note 2 2 4 3 2 3 2 2" xfId="16822" xr:uid="{00000000-0005-0000-0000-0000B8410000}"/>
    <cellStyle name="Note 2 2 4 3 2 3 3" xfId="16823" xr:uid="{00000000-0005-0000-0000-0000B9410000}"/>
    <cellStyle name="Note 2 2 4 3 2 4" xfId="16824" xr:uid="{00000000-0005-0000-0000-0000BA410000}"/>
    <cellStyle name="Note 2 2 4 3 2 4 2" xfId="16825" xr:uid="{00000000-0005-0000-0000-0000BB410000}"/>
    <cellStyle name="Note 2 2 4 3 2 5" xfId="16826" xr:uid="{00000000-0005-0000-0000-0000BC410000}"/>
    <cellStyle name="Note 2 2 4 3 3" xfId="16827" xr:uid="{00000000-0005-0000-0000-0000BD410000}"/>
    <cellStyle name="Note 2 2 4 3 3 2" xfId="16828" xr:uid="{00000000-0005-0000-0000-0000BE410000}"/>
    <cellStyle name="Note 2 2 4 3 3 2 2" xfId="16829" xr:uid="{00000000-0005-0000-0000-0000BF410000}"/>
    <cellStyle name="Note 2 2 4 3 3 2 2 2" xfId="16830" xr:uid="{00000000-0005-0000-0000-0000C0410000}"/>
    <cellStyle name="Note 2 2 4 3 3 2 3" xfId="16831" xr:uid="{00000000-0005-0000-0000-0000C1410000}"/>
    <cellStyle name="Note 2 2 4 3 3 3" xfId="16832" xr:uid="{00000000-0005-0000-0000-0000C2410000}"/>
    <cellStyle name="Note 2 2 4 3 3 3 2" xfId="16833" xr:uid="{00000000-0005-0000-0000-0000C3410000}"/>
    <cellStyle name="Note 2 2 4 3 3 4" xfId="16834" xr:uid="{00000000-0005-0000-0000-0000C4410000}"/>
    <cellStyle name="Note 2 2 4 3 4" xfId="16835" xr:uid="{00000000-0005-0000-0000-0000C5410000}"/>
    <cellStyle name="Note 2 2 4 3 4 2" xfId="16836" xr:uid="{00000000-0005-0000-0000-0000C6410000}"/>
    <cellStyle name="Note 2 2 4 3 4 2 2" xfId="16837" xr:uid="{00000000-0005-0000-0000-0000C7410000}"/>
    <cellStyle name="Note 2 2 4 3 4 3" xfId="16838" xr:uid="{00000000-0005-0000-0000-0000C8410000}"/>
    <cellStyle name="Note 2 2 4 3 5" xfId="16839" xr:uid="{00000000-0005-0000-0000-0000C9410000}"/>
    <cellStyle name="Note 2 2 4 3 5 2" xfId="16840" xr:uid="{00000000-0005-0000-0000-0000CA410000}"/>
    <cellStyle name="Note 2 2 4 3 6" xfId="16841" xr:uid="{00000000-0005-0000-0000-0000CB410000}"/>
    <cellStyle name="Note 2 2 4 4" xfId="16842" xr:uid="{00000000-0005-0000-0000-0000CC410000}"/>
    <cellStyle name="Note 2 2 4 4 2" xfId="16843" xr:uid="{00000000-0005-0000-0000-0000CD410000}"/>
    <cellStyle name="Note 2 2 4 4 2 2" xfId="16844" xr:uid="{00000000-0005-0000-0000-0000CE410000}"/>
    <cellStyle name="Note 2 2 4 4 2 2 2" xfId="16845" xr:uid="{00000000-0005-0000-0000-0000CF410000}"/>
    <cellStyle name="Note 2 2 4 4 2 2 2 2" xfId="16846" xr:uid="{00000000-0005-0000-0000-0000D0410000}"/>
    <cellStyle name="Note 2 2 4 4 2 2 3" xfId="16847" xr:uid="{00000000-0005-0000-0000-0000D1410000}"/>
    <cellStyle name="Note 2 2 4 4 2 3" xfId="16848" xr:uid="{00000000-0005-0000-0000-0000D2410000}"/>
    <cellStyle name="Note 2 2 4 4 2 3 2" xfId="16849" xr:uid="{00000000-0005-0000-0000-0000D3410000}"/>
    <cellStyle name="Note 2 2 4 4 2 4" xfId="16850" xr:uid="{00000000-0005-0000-0000-0000D4410000}"/>
    <cellStyle name="Note 2 2 4 4 3" xfId="16851" xr:uid="{00000000-0005-0000-0000-0000D5410000}"/>
    <cellStyle name="Note 2 2 4 4 3 2" xfId="16852" xr:uid="{00000000-0005-0000-0000-0000D6410000}"/>
    <cellStyle name="Note 2 2 4 4 3 2 2" xfId="16853" xr:uid="{00000000-0005-0000-0000-0000D7410000}"/>
    <cellStyle name="Note 2 2 4 4 3 3" xfId="16854" xr:uid="{00000000-0005-0000-0000-0000D8410000}"/>
    <cellStyle name="Note 2 2 4 4 4" xfId="16855" xr:uid="{00000000-0005-0000-0000-0000D9410000}"/>
    <cellStyle name="Note 2 2 4 4 4 2" xfId="16856" xr:uid="{00000000-0005-0000-0000-0000DA410000}"/>
    <cellStyle name="Note 2 2 4 4 5" xfId="16857" xr:uid="{00000000-0005-0000-0000-0000DB410000}"/>
    <cellStyle name="Note 2 2 4 5" xfId="16858" xr:uid="{00000000-0005-0000-0000-0000DC410000}"/>
    <cellStyle name="Note 2 2 4 5 2" xfId="16859" xr:uid="{00000000-0005-0000-0000-0000DD410000}"/>
    <cellStyle name="Note 2 2 4 5 2 2" xfId="16860" xr:uid="{00000000-0005-0000-0000-0000DE410000}"/>
    <cellStyle name="Note 2 2 4 5 2 2 2" xfId="16861" xr:uid="{00000000-0005-0000-0000-0000DF410000}"/>
    <cellStyle name="Note 2 2 4 5 2 3" xfId="16862" xr:uid="{00000000-0005-0000-0000-0000E0410000}"/>
    <cellStyle name="Note 2 2 4 5 3" xfId="16863" xr:uid="{00000000-0005-0000-0000-0000E1410000}"/>
    <cellStyle name="Note 2 2 4 5 3 2" xfId="16864" xr:uid="{00000000-0005-0000-0000-0000E2410000}"/>
    <cellStyle name="Note 2 2 4 5 4" xfId="16865" xr:uid="{00000000-0005-0000-0000-0000E3410000}"/>
    <cellStyle name="Note 2 2 4 6" xfId="16866" xr:uid="{00000000-0005-0000-0000-0000E4410000}"/>
    <cellStyle name="Note 2 2 4 6 2" xfId="16867" xr:uid="{00000000-0005-0000-0000-0000E5410000}"/>
    <cellStyle name="Note 2 2 4 6 2 2" xfId="16868" xr:uid="{00000000-0005-0000-0000-0000E6410000}"/>
    <cellStyle name="Note 2 2 4 6 3" xfId="16869" xr:uid="{00000000-0005-0000-0000-0000E7410000}"/>
    <cellStyle name="Note 2 2 4 7" xfId="16870" xr:uid="{00000000-0005-0000-0000-0000E8410000}"/>
    <cellStyle name="Note 2 2 4 7 2" xfId="16871" xr:uid="{00000000-0005-0000-0000-0000E9410000}"/>
    <cellStyle name="Note 2 2 4 8" xfId="16872" xr:uid="{00000000-0005-0000-0000-0000EA410000}"/>
    <cellStyle name="Note 2 2 5" xfId="16873" xr:uid="{00000000-0005-0000-0000-0000EB410000}"/>
    <cellStyle name="Note 2 2 5 2" xfId="16874" xr:uid="{00000000-0005-0000-0000-0000EC410000}"/>
    <cellStyle name="Note 2 2 5 2 2" xfId="16875" xr:uid="{00000000-0005-0000-0000-0000ED410000}"/>
    <cellStyle name="Note 2 2 5 2 2 2" xfId="16876" xr:uid="{00000000-0005-0000-0000-0000EE410000}"/>
    <cellStyle name="Note 2 2 5 2 2 2 2" xfId="16877" xr:uid="{00000000-0005-0000-0000-0000EF410000}"/>
    <cellStyle name="Note 2 2 5 2 2 2 2 2" xfId="16878" xr:uid="{00000000-0005-0000-0000-0000F0410000}"/>
    <cellStyle name="Note 2 2 5 2 2 2 2 2 2" xfId="16879" xr:uid="{00000000-0005-0000-0000-0000F1410000}"/>
    <cellStyle name="Note 2 2 5 2 2 2 2 3" xfId="16880" xr:uid="{00000000-0005-0000-0000-0000F2410000}"/>
    <cellStyle name="Note 2 2 5 2 2 2 3" xfId="16881" xr:uid="{00000000-0005-0000-0000-0000F3410000}"/>
    <cellStyle name="Note 2 2 5 2 2 2 3 2" xfId="16882" xr:uid="{00000000-0005-0000-0000-0000F4410000}"/>
    <cellStyle name="Note 2 2 5 2 2 2 4" xfId="16883" xr:uid="{00000000-0005-0000-0000-0000F5410000}"/>
    <cellStyle name="Note 2 2 5 2 2 3" xfId="16884" xr:uid="{00000000-0005-0000-0000-0000F6410000}"/>
    <cellStyle name="Note 2 2 5 2 2 3 2" xfId="16885" xr:uid="{00000000-0005-0000-0000-0000F7410000}"/>
    <cellStyle name="Note 2 2 5 2 2 3 2 2" xfId="16886" xr:uid="{00000000-0005-0000-0000-0000F8410000}"/>
    <cellStyle name="Note 2 2 5 2 2 3 3" xfId="16887" xr:uid="{00000000-0005-0000-0000-0000F9410000}"/>
    <cellStyle name="Note 2 2 5 2 2 4" xfId="16888" xr:uid="{00000000-0005-0000-0000-0000FA410000}"/>
    <cellStyle name="Note 2 2 5 2 2 4 2" xfId="16889" xr:uid="{00000000-0005-0000-0000-0000FB410000}"/>
    <cellStyle name="Note 2 2 5 2 2 5" xfId="16890" xr:uid="{00000000-0005-0000-0000-0000FC410000}"/>
    <cellStyle name="Note 2 2 5 2 3" xfId="16891" xr:uid="{00000000-0005-0000-0000-0000FD410000}"/>
    <cellStyle name="Note 2 2 5 2 3 2" xfId="16892" xr:uid="{00000000-0005-0000-0000-0000FE410000}"/>
    <cellStyle name="Note 2 2 5 2 3 2 2" xfId="16893" xr:uid="{00000000-0005-0000-0000-0000FF410000}"/>
    <cellStyle name="Note 2 2 5 2 3 2 2 2" xfId="16894" xr:uid="{00000000-0005-0000-0000-000000420000}"/>
    <cellStyle name="Note 2 2 5 2 3 2 3" xfId="16895" xr:uid="{00000000-0005-0000-0000-000001420000}"/>
    <cellStyle name="Note 2 2 5 2 3 3" xfId="16896" xr:uid="{00000000-0005-0000-0000-000002420000}"/>
    <cellStyle name="Note 2 2 5 2 3 3 2" xfId="16897" xr:uid="{00000000-0005-0000-0000-000003420000}"/>
    <cellStyle name="Note 2 2 5 2 3 4" xfId="16898" xr:uid="{00000000-0005-0000-0000-000004420000}"/>
    <cellStyle name="Note 2 2 5 2 4" xfId="16899" xr:uid="{00000000-0005-0000-0000-000005420000}"/>
    <cellStyle name="Note 2 2 5 2 4 2" xfId="16900" xr:uid="{00000000-0005-0000-0000-000006420000}"/>
    <cellStyle name="Note 2 2 5 2 4 2 2" xfId="16901" xr:uid="{00000000-0005-0000-0000-000007420000}"/>
    <cellStyle name="Note 2 2 5 2 4 3" xfId="16902" xr:uid="{00000000-0005-0000-0000-000008420000}"/>
    <cellStyle name="Note 2 2 5 2 5" xfId="16903" xr:uid="{00000000-0005-0000-0000-000009420000}"/>
    <cellStyle name="Note 2 2 5 2 5 2" xfId="16904" xr:uid="{00000000-0005-0000-0000-00000A420000}"/>
    <cellStyle name="Note 2 2 5 2 6" xfId="16905" xr:uid="{00000000-0005-0000-0000-00000B420000}"/>
    <cellStyle name="Note 2 2 5 3" xfId="16906" xr:uid="{00000000-0005-0000-0000-00000C420000}"/>
    <cellStyle name="Note 2 2 5 3 2" xfId="16907" xr:uid="{00000000-0005-0000-0000-00000D420000}"/>
    <cellStyle name="Note 2 2 5 3 2 2" xfId="16908" xr:uid="{00000000-0005-0000-0000-00000E420000}"/>
    <cellStyle name="Note 2 2 5 3 2 2 2" xfId="16909" xr:uid="{00000000-0005-0000-0000-00000F420000}"/>
    <cellStyle name="Note 2 2 5 3 2 2 2 2" xfId="16910" xr:uid="{00000000-0005-0000-0000-000010420000}"/>
    <cellStyle name="Note 2 2 5 3 2 2 3" xfId="16911" xr:uid="{00000000-0005-0000-0000-000011420000}"/>
    <cellStyle name="Note 2 2 5 3 2 3" xfId="16912" xr:uid="{00000000-0005-0000-0000-000012420000}"/>
    <cellStyle name="Note 2 2 5 3 2 3 2" xfId="16913" xr:uid="{00000000-0005-0000-0000-000013420000}"/>
    <cellStyle name="Note 2 2 5 3 2 4" xfId="16914" xr:uid="{00000000-0005-0000-0000-000014420000}"/>
    <cellStyle name="Note 2 2 5 3 3" xfId="16915" xr:uid="{00000000-0005-0000-0000-000015420000}"/>
    <cellStyle name="Note 2 2 5 3 3 2" xfId="16916" xr:uid="{00000000-0005-0000-0000-000016420000}"/>
    <cellStyle name="Note 2 2 5 3 3 2 2" xfId="16917" xr:uid="{00000000-0005-0000-0000-000017420000}"/>
    <cellStyle name="Note 2 2 5 3 3 3" xfId="16918" xr:uid="{00000000-0005-0000-0000-000018420000}"/>
    <cellStyle name="Note 2 2 5 3 4" xfId="16919" xr:uid="{00000000-0005-0000-0000-000019420000}"/>
    <cellStyle name="Note 2 2 5 3 4 2" xfId="16920" xr:uid="{00000000-0005-0000-0000-00001A420000}"/>
    <cellStyle name="Note 2 2 5 3 5" xfId="16921" xr:uid="{00000000-0005-0000-0000-00001B420000}"/>
    <cellStyle name="Note 2 2 5 4" xfId="16922" xr:uid="{00000000-0005-0000-0000-00001C420000}"/>
    <cellStyle name="Note 2 2 5 4 2" xfId="16923" xr:uid="{00000000-0005-0000-0000-00001D420000}"/>
    <cellStyle name="Note 2 2 5 4 2 2" xfId="16924" xr:uid="{00000000-0005-0000-0000-00001E420000}"/>
    <cellStyle name="Note 2 2 5 4 2 2 2" xfId="16925" xr:uid="{00000000-0005-0000-0000-00001F420000}"/>
    <cellStyle name="Note 2 2 5 4 2 3" xfId="16926" xr:uid="{00000000-0005-0000-0000-000020420000}"/>
    <cellStyle name="Note 2 2 5 4 3" xfId="16927" xr:uid="{00000000-0005-0000-0000-000021420000}"/>
    <cellStyle name="Note 2 2 5 4 3 2" xfId="16928" xr:uid="{00000000-0005-0000-0000-000022420000}"/>
    <cellStyle name="Note 2 2 5 4 4" xfId="16929" xr:uid="{00000000-0005-0000-0000-000023420000}"/>
    <cellStyle name="Note 2 2 5 5" xfId="16930" xr:uid="{00000000-0005-0000-0000-000024420000}"/>
    <cellStyle name="Note 2 2 5 5 2" xfId="16931" xr:uid="{00000000-0005-0000-0000-000025420000}"/>
    <cellStyle name="Note 2 2 5 5 2 2" xfId="16932" xr:uid="{00000000-0005-0000-0000-000026420000}"/>
    <cellStyle name="Note 2 2 5 5 3" xfId="16933" xr:uid="{00000000-0005-0000-0000-000027420000}"/>
    <cellStyle name="Note 2 2 5 6" xfId="16934" xr:uid="{00000000-0005-0000-0000-000028420000}"/>
    <cellStyle name="Note 2 2 5 6 2" xfId="16935" xr:uid="{00000000-0005-0000-0000-000029420000}"/>
    <cellStyle name="Note 2 2 5 7" xfId="16936" xr:uid="{00000000-0005-0000-0000-00002A420000}"/>
    <cellStyle name="Note 2 2 6" xfId="16937" xr:uid="{00000000-0005-0000-0000-00002B420000}"/>
    <cellStyle name="Note 2 2 6 2" xfId="16938" xr:uid="{00000000-0005-0000-0000-00002C420000}"/>
    <cellStyle name="Note 2 2 6 2 2" xfId="16939" xr:uid="{00000000-0005-0000-0000-00002D420000}"/>
    <cellStyle name="Note 2 2 6 2 2 2" xfId="16940" xr:uid="{00000000-0005-0000-0000-00002E420000}"/>
    <cellStyle name="Note 2 2 6 2 2 2 2" xfId="16941" xr:uid="{00000000-0005-0000-0000-00002F420000}"/>
    <cellStyle name="Note 2 2 6 2 2 2 2 2" xfId="16942" xr:uid="{00000000-0005-0000-0000-000030420000}"/>
    <cellStyle name="Note 2 2 6 2 2 2 3" xfId="16943" xr:uid="{00000000-0005-0000-0000-000031420000}"/>
    <cellStyle name="Note 2 2 6 2 2 3" xfId="16944" xr:uid="{00000000-0005-0000-0000-000032420000}"/>
    <cellStyle name="Note 2 2 6 2 2 3 2" xfId="16945" xr:uid="{00000000-0005-0000-0000-000033420000}"/>
    <cellStyle name="Note 2 2 6 2 2 4" xfId="16946" xr:uid="{00000000-0005-0000-0000-000034420000}"/>
    <cellStyle name="Note 2 2 6 2 3" xfId="16947" xr:uid="{00000000-0005-0000-0000-000035420000}"/>
    <cellStyle name="Note 2 2 6 2 3 2" xfId="16948" xr:uid="{00000000-0005-0000-0000-000036420000}"/>
    <cellStyle name="Note 2 2 6 2 3 2 2" xfId="16949" xr:uid="{00000000-0005-0000-0000-000037420000}"/>
    <cellStyle name="Note 2 2 6 2 3 3" xfId="16950" xr:uid="{00000000-0005-0000-0000-000038420000}"/>
    <cellStyle name="Note 2 2 6 2 4" xfId="16951" xr:uid="{00000000-0005-0000-0000-000039420000}"/>
    <cellStyle name="Note 2 2 6 2 4 2" xfId="16952" xr:uid="{00000000-0005-0000-0000-00003A420000}"/>
    <cellStyle name="Note 2 2 6 2 5" xfId="16953" xr:uid="{00000000-0005-0000-0000-00003B420000}"/>
    <cellStyle name="Note 2 2 6 3" xfId="16954" xr:uid="{00000000-0005-0000-0000-00003C420000}"/>
    <cellStyle name="Note 2 2 6 3 2" xfId="16955" xr:uid="{00000000-0005-0000-0000-00003D420000}"/>
    <cellStyle name="Note 2 2 6 3 2 2" xfId="16956" xr:uid="{00000000-0005-0000-0000-00003E420000}"/>
    <cellStyle name="Note 2 2 6 3 2 2 2" xfId="16957" xr:uid="{00000000-0005-0000-0000-00003F420000}"/>
    <cellStyle name="Note 2 2 6 3 2 3" xfId="16958" xr:uid="{00000000-0005-0000-0000-000040420000}"/>
    <cellStyle name="Note 2 2 6 3 3" xfId="16959" xr:uid="{00000000-0005-0000-0000-000041420000}"/>
    <cellStyle name="Note 2 2 6 3 3 2" xfId="16960" xr:uid="{00000000-0005-0000-0000-000042420000}"/>
    <cellStyle name="Note 2 2 6 3 4" xfId="16961" xr:uid="{00000000-0005-0000-0000-000043420000}"/>
    <cellStyle name="Note 2 2 6 4" xfId="16962" xr:uid="{00000000-0005-0000-0000-000044420000}"/>
    <cellStyle name="Note 2 2 6 4 2" xfId="16963" xr:uid="{00000000-0005-0000-0000-000045420000}"/>
    <cellStyle name="Note 2 2 6 4 2 2" xfId="16964" xr:uid="{00000000-0005-0000-0000-000046420000}"/>
    <cellStyle name="Note 2 2 6 4 3" xfId="16965" xr:uid="{00000000-0005-0000-0000-000047420000}"/>
    <cellStyle name="Note 2 2 6 5" xfId="16966" xr:uid="{00000000-0005-0000-0000-000048420000}"/>
    <cellStyle name="Note 2 2 6 5 2" xfId="16967" xr:uid="{00000000-0005-0000-0000-000049420000}"/>
    <cellStyle name="Note 2 2 6 6" xfId="16968" xr:uid="{00000000-0005-0000-0000-00004A420000}"/>
    <cellStyle name="Note 2 2 7" xfId="16969" xr:uid="{00000000-0005-0000-0000-00004B420000}"/>
    <cellStyle name="Note 2 2 7 2" xfId="16970" xr:uid="{00000000-0005-0000-0000-00004C420000}"/>
    <cellStyle name="Note 2 2 7 2 2" xfId="16971" xr:uid="{00000000-0005-0000-0000-00004D420000}"/>
    <cellStyle name="Note 2 2 7 2 2 2" xfId="16972" xr:uid="{00000000-0005-0000-0000-00004E420000}"/>
    <cellStyle name="Note 2 2 7 2 2 2 2" xfId="16973" xr:uid="{00000000-0005-0000-0000-00004F420000}"/>
    <cellStyle name="Note 2 2 7 2 2 3" xfId="16974" xr:uid="{00000000-0005-0000-0000-000050420000}"/>
    <cellStyle name="Note 2 2 7 2 3" xfId="16975" xr:uid="{00000000-0005-0000-0000-000051420000}"/>
    <cellStyle name="Note 2 2 7 2 3 2" xfId="16976" xr:uid="{00000000-0005-0000-0000-000052420000}"/>
    <cellStyle name="Note 2 2 7 2 4" xfId="16977" xr:uid="{00000000-0005-0000-0000-000053420000}"/>
    <cellStyle name="Note 2 2 7 3" xfId="16978" xr:uid="{00000000-0005-0000-0000-000054420000}"/>
    <cellStyle name="Note 2 2 7 3 2" xfId="16979" xr:uid="{00000000-0005-0000-0000-000055420000}"/>
    <cellStyle name="Note 2 2 7 3 2 2" xfId="16980" xr:uid="{00000000-0005-0000-0000-000056420000}"/>
    <cellStyle name="Note 2 2 7 3 3" xfId="16981" xr:uid="{00000000-0005-0000-0000-000057420000}"/>
    <cellStyle name="Note 2 2 7 4" xfId="16982" xr:uid="{00000000-0005-0000-0000-000058420000}"/>
    <cellStyle name="Note 2 2 7 4 2" xfId="16983" xr:uid="{00000000-0005-0000-0000-000059420000}"/>
    <cellStyle name="Note 2 2 7 5" xfId="16984" xr:uid="{00000000-0005-0000-0000-00005A420000}"/>
    <cellStyle name="Note 2 2 8" xfId="16985" xr:uid="{00000000-0005-0000-0000-00005B420000}"/>
    <cellStyle name="Note 2 2 8 2" xfId="16986" xr:uid="{00000000-0005-0000-0000-00005C420000}"/>
    <cellStyle name="Note 2 2 8 2 2" xfId="16987" xr:uid="{00000000-0005-0000-0000-00005D420000}"/>
    <cellStyle name="Note 2 2 8 2 2 2" xfId="16988" xr:uid="{00000000-0005-0000-0000-00005E420000}"/>
    <cellStyle name="Note 2 2 8 2 3" xfId="16989" xr:uid="{00000000-0005-0000-0000-00005F420000}"/>
    <cellStyle name="Note 2 2 8 3" xfId="16990" xr:uid="{00000000-0005-0000-0000-000060420000}"/>
    <cellStyle name="Note 2 2 8 3 2" xfId="16991" xr:uid="{00000000-0005-0000-0000-000061420000}"/>
    <cellStyle name="Note 2 2 8 4" xfId="16992" xr:uid="{00000000-0005-0000-0000-000062420000}"/>
    <cellStyle name="Note 2 2 9" xfId="16993" xr:uid="{00000000-0005-0000-0000-000063420000}"/>
    <cellStyle name="Note 2 2 9 2" xfId="16994" xr:uid="{00000000-0005-0000-0000-000064420000}"/>
    <cellStyle name="Note 2 2 9 2 2" xfId="16995" xr:uid="{00000000-0005-0000-0000-000065420000}"/>
    <cellStyle name="Note 2 2 9 3" xfId="16996" xr:uid="{00000000-0005-0000-0000-000066420000}"/>
    <cellStyle name="Note 3" xfId="16997" xr:uid="{00000000-0005-0000-0000-000067420000}"/>
    <cellStyle name="Note 4" xfId="16998" xr:uid="{00000000-0005-0000-0000-000068420000}"/>
    <cellStyle name="Note 5" xfId="16999" xr:uid="{00000000-0005-0000-0000-000069420000}"/>
    <cellStyle name="Note 6" xfId="17000" xr:uid="{00000000-0005-0000-0000-00006A420000}"/>
    <cellStyle name="Note 7" xfId="17001" xr:uid="{00000000-0005-0000-0000-00006B420000}"/>
    <cellStyle name="Note 8" xfId="17002" xr:uid="{00000000-0005-0000-0000-00006C420000}"/>
    <cellStyle name="Note 9" xfId="17003" xr:uid="{00000000-0005-0000-0000-00006D420000}"/>
    <cellStyle name="Output 10" xfId="17004" xr:uid="{00000000-0005-0000-0000-00006E420000}"/>
    <cellStyle name="Output 11" xfId="17005" xr:uid="{00000000-0005-0000-0000-00006F420000}"/>
    <cellStyle name="Output 12" xfId="17006" xr:uid="{00000000-0005-0000-0000-000070420000}"/>
    <cellStyle name="Output 13" xfId="17007" xr:uid="{00000000-0005-0000-0000-000071420000}"/>
    <cellStyle name="Output 2" xfId="17008" xr:uid="{00000000-0005-0000-0000-000072420000}"/>
    <cellStyle name="Output 3" xfId="17009" xr:uid="{00000000-0005-0000-0000-000073420000}"/>
    <cellStyle name="Output 4" xfId="17010" xr:uid="{00000000-0005-0000-0000-000074420000}"/>
    <cellStyle name="Output 5" xfId="17011" xr:uid="{00000000-0005-0000-0000-000075420000}"/>
    <cellStyle name="Output 6" xfId="17012" xr:uid="{00000000-0005-0000-0000-000076420000}"/>
    <cellStyle name="Output 7" xfId="17013" xr:uid="{00000000-0005-0000-0000-000077420000}"/>
    <cellStyle name="Output 8" xfId="17014" xr:uid="{00000000-0005-0000-0000-000078420000}"/>
    <cellStyle name="Output 9" xfId="17015" xr:uid="{00000000-0005-0000-0000-000079420000}"/>
    <cellStyle name="Percent" xfId="17073" builtinId="5"/>
    <cellStyle name="Percent 10" xfId="17016" xr:uid="{00000000-0005-0000-0000-00007B420000}"/>
    <cellStyle name="Percent 11" xfId="17017" xr:uid="{00000000-0005-0000-0000-00007C420000}"/>
    <cellStyle name="Percent 12" xfId="17018" xr:uid="{00000000-0005-0000-0000-00007D420000}"/>
    <cellStyle name="Percent 13" xfId="17019" xr:uid="{00000000-0005-0000-0000-00007E420000}"/>
    <cellStyle name="Percent 14" xfId="17020" xr:uid="{00000000-0005-0000-0000-00007F420000}"/>
    <cellStyle name="Percent 15" xfId="17021" xr:uid="{00000000-0005-0000-0000-000080420000}"/>
    <cellStyle name="Percent 16" xfId="17022" xr:uid="{00000000-0005-0000-0000-000081420000}"/>
    <cellStyle name="Percent 17" xfId="17023" xr:uid="{00000000-0005-0000-0000-000082420000}"/>
    <cellStyle name="Percent 2" xfId="17024" xr:uid="{00000000-0005-0000-0000-000083420000}"/>
    <cellStyle name="Percent 2 2" xfId="17025" xr:uid="{00000000-0005-0000-0000-000084420000}"/>
    <cellStyle name="Percent 3" xfId="17026" xr:uid="{00000000-0005-0000-0000-000085420000}"/>
    <cellStyle name="Percent 3 2" xfId="17027" xr:uid="{00000000-0005-0000-0000-000086420000}"/>
    <cellStyle name="Percent 4" xfId="17028" xr:uid="{00000000-0005-0000-0000-000087420000}"/>
    <cellStyle name="Percent 4 2" xfId="17029" xr:uid="{00000000-0005-0000-0000-000088420000}"/>
    <cellStyle name="Percent 5" xfId="17030" xr:uid="{00000000-0005-0000-0000-000089420000}"/>
    <cellStyle name="Percent 6" xfId="17031" xr:uid="{00000000-0005-0000-0000-00008A420000}"/>
    <cellStyle name="Percent 7" xfId="17032" xr:uid="{00000000-0005-0000-0000-00008B420000}"/>
    <cellStyle name="Percent 8" xfId="17033" xr:uid="{00000000-0005-0000-0000-00008C420000}"/>
    <cellStyle name="Percent 9" xfId="17034" xr:uid="{00000000-0005-0000-0000-00008D420000}"/>
    <cellStyle name="Title 10" xfId="17035" xr:uid="{00000000-0005-0000-0000-00008E420000}"/>
    <cellStyle name="Title 11" xfId="17036" xr:uid="{00000000-0005-0000-0000-00008F420000}"/>
    <cellStyle name="Title 12" xfId="17037" xr:uid="{00000000-0005-0000-0000-000090420000}"/>
    <cellStyle name="Title 13" xfId="17038" xr:uid="{00000000-0005-0000-0000-000091420000}"/>
    <cellStyle name="Title 2" xfId="17039" xr:uid="{00000000-0005-0000-0000-000092420000}"/>
    <cellStyle name="Title 3" xfId="17040" xr:uid="{00000000-0005-0000-0000-000093420000}"/>
    <cellStyle name="Title 4" xfId="17041" xr:uid="{00000000-0005-0000-0000-000094420000}"/>
    <cellStyle name="Title 5" xfId="17042" xr:uid="{00000000-0005-0000-0000-000095420000}"/>
    <cellStyle name="Title 6" xfId="17043" xr:uid="{00000000-0005-0000-0000-000096420000}"/>
    <cellStyle name="Title 7" xfId="17044" xr:uid="{00000000-0005-0000-0000-000097420000}"/>
    <cellStyle name="Title 8" xfId="17045" xr:uid="{00000000-0005-0000-0000-000098420000}"/>
    <cellStyle name="Title 9" xfId="17046" xr:uid="{00000000-0005-0000-0000-000099420000}"/>
    <cellStyle name="Total 10" xfId="17047" xr:uid="{00000000-0005-0000-0000-00009A420000}"/>
    <cellStyle name="Total 11" xfId="17048" xr:uid="{00000000-0005-0000-0000-00009B420000}"/>
    <cellStyle name="Total 12" xfId="17049" xr:uid="{00000000-0005-0000-0000-00009C420000}"/>
    <cellStyle name="Total 13" xfId="17050" xr:uid="{00000000-0005-0000-0000-00009D420000}"/>
    <cellStyle name="Total 2" xfId="17051" xr:uid="{00000000-0005-0000-0000-00009E420000}"/>
    <cellStyle name="Total 3" xfId="17052" xr:uid="{00000000-0005-0000-0000-00009F420000}"/>
    <cellStyle name="Total 4" xfId="17053" xr:uid="{00000000-0005-0000-0000-0000A0420000}"/>
    <cellStyle name="Total 5" xfId="17054" xr:uid="{00000000-0005-0000-0000-0000A1420000}"/>
    <cellStyle name="Total 6" xfId="17055" xr:uid="{00000000-0005-0000-0000-0000A2420000}"/>
    <cellStyle name="Total 7" xfId="17056" xr:uid="{00000000-0005-0000-0000-0000A3420000}"/>
    <cellStyle name="Total 8" xfId="17057" xr:uid="{00000000-0005-0000-0000-0000A4420000}"/>
    <cellStyle name="Total 9" xfId="17058" xr:uid="{00000000-0005-0000-0000-0000A5420000}"/>
    <cellStyle name="Warning Text 10" xfId="17059" xr:uid="{00000000-0005-0000-0000-0000A6420000}"/>
    <cellStyle name="Warning Text 11" xfId="17060" xr:uid="{00000000-0005-0000-0000-0000A7420000}"/>
    <cellStyle name="Warning Text 12" xfId="17061" xr:uid="{00000000-0005-0000-0000-0000A8420000}"/>
    <cellStyle name="Warning Text 13" xfId="17062" xr:uid="{00000000-0005-0000-0000-0000A9420000}"/>
    <cellStyle name="Warning Text 2" xfId="17063" xr:uid="{00000000-0005-0000-0000-0000AA420000}"/>
    <cellStyle name="Warning Text 3" xfId="17064" xr:uid="{00000000-0005-0000-0000-0000AB420000}"/>
    <cellStyle name="Warning Text 4" xfId="17065" xr:uid="{00000000-0005-0000-0000-0000AC420000}"/>
    <cellStyle name="Warning Text 5" xfId="17066" xr:uid="{00000000-0005-0000-0000-0000AD420000}"/>
    <cellStyle name="Warning Text 6" xfId="17067" xr:uid="{00000000-0005-0000-0000-0000AE420000}"/>
    <cellStyle name="Warning Text 7" xfId="17068" xr:uid="{00000000-0005-0000-0000-0000AF420000}"/>
    <cellStyle name="Warning Text 8" xfId="17069" xr:uid="{00000000-0005-0000-0000-0000B0420000}"/>
    <cellStyle name="Warning Text 9" xfId="17070" xr:uid="{00000000-0005-0000-0000-0000B1420000}"/>
  </cellStyles>
  <dxfs count="20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1" defaultTableStyle="TableStyleMedium2" defaultPivotStyle="PivotStyleLight16">
    <tableStyle name="Invisible" pivot="0" table="0" count="0" xr9:uid="{D9CB842F-AC16-40C3-8F60-089FD8462FDD}"/>
  </tableStyles>
  <colors>
    <mruColors>
      <color rgb="FFFF50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452493062544669E-2"/>
          <c:y val="2.754068658407275E-2"/>
          <c:w val="0.9065021522726372"/>
          <c:h val="0.86016624020521193"/>
        </c:manualLayout>
      </c:layout>
      <c:lineChart>
        <c:grouping val="standard"/>
        <c:varyColors val="0"/>
        <c:ser>
          <c:idx val="2"/>
          <c:order val="0"/>
          <c:tx>
            <c:strRef>
              <c:f>Summary!$AB$18</c:f>
              <c:strCache>
                <c:ptCount val="1"/>
                <c:pt idx="0">
                  <c:v>2022-2023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round/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ash"/>
              </a:ln>
              <a:effectLst/>
            </c:spPr>
            <c:trendlineType val="log"/>
            <c:dispRSqr val="0"/>
            <c:dispEq val="0"/>
          </c:trendline>
          <c:cat>
            <c:strRef>
              <c:f>Summary!$AA$30:$AA$41</c:f>
              <c:strCache>
                <c:ptCount val="12"/>
                <c:pt idx="0">
                  <c:v>07</c:v>
                </c:pt>
                <c:pt idx="1">
                  <c:v>08</c:v>
                </c:pt>
                <c:pt idx="2">
                  <c:v>09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01</c:v>
                </c:pt>
                <c:pt idx="7">
                  <c:v>02</c:v>
                </c:pt>
                <c:pt idx="8">
                  <c:v>03</c:v>
                </c:pt>
                <c:pt idx="9">
                  <c:v>04</c:v>
                </c:pt>
                <c:pt idx="10">
                  <c:v>05</c:v>
                </c:pt>
                <c:pt idx="11">
                  <c:v>06</c:v>
                </c:pt>
              </c:strCache>
            </c:strRef>
          </c:cat>
          <c:val>
            <c:numRef>
              <c:f>Summary!$Z$18:$Z$29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D2-43C4-AA19-69DAA5BEC42E}"/>
            </c:ext>
          </c:extLst>
        </c:ser>
        <c:ser>
          <c:idx val="0"/>
          <c:order val="1"/>
          <c:tx>
            <c:strRef>
              <c:f>Summary!$AB$30</c:f>
              <c:strCache>
                <c:ptCount val="1"/>
                <c:pt idx="0">
                  <c:v>2023-2024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og"/>
            <c:dispRSqr val="0"/>
            <c:dispEq val="0"/>
          </c:trendline>
          <c:cat>
            <c:strRef>
              <c:f>Summary!$AA$30:$AA$41</c:f>
              <c:strCache>
                <c:ptCount val="12"/>
                <c:pt idx="0">
                  <c:v>07</c:v>
                </c:pt>
                <c:pt idx="1">
                  <c:v>08</c:v>
                </c:pt>
                <c:pt idx="2">
                  <c:v>09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01</c:v>
                </c:pt>
                <c:pt idx="7">
                  <c:v>02</c:v>
                </c:pt>
                <c:pt idx="8">
                  <c:v>03</c:v>
                </c:pt>
                <c:pt idx="9">
                  <c:v>04</c:v>
                </c:pt>
                <c:pt idx="10">
                  <c:v>05</c:v>
                </c:pt>
                <c:pt idx="11">
                  <c:v>06</c:v>
                </c:pt>
              </c:strCache>
            </c:strRef>
          </c:cat>
          <c:val>
            <c:numRef>
              <c:f>Summary!$Z$30:$Z$41</c:f>
              <c:numCache>
                <c:formatCode>_("$"* #,##0.00_);_("$"* \(#,##0.00\);_("$"* "-"??_);_(@_)</c:formatCode>
                <c:ptCount val="12"/>
                <c:pt idx="0">
                  <c:v>1936.8543533123029</c:v>
                </c:pt>
                <c:pt idx="1">
                  <c:v>1463.2314548063127</c:v>
                </c:pt>
                <c:pt idx="2">
                  <c:v>1861.8038962155961</c:v>
                </c:pt>
                <c:pt idx="3">
                  <c:v>1507.4789169054443</c:v>
                </c:pt>
                <c:pt idx="4">
                  <c:v>1281.2064473684211</c:v>
                </c:pt>
                <c:pt idx="5">
                  <c:v>1952.2046048109967</c:v>
                </c:pt>
                <c:pt idx="6">
                  <c:v>1603.5245769010864</c:v>
                </c:pt>
                <c:pt idx="7">
                  <c:v>1408.5586752503577</c:v>
                </c:pt>
                <c:pt idx="8">
                  <c:v>2065.2592883787661</c:v>
                </c:pt>
                <c:pt idx="9">
                  <c:v>1498.1107623705411</c:v>
                </c:pt>
                <c:pt idx="10">
                  <c:v>1785.0098590333719</c:v>
                </c:pt>
                <c:pt idx="11">
                  <c:v>1886.9747212643676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D2-43C4-AA19-69DAA5BEC42E}"/>
            </c:ext>
          </c:extLst>
        </c:ser>
        <c:ser>
          <c:idx val="1"/>
          <c:order val="2"/>
          <c:tx>
            <c:strRef>
              <c:f>Summary!$AB$42</c:f>
              <c:strCache>
                <c:ptCount val="1"/>
                <c:pt idx="0">
                  <c:v>2024-2025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ash"/>
              </a:ln>
              <a:effectLst/>
            </c:spPr>
            <c:trendlineType val="log"/>
            <c:dispRSqr val="0"/>
            <c:dispEq val="0"/>
          </c:trendline>
          <c:cat>
            <c:strRef>
              <c:f>Summary!$AA$30:$AA$41</c:f>
              <c:strCache>
                <c:ptCount val="12"/>
                <c:pt idx="0">
                  <c:v>07</c:v>
                </c:pt>
                <c:pt idx="1">
                  <c:v>08</c:v>
                </c:pt>
                <c:pt idx="2">
                  <c:v>09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01</c:v>
                </c:pt>
                <c:pt idx="7">
                  <c:v>02</c:v>
                </c:pt>
                <c:pt idx="8">
                  <c:v>03</c:v>
                </c:pt>
                <c:pt idx="9">
                  <c:v>04</c:v>
                </c:pt>
                <c:pt idx="10">
                  <c:v>05</c:v>
                </c:pt>
                <c:pt idx="11">
                  <c:v>06</c:v>
                </c:pt>
              </c:strCache>
            </c:strRef>
          </c:cat>
          <c:val>
            <c:numRef>
              <c:f>Summary!$Z$42:$Z$49</c:f>
              <c:numCache>
                <c:formatCode>_("$"* #,##0.00_);_("$"* \(#,##0.00\);_("$"* "-"??_);_(@_)</c:formatCode>
                <c:ptCount val="8"/>
                <c:pt idx="0">
                  <c:v>1614.1872814128546</c:v>
                </c:pt>
                <c:pt idx="1">
                  <c:v>1779.3401239193086</c:v>
                </c:pt>
                <c:pt idx="2">
                  <c:v>1877.2858598908986</c:v>
                </c:pt>
                <c:pt idx="3">
                  <c:v>2697.9266079167869</c:v>
                </c:pt>
                <c:pt idx="4">
                  <c:v>1355.6930222479052</c:v>
                </c:pt>
                <c:pt idx="5">
                  <c:v>2606.6184292739372</c:v>
                </c:pt>
                <c:pt idx="6">
                  <c:v>1465.7540429857684</c:v>
                </c:pt>
                <c:pt idx="7">
                  <c:v>1804.8036141778036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D2-43C4-AA19-69DAA5BEC42E}"/>
            </c:ext>
          </c:extLst>
        </c:ser>
        <c:ser>
          <c:idx val="3"/>
          <c:order val="3"/>
          <c:tx>
            <c:v>Rolling Average PEPM</c:v>
          </c:tx>
          <c:spPr>
            <a:ln w="22225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Summary!$AA$30:$AA$41</c:f>
              <c:strCache>
                <c:ptCount val="12"/>
                <c:pt idx="0">
                  <c:v>07</c:v>
                </c:pt>
                <c:pt idx="1">
                  <c:v>08</c:v>
                </c:pt>
                <c:pt idx="2">
                  <c:v>09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01</c:v>
                </c:pt>
                <c:pt idx="7">
                  <c:v>02</c:v>
                </c:pt>
                <c:pt idx="8">
                  <c:v>03</c:v>
                </c:pt>
                <c:pt idx="9">
                  <c:v>04</c:v>
                </c:pt>
                <c:pt idx="10">
                  <c:v>05</c:v>
                </c:pt>
                <c:pt idx="11">
                  <c:v>06</c:v>
                </c:pt>
              </c:strCache>
            </c:strRef>
          </c:cat>
          <c:val>
            <c:numRef>
              <c:f>Summary!$AC$30:$AC$41</c:f>
              <c:numCache>
                <c:formatCode>_("$"* #,##0.00_);_("$"* \(#,##0.00\);_("$"* "-"??_);_(@_)</c:formatCode>
                <c:ptCount val="12"/>
                <c:pt idx="0">
                  <c:v>1808.9847975141538</c:v>
                </c:pt>
                <c:pt idx="1">
                  <c:v>1808.9847975141538</c:v>
                </c:pt>
                <c:pt idx="2">
                  <c:v>1808.9847975141538</c:v>
                </c:pt>
                <c:pt idx="3">
                  <c:v>1808.9847975141538</c:v>
                </c:pt>
                <c:pt idx="4">
                  <c:v>1808.9847975141538</c:v>
                </c:pt>
                <c:pt idx="5">
                  <c:v>1808.9847975141538</c:v>
                </c:pt>
                <c:pt idx="6">
                  <c:v>1808.9847975141538</c:v>
                </c:pt>
                <c:pt idx="7">
                  <c:v>1808.9847975141538</c:v>
                </c:pt>
                <c:pt idx="8">
                  <c:v>1808.9847975141538</c:v>
                </c:pt>
                <c:pt idx="9">
                  <c:v>1808.9847975141538</c:v>
                </c:pt>
                <c:pt idx="10">
                  <c:v>1808.9847975141538</c:v>
                </c:pt>
                <c:pt idx="11">
                  <c:v>1808.9847975141538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D2-43C4-AA19-69DAA5BEC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9236480"/>
        <c:axId val="459233528"/>
      </c:lineChart>
      <c:catAx>
        <c:axId val="459236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9233528"/>
        <c:crosses val="autoZero"/>
        <c:auto val="1"/>
        <c:lblAlgn val="ctr"/>
        <c:lblOffset val="100"/>
        <c:noMultiLvlLbl val="0"/>
      </c:catAx>
      <c:valAx>
        <c:axId val="459233528"/>
        <c:scaling>
          <c:orientation val="minMax"/>
          <c:min val="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cross"/>
        <c:minorTickMark val="out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9236480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t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28607046841401079"/>
          <c:y val="0.93803916875780757"/>
          <c:w val="0.5476364166505141"/>
          <c:h val="3.4013846206830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2865966</xdr:colOff>
      <xdr:row>28</xdr:row>
      <xdr:rowOff>57310</xdr:rowOff>
    </xdr:from>
    <xdr:to>
      <xdr:col>4</xdr:col>
      <xdr:colOff>8180</xdr:colOff>
      <xdr:row>29</xdr:row>
      <xdr:rowOff>171754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1716" y="7096285"/>
          <a:ext cx="1025239" cy="3144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1059658</xdr:colOff>
      <xdr:row>1</xdr:row>
      <xdr:rowOff>130968</xdr:rowOff>
    </xdr:from>
    <xdr:to>
      <xdr:col>7</xdr:col>
      <xdr:colOff>855583</xdr:colOff>
      <xdr:row>2</xdr:row>
      <xdr:rowOff>142593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9108" y="197643"/>
          <a:ext cx="1043700" cy="321981"/>
        </a:xfrm>
        <a:prstGeom prst="rect">
          <a:avLst/>
        </a:prstGeom>
      </xdr:spPr>
    </xdr:pic>
    <xdr:clientData/>
  </xdr:twoCellAnchor>
  <xdr:twoCellAnchor>
    <xdr:from>
      <xdr:col>1</xdr:col>
      <xdr:colOff>71437</xdr:colOff>
      <xdr:row>42</xdr:row>
      <xdr:rowOff>9524</xdr:rowOff>
    </xdr:from>
    <xdr:to>
      <xdr:col>7</xdr:col>
      <xdr:colOff>869156</xdr:colOff>
      <xdr:row>75</xdr:row>
      <xdr:rowOff>23811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81263</xdr:colOff>
      <xdr:row>23</xdr:row>
      <xdr:rowOff>214312</xdr:rowOff>
    </xdr:from>
    <xdr:to>
      <xdr:col>15</xdr:col>
      <xdr:colOff>1200921</xdr:colOff>
      <xdr:row>25</xdr:row>
      <xdr:rowOff>88412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23732" y="9667875"/>
          <a:ext cx="1119658" cy="347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130969</xdr:colOff>
      <xdr:row>1</xdr:row>
      <xdr:rowOff>142875</xdr:rowOff>
    </xdr:from>
    <xdr:to>
      <xdr:col>21</xdr:col>
      <xdr:colOff>1250627</xdr:colOff>
      <xdr:row>2</xdr:row>
      <xdr:rowOff>198744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4845B8-6EF1-4372-A1BF-FDB9698F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3688" y="214313"/>
          <a:ext cx="1119658" cy="347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1012031</xdr:colOff>
      <xdr:row>28</xdr:row>
      <xdr:rowOff>119062</xdr:rowOff>
    </xdr:from>
    <xdr:to>
      <xdr:col>9</xdr:col>
      <xdr:colOff>2131689</xdr:colOff>
      <xdr:row>29</xdr:row>
      <xdr:rowOff>228112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98B41E-58AA-4FCF-A201-46284231B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13594" y="6679406"/>
          <a:ext cx="1119658" cy="347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892970</xdr:colOff>
      <xdr:row>28</xdr:row>
      <xdr:rowOff>107156</xdr:rowOff>
    </xdr:from>
    <xdr:to>
      <xdr:col>22</xdr:col>
      <xdr:colOff>607689</xdr:colOff>
      <xdr:row>30</xdr:row>
      <xdr:rowOff>73331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CEC8A2-9361-4E0D-AB90-3E0D1FDF4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3251" y="6667500"/>
          <a:ext cx="1119658" cy="347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1273969</xdr:colOff>
      <xdr:row>31</xdr:row>
      <xdr:rowOff>154780</xdr:rowOff>
    </xdr:from>
    <xdr:to>
      <xdr:col>11</xdr:col>
      <xdr:colOff>1018059</xdr:colOff>
      <xdr:row>33</xdr:row>
      <xdr:rowOff>120955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29DD39-866A-410E-BE17-C444AEA76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9532" y="7453311"/>
          <a:ext cx="1119658" cy="34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6" tint="-0.499984740745262"/>
  </sheetPr>
  <dimension ref="B1:J31"/>
  <sheetViews>
    <sheetView view="pageBreakPreview" topLeftCell="A6" zoomScale="80" zoomScaleNormal="100" zoomScaleSheetLayoutView="80" workbookViewId="0">
      <selection activeCell="C24" sqref="C24:D24"/>
    </sheetView>
  </sheetViews>
  <sheetFormatPr defaultColWidth="8.81640625" defaultRowHeight="14.5" x14ac:dyDescent="0.35"/>
  <cols>
    <col min="1" max="1" width="1" customWidth="1"/>
    <col min="2" max="2" width="2.1796875" customWidth="1"/>
    <col min="3" max="4" width="58.26953125" customWidth="1"/>
    <col min="5" max="5" width="2.1796875" customWidth="1"/>
    <col min="6" max="6" width="3.26953125" customWidth="1"/>
    <col min="7" max="7" width="24.26953125" style="57" bestFit="1" customWidth="1"/>
    <col min="8" max="8" width="27.81640625" style="58" customWidth="1"/>
    <col min="9" max="9" width="33.7265625" hidden="1" customWidth="1"/>
  </cols>
  <sheetData>
    <row r="1" spans="2:10" ht="5.25" customHeight="1" x14ac:dyDescent="0.35"/>
    <row r="2" spans="2:10" ht="21" x14ac:dyDescent="0.5">
      <c r="B2" s="598" t="str">
        <f>H5</f>
        <v>NOREBT</v>
      </c>
      <c r="C2" s="598"/>
      <c r="D2" s="598"/>
      <c r="E2" s="598"/>
      <c r="G2" s="599" t="s">
        <v>42</v>
      </c>
      <c r="H2" s="600"/>
      <c r="I2" s="58"/>
      <c r="J2" s="58"/>
    </row>
    <row r="3" spans="2:10" ht="21" x14ac:dyDescent="0.5">
      <c r="B3" s="150"/>
      <c r="C3" s="601" t="s">
        <v>43</v>
      </c>
      <c r="D3" s="601"/>
      <c r="E3" s="150"/>
      <c r="G3" s="600"/>
      <c r="H3" s="600"/>
    </row>
    <row r="4" spans="2:10" ht="15.5" x14ac:dyDescent="0.35">
      <c r="B4" s="151"/>
      <c r="C4" s="151"/>
      <c r="D4" s="151"/>
      <c r="E4" s="151"/>
      <c r="G4" s="600"/>
      <c r="H4" s="600"/>
    </row>
    <row r="5" spans="2:10" ht="15.5" x14ac:dyDescent="0.35">
      <c r="B5" s="591" t="s">
        <v>44</v>
      </c>
      <c r="C5" s="591"/>
      <c r="D5" s="591"/>
      <c r="E5" s="591"/>
      <c r="G5" s="57" t="s">
        <v>45</v>
      </c>
      <c r="H5" s="59" t="s">
        <v>145</v>
      </c>
      <c r="I5" s="60" t="s">
        <v>46</v>
      </c>
    </row>
    <row r="6" spans="2:10" ht="15.75" customHeight="1" x14ac:dyDescent="0.35">
      <c r="B6" s="151"/>
      <c r="C6" s="594" t="str">
        <f>"Attached for review are health care program reports for "&amp;$B$2&amp;", for the period "&amp;H6&amp;". Included reports are as follows;"</f>
        <v>Attached for review are health care program reports for NOREBT, for the period July 2024 through February 2025. Included reports are as follows;</v>
      </c>
      <c r="D6" s="594"/>
      <c r="E6" s="151"/>
      <c r="G6" s="57" t="s">
        <v>47</v>
      </c>
      <c r="H6" s="38" t="str">
        <f>H7&amp;" "&amp;H8&amp;" through "&amp;TEXT(DATE(2000,H10-1,1), "mmmm")&amp;" "&amp;(IF(H10=1,YEAR(H9)-1, YEAR(H9)))</f>
        <v>July 2024 through February 2025</v>
      </c>
      <c r="I6" s="61" t="s">
        <v>48</v>
      </c>
    </row>
    <row r="7" spans="2:10" ht="26.25" customHeight="1" x14ac:dyDescent="0.35">
      <c r="B7" s="151"/>
      <c r="C7" s="594"/>
      <c r="D7" s="594"/>
      <c r="E7" s="151"/>
      <c r="G7" s="57" t="s">
        <v>49</v>
      </c>
      <c r="H7" s="62" t="str">
        <f>Addendum!B12</f>
        <v>July</v>
      </c>
      <c r="I7" s="60" t="s">
        <v>50</v>
      </c>
    </row>
    <row r="8" spans="2:10" ht="15.5" x14ac:dyDescent="0.35">
      <c r="B8" s="151"/>
      <c r="C8" s="597" t="s">
        <v>137</v>
      </c>
      <c r="D8" s="597"/>
      <c r="E8" s="151"/>
      <c r="G8" s="57" t="s">
        <v>51</v>
      </c>
      <c r="H8" s="63">
        <f>IF(MONTH(H9)=MONTH(DATEVALUE(H7&amp;"1")),(YEAR(H9)-1),IF(MONTH(H9)&gt;MONTH(DATEVALUE(H7&amp;"1")),YEAR(H9), IF(MONTH(H9)&lt;MONTH(DATEVALUE(H7&amp;"1")),YEAR(H9)-1, "ERROR")))</f>
        <v>2024</v>
      </c>
      <c r="I8" s="61" t="s">
        <v>52</v>
      </c>
    </row>
    <row r="9" spans="2:10" ht="15.5" x14ac:dyDescent="0.35">
      <c r="B9" s="151"/>
      <c r="C9" s="597" t="s">
        <v>138</v>
      </c>
      <c r="D9" s="597"/>
      <c r="E9" s="151"/>
      <c r="G9" s="57" t="s">
        <v>53</v>
      </c>
      <c r="H9" s="62">
        <f>Summary!K3</f>
        <v>45742</v>
      </c>
      <c r="I9" s="60" t="s">
        <v>54</v>
      </c>
    </row>
    <row r="10" spans="2:10" ht="15.5" x14ac:dyDescent="0.35">
      <c r="B10" s="151"/>
      <c r="C10" s="597" t="s">
        <v>139</v>
      </c>
      <c r="D10" s="597"/>
      <c r="E10" s="151"/>
      <c r="G10" s="57" t="s">
        <v>55</v>
      </c>
      <c r="H10" s="63">
        <f>MONTH(H9)</f>
        <v>3</v>
      </c>
      <c r="I10" s="61" t="s">
        <v>56</v>
      </c>
    </row>
    <row r="11" spans="2:10" ht="15.5" x14ac:dyDescent="0.35">
      <c r="B11" s="151"/>
      <c r="C11" s="597" t="s">
        <v>140</v>
      </c>
      <c r="D11" s="597"/>
      <c r="E11" s="151"/>
    </row>
    <row r="12" spans="2:10" ht="15.5" x14ac:dyDescent="0.35">
      <c r="B12" s="151"/>
      <c r="C12" s="597" t="s">
        <v>57</v>
      </c>
      <c r="D12" s="597"/>
      <c r="E12" s="151"/>
    </row>
    <row r="13" spans="2:10" ht="15.5" x14ac:dyDescent="0.35">
      <c r="B13" s="151"/>
      <c r="C13" s="593"/>
      <c r="D13" s="593"/>
      <c r="E13" s="151"/>
    </row>
    <row r="14" spans="2:10" ht="47.25" customHeight="1" x14ac:dyDescent="0.35">
      <c r="B14" s="151"/>
      <c r="C14" s="594" t="str">
        <f>"Average health care enrollment stands at "&amp;TEXT(H15,"0")&amp;" employees. "&amp;"Program costs for the current plan year, based on transmitted EDI feeds from each carrier, are as follows;"</f>
        <v>Average health care enrollment stands at 3419 employees. Program costs for the current plan year, based on transmitted EDI feeds from each carrier, are as follows;</v>
      </c>
      <c r="D14" s="594"/>
      <c r="E14" s="151"/>
      <c r="G14" s="57" t="s">
        <v>58</v>
      </c>
      <c r="H14" s="64">
        <f>'CR Reconcile'!D35</f>
        <v>27353</v>
      </c>
      <c r="I14" s="60" t="s">
        <v>59</v>
      </c>
    </row>
    <row r="15" spans="2:10" ht="34.5" customHeight="1" x14ac:dyDescent="0.35">
      <c r="B15" s="151"/>
      <c r="C15" s="152" t="str">
        <f>"     -   Claims Paid:"</f>
        <v xml:space="preserve">     -   Claims Paid:</v>
      </c>
      <c r="D15" s="152" t="str">
        <f>DOLLAR(H16,0)</f>
        <v>$54,683,177</v>
      </c>
      <c r="E15" s="151"/>
      <c r="G15" s="65" t="s">
        <v>60</v>
      </c>
      <c r="H15" s="66">
        <f>AVERAGE('CR Reconcile'!D23:D34)</f>
        <v>3419.125</v>
      </c>
      <c r="I15" s="67" t="s">
        <v>61</v>
      </c>
    </row>
    <row r="16" spans="2:10" ht="15.5" x14ac:dyDescent="0.35">
      <c r="B16" s="151"/>
      <c r="C16" s="152" t="str">
        <f>"     -   Fixed Costs Paid:"</f>
        <v xml:space="preserve">     -   Fixed Costs Paid:</v>
      </c>
      <c r="D16" s="152" t="str">
        <f>DOLLAR(H17,0)</f>
        <v>$1,283,403</v>
      </c>
      <c r="E16" s="151"/>
      <c r="G16" s="57" t="s">
        <v>62</v>
      </c>
      <c r="H16" s="68">
        <f>SUM('CR Reconcile'!J18:L18)</f>
        <v>54683176.990000002</v>
      </c>
      <c r="I16" s="60" t="s">
        <v>63</v>
      </c>
    </row>
    <row r="17" spans="2:10" ht="15.5" x14ac:dyDescent="0.35">
      <c r="B17" s="151"/>
      <c r="C17" s="152" t="str">
        <f>"     -   SL Reimbursements &amp; Additional Items:         "</f>
        <v xml:space="preserve">     -   SL Reimbursements &amp; Additional Items:         </v>
      </c>
      <c r="D17" s="152" t="str">
        <f>DOLLAR(H18,0)</f>
        <v>($4,076,950)</v>
      </c>
      <c r="E17" s="151"/>
      <c r="G17" s="57" t="s">
        <v>64</v>
      </c>
      <c r="H17" s="68">
        <f>'CR Reconcile'!M18</f>
        <v>1283402.76</v>
      </c>
      <c r="I17" s="60" t="s">
        <v>65</v>
      </c>
    </row>
    <row r="18" spans="2:10" ht="15.5" x14ac:dyDescent="0.35">
      <c r="B18" s="151"/>
      <c r="C18" s="153" t="str">
        <f>"     -   Overall Plan Cost:"</f>
        <v xml:space="preserve">     -   Overall Plan Cost:</v>
      </c>
      <c r="D18" s="153" t="str">
        <f>DOLLAR(H19,0)</f>
        <v>$51,889,630</v>
      </c>
      <c r="E18" s="151"/>
      <c r="G18" s="57" t="s">
        <v>66</v>
      </c>
      <c r="H18" s="68">
        <f>Addendum!P22</f>
        <v>-4076949.58</v>
      </c>
      <c r="I18" s="60" t="s">
        <v>67</v>
      </c>
    </row>
    <row r="19" spans="2:10" ht="15.5" x14ac:dyDescent="0.35">
      <c r="B19" s="151"/>
      <c r="C19" s="153"/>
      <c r="D19" s="153"/>
      <c r="E19" s="151"/>
      <c r="G19" s="57" t="s">
        <v>68</v>
      </c>
      <c r="H19" s="69">
        <f>SUM(H16:H18)</f>
        <v>51889630.170000002</v>
      </c>
      <c r="I19" s="60" t="s">
        <v>69</v>
      </c>
    </row>
    <row r="20" spans="2:10" ht="15.5" x14ac:dyDescent="0.35">
      <c r="B20" s="151"/>
      <c r="C20" s="595" t="str">
        <f>"Net health care program costs after refinements and adjustments come to "&amp;DOLLAR(H19/H14,0)&amp;" PEPM in the current plan year."</f>
        <v>Net health care program costs after refinements and adjustments come to $1,897 PEPM in the current plan year.</v>
      </c>
      <c r="D20" s="595"/>
      <c r="E20" s="151"/>
      <c r="H20" s="70"/>
    </row>
    <row r="21" spans="2:10" ht="15.5" x14ac:dyDescent="0.35">
      <c r="B21" s="151"/>
      <c r="C21" s="196"/>
      <c r="D21" s="196"/>
      <c r="E21" s="151"/>
      <c r="H21" s="70"/>
    </row>
    <row r="22" spans="2:10" ht="15.5" x14ac:dyDescent="0.35">
      <c r="B22" s="591" t="s">
        <v>141</v>
      </c>
      <c r="C22" s="591"/>
      <c r="D22" s="591"/>
      <c r="E22" s="591"/>
      <c r="H22" s="70"/>
    </row>
    <row r="23" spans="2:10" ht="15.5" x14ac:dyDescent="0.35">
      <c r="B23" s="151"/>
      <c r="C23" s="153"/>
      <c r="D23" s="153"/>
      <c r="E23" s="151"/>
      <c r="H23" s="70"/>
    </row>
    <row r="24" spans="2:10" ht="68.25" customHeight="1" x14ac:dyDescent="0.35">
      <c r="B24" s="151"/>
      <c r="C24" s="594" t="str">
        <f>"HUB reconciles data from our analytics platform against your invoices to determine if any discrepancy exists. For the period "&amp;H6&amp;", the Claims Cost discrepancy is "&amp;DOLLAR(ABS(H25),0)&amp;" while the Fixed Cost discrepancy is "&amp;DOLLAR(ABS(H26),0)&amp;". The total discrepancy between Innovu's data and carrier invoices is "&amp;DOLLAR((H27),0)&amp;", or "&amp;TEXT(H27/H19,"0.00%")&amp;" of total spend over the current reporting period."</f>
        <v>HUB reconciles data from our analytics platform against your invoices to determine if any discrepancy exists. For the period July 2024 through February 2025, the Claims Cost discrepancy is $98,010 while the Fixed Cost discrepancy is $258,913. The total discrepancy between Innovu's data and carrier invoices is ($356,924), or -0.69% of total spend over the current reporting period.</v>
      </c>
      <c r="D24" s="594"/>
      <c r="E24" s="151"/>
      <c r="H24" s="70"/>
    </row>
    <row r="25" spans="2:10" ht="15.5" x14ac:dyDescent="0.35">
      <c r="B25" s="151"/>
      <c r="C25" s="151"/>
      <c r="D25" s="151"/>
      <c r="E25" s="151"/>
      <c r="G25" s="57" t="s">
        <v>70</v>
      </c>
      <c r="H25" s="70">
        <f>'CR Reconcile'!O18</f>
        <v>-98010.34</v>
      </c>
      <c r="I25" s="60" t="s">
        <v>71</v>
      </c>
    </row>
    <row r="26" spans="2:10" ht="47.25" customHeight="1" x14ac:dyDescent="0.35">
      <c r="B26" s="151"/>
      <c r="C26" s="596" t="s">
        <v>74</v>
      </c>
      <c r="D26" s="596"/>
      <c r="E26" s="151"/>
      <c r="G26" s="57" t="s">
        <v>72</v>
      </c>
      <c r="H26" s="70">
        <f>'CR Reconcile'!P18</f>
        <v>-258913.32999999996</v>
      </c>
      <c r="I26" s="60" t="s">
        <v>73</v>
      </c>
    </row>
    <row r="27" spans="2:10" ht="15.5" x14ac:dyDescent="0.35">
      <c r="B27" s="151"/>
      <c r="C27" s="593"/>
      <c r="D27" s="593"/>
      <c r="E27" s="151"/>
      <c r="G27" s="65" t="s">
        <v>75</v>
      </c>
      <c r="H27" s="71">
        <f>SUM(H25:H26)</f>
        <v>-356923.66999999993</v>
      </c>
      <c r="I27" s="67" t="s">
        <v>76</v>
      </c>
    </row>
    <row r="28" spans="2:10" ht="15.5" x14ac:dyDescent="0.35">
      <c r="B28" s="151"/>
      <c r="C28" s="593"/>
      <c r="D28" s="593"/>
      <c r="E28" s="151"/>
    </row>
    <row r="29" spans="2:10" ht="15.5" x14ac:dyDescent="0.35">
      <c r="B29" s="151"/>
      <c r="C29" s="593"/>
      <c r="D29" s="593"/>
      <c r="E29" s="151"/>
    </row>
    <row r="30" spans="2:10" ht="15.5" x14ac:dyDescent="0.35">
      <c r="B30" s="151"/>
      <c r="C30" s="592" t="s">
        <v>77</v>
      </c>
      <c r="D30" s="592"/>
      <c r="E30" s="151"/>
    </row>
    <row r="31" spans="2:10" x14ac:dyDescent="0.35">
      <c r="J31" s="72"/>
    </row>
  </sheetData>
  <mergeCells count="18">
    <mergeCell ref="B2:E2"/>
    <mergeCell ref="G2:H4"/>
    <mergeCell ref="B5:E5"/>
    <mergeCell ref="C6:D7"/>
    <mergeCell ref="C3:D3"/>
    <mergeCell ref="C8:D8"/>
    <mergeCell ref="C9:D9"/>
    <mergeCell ref="C10:D10"/>
    <mergeCell ref="C11:D11"/>
    <mergeCell ref="C12:D12"/>
    <mergeCell ref="B22:E22"/>
    <mergeCell ref="C30:D30"/>
    <mergeCell ref="C27:D29"/>
    <mergeCell ref="C13:D13"/>
    <mergeCell ref="C14:D14"/>
    <mergeCell ref="C20:D20"/>
    <mergeCell ref="C24:D24"/>
    <mergeCell ref="C26:D26"/>
  </mergeCells>
  <pageMargins left="0.7" right="0.7" top="0.75" bottom="0.75" header="0.3" footer="0.3"/>
  <pageSetup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1"/>
    <pageSetUpPr fitToPage="1"/>
  </sheetPr>
  <dimension ref="B1:AC76"/>
  <sheetViews>
    <sheetView view="pageBreakPreview" zoomScale="70" zoomScaleNormal="80" zoomScaleSheetLayoutView="70" workbookViewId="0">
      <selection activeCell="L20" sqref="L20"/>
    </sheetView>
  </sheetViews>
  <sheetFormatPr defaultColWidth="9.1796875" defaultRowHeight="14.5" x14ac:dyDescent="0.35"/>
  <cols>
    <col min="1" max="1" width="1" customWidth="1"/>
    <col min="2" max="2" width="37.7265625" bestFit="1" customWidth="1"/>
    <col min="3" max="4" width="18.7265625" style="73" customWidth="1"/>
    <col min="5" max="5" width="14.1796875" style="73" customWidth="1"/>
    <col min="6" max="7" width="18.7265625" style="73" customWidth="1"/>
    <col min="8" max="8" width="14.26953125" style="73" bestFit="1" customWidth="1"/>
    <col min="9" max="9" width="1.1796875" customWidth="1"/>
    <col min="10" max="10" width="17.7265625" customWidth="1"/>
    <col min="11" max="11" width="18.453125" customWidth="1"/>
    <col min="12" max="12" width="20.7265625" customWidth="1"/>
    <col min="13" max="14" width="17.7265625" style="63" customWidth="1"/>
    <col min="15" max="15" width="28.26953125" customWidth="1"/>
    <col min="16" max="16" width="28.1796875" bestFit="1" customWidth="1"/>
    <col min="17" max="17" width="14.81640625" customWidth="1"/>
    <col min="18" max="18" width="18.81640625" customWidth="1"/>
    <col min="19" max="19" width="15.81640625" bestFit="1" customWidth="1"/>
    <col min="20" max="20" width="24.54296875" bestFit="1" customWidth="1"/>
    <col min="21" max="21" width="16.453125" bestFit="1" customWidth="1"/>
    <col min="22" max="22" width="17.81640625" customWidth="1"/>
    <col min="23" max="23" width="17.54296875" bestFit="1" customWidth="1"/>
    <col min="24" max="24" width="16.54296875" bestFit="1" customWidth="1"/>
    <col min="25" max="25" width="17.453125" bestFit="1" customWidth="1"/>
    <col min="26" max="26" width="13.1796875" customWidth="1"/>
    <col min="28" max="28" width="10.54296875" bestFit="1" customWidth="1"/>
    <col min="29" max="29" width="14.453125" bestFit="1" customWidth="1"/>
    <col min="30" max="30" width="10.54296875" bestFit="1" customWidth="1"/>
    <col min="31" max="31" width="11.54296875" bestFit="1" customWidth="1"/>
  </cols>
  <sheetData>
    <row r="1" spans="2:25" ht="5.25" customHeight="1" x14ac:dyDescent="0.35"/>
    <row r="2" spans="2:25" ht="24" thickBot="1" x14ac:dyDescent="0.6">
      <c r="B2" s="603" t="str">
        <f>P6</f>
        <v>NOREBT</v>
      </c>
      <c r="C2" s="603"/>
      <c r="D2" s="603"/>
      <c r="E2" s="603"/>
      <c r="F2" s="603"/>
      <c r="G2" s="603"/>
      <c r="H2" s="603"/>
      <c r="K2" s="10" t="s">
        <v>7</v>
      </c>
      <c r="O2" s="599" t="s">
        <v>79</v>
      </c>
      <c r="P2" s="600"/>
      <c r="Q2" s="74" t="s">
        <v>80</v>
      </c>
      <c r="R2" s="75"/>
      <c r="S2" s="76"/>
      <c r="T2" s="58"/>
    </row>
    <row r="3" spans="2:25" ht="21.5" thickBot="1" x14ac:dyDescent="0.5">
      <c r="B3" s="604" t="s">
        <v>81</v>
      </c>
      <c r="C3" s="604"/>
      <c r="D3" s="604"/>
      <c r="E3" s="604"/>
      <c r="F3" s="604"/>
      <c r="G3" s="604"/>
      <c r="H3" s="604"/>
      <c r="K3" s="6">
        <f>Addendum!B3</f>
        <v>45742</v>
      </c>
      <c r="O3" s="600"/>
      <c r="P3" s="600"/>
      <c r="Q3" s="77" t="s">
        <v>82</v>
      </c>
      <c r="R3" s="78"/>
      <c r="S3" s="79"/>
    </row>
    <row r="4" spans="2:25" ht="21" x14ac:dyDescent="0.45">
      <c r="B4" s="134"/>
      <c r="C4" s="135"/>
      <c r="D4" s="135"/>
      <c r="E4" s="135"/>
      <c r="F4" s="135"/>
      <c r="G4" s="135"/>
      <c r="H4" s="135"/>
      <c r="O4" s="600"/>
      <c r="P4" s="600"/>
      <c r="Q4" s="80" t="s">
        <v>83</v>
      </c>
      <c r="R4" s="81"/>
      <c r="S4" s="82"/>
    </row>
    <row r="5" spans="2:25" ht="21" x14ac:dyDescent="0.35">
      <c r="B5" s="605" t="s">
        <v>84</v>
      </c>
      <c r="C5" s="606" t="str">
        <f>"Report Year "&amp;$P$9-2</f>
        <v>Report Year 2022</v>
      </c>
      <c r="D5" s="606" t="str">
        <f>"Report Year "&amp;$P$9-1</f>
        <v>Report Year 2023</v>
      </c>
      <c r="E5" s="607" t="s">
        <v>85</v>
      </c>
      <c r="F5" s="608" t="str">
        <f>"Report Year "&amp;$P$9</f>
        <v>Report Year 2024</v>
      </c>
      <c r="G5" s="608"/>
      <c r="H5" s="607" t="s">
        <v>86</v>
      </c>
      <c r="O5" s="602"/>
      <c r="P5" s="602"/>
      <c r="Q5" s="83"/>
      <c r="R5" s="78"/>
      <c r="S5" s="84"/>
      <c r="T5" s="84"/>
      <c r="U5" s="84"/>
    </row>
    <row r="6" spans="2:25" ht="21" customHeight="1" x14ac:dyDescent="0.35">
      <c r="B6" s="605"/>
      <c r="C6" s="606"/>
      <c r="D6" s="606"/>
      <c r="E6" s="607"/>
      <c r="F6" s="186" t="s">
        <v>87</v>
      </c>
      <c r="G6" s="186" t="s">
        <v>88</v>
      </c>
      <c r="H6" s="607"/>
      <c r="O6" s="57" t="s">
        <v>45</v>
      </c>
      <c r="P6" s="38" t="str">
        <f>Addendum!E2</f>
        <v>NOREBT</v>
      </c>
      <c r="Q6" s="59"/>
      <c r="R6" s="57"/>
      <c r="S6" s="131"/>
      <c r="T6" s="132"/>
      <c r="U6" s="133"/>
    </row>
    <row r="7" spans="2:25" x14ac:dyDescent="0.35">
      <c r="B7" s="136" t="s">
        <v>89</v>
      </c>
      <c r="C7" s="137">
        <f>AVERAGE($P$18:$P$29)</f>
        <v>3487.3333333333335</v>
      </c>
      <c r="D7" s="137">
        <f>AVERAGE($P$30:$P$41)</f>
        <v>3445.25</v>
      </c>
      <c r="E7" s="173">
        <f>(ABS(D7)-ABS(C7))/ABS(C7)</f>
        <v>-1.2067482316956648E-2</v>
      </c>
      <c r="F7" s="609">
        <f>AVERAGE(P42:P53)</f>
        <v>3419.125</v>
      </c>
      <c r="G7" s="609"/>
      <c r="H7" s="173">
        <f>(ABS(F7)-ABS(D7))/ABS(D7)</f>
        <v>-7.5829039982584718E-3</v>
      </c>
      <c r="O7" s="57" t="s">
        <v>47</v>
      </c>
      <c r="P7" s="85" t="str">
        <f>P8&amp;" "&amp;P9&amp;" through "&amp;TEXT(DATE(2000,P14-1,1), "mmmm")&amp;" "&amp;(IF(P14=1,YEAR(P13)-1, YEAR(P13)))</f>
        <v>July 2024 through February 2025</v>
      </c>
      <c r="Q7" s="38"/>
      <c r="R7" s="57"/>
      <c r="S7" s="131"/>
      <c r="T7" s="132"/>
      <c r="U7" s="133"/>
    </row>
    <row r="8" spans="2:25" x14ac:dyDescent="0.35">
      <c r="B8" s="136" t="s">
        <v>90</v>
      </c>
      <c r="C8" s="137">
        <f>AVERAGE($Q$18:$Q$29)</f>
        <v>9799.4166666666661</v>
      </c>
      <c r="D8" s="137">
        <f>AVERAGE(Q30:Q41)</f>
        <v>9717</v>
      </c>
      <c r="E8" s="173">
        <f>(ABS(D8)-ABS(C8))/ABS(C8)</f>
        <v>-8.4103645625164154E-3</v>
      </c>
      <c r="F8" s="609">
        <f>AVERAGE(Q42:Q53)</f>
        <v>9641</v>
      </c>
      <c r="G8" s="609"/>
      <c r="H8" s="173">
        <f>(ABS(F8)-ABS(D8))/ABS(D8)</f>
        <v>-7.8213440362251731E-3</v>
      </c>
      <c r="O8" s="57" t="s">
        <v>49</v>
      </c>
      <c r="P8" s="86" t="str">
        <f>Addendum!$B$12</f>
        <v>July</v>
      </c>
      <c r="Q8" s="62"/>
      <c r="R8" s="57"/>
      <c r="S8" s="131"/>
      <c r="T8" s="132"/>
      <c r="U8" s="133"/>
    </row>
    <row r="9" spans="2:25" x14ac:dyDescent="0.35">
      <c r="B9" s="136"/>
      <c r="C9" s="137"/>
      <c r="D9" s="137"/>
      <c r="E9" s="138"/>
      <c r="F9" s="137"/>
      <c r="G9" s="139"/>
      <c r="H9" s="138"/>
      <c r="O9" s="57" t="s">
        <v>51</v>
      </c>
      <c r="P9" s="63">
        <f>IF(MONTH(P13)=MONTH(DATEVALUE(P8&amp;"1")),(YEAR(P13)-1),IF(MONTH(P13)&gt;MONTH(DATEVALUE(P8&amp;"1")),YEAR(P13), IF(MONTH(P13)&lt;MONTH(DATEVALUE(P8&amp;"1")),YEAR(P13)-1, "ERROR")))</f>
        <v>2024</v>
      </c>
      <c r="Q9" s="63"/>
      <c r="R9" s="57"/>
      <c r="S9" s="131"/>
      <c r="T9" s="132"/>
      <c r="U9" s="132"/>
    </row>
    <row r="10" spans="2:25" x14ac:dyDescent="0.35">
      <c r="B10" s="136" t="s">
        <v>91</v>
      </c>
      <c r="C10" s="373">
        <f>SUM(R18:R29,T18:T29)-C12</f>
        <v>48399605.509999998</v>
      </c>
      <c r="D10" s="374">
        <f>SUM(R30:R41,T30:T41)-D12</f>
        <v>56012278.699999996</v>
      </c>
      <c r="E10" s="375">
        <f t="shared" ref="E10:E13" si="0">(ABS(D10)-ABS(C10))/ABS(C10)</f>
        <v>0.1572879181510502</v>
      </c>
      <c r="F10" s="370">
        <f>SUM(R42:R53,T42:T53)-F12</f>
        <v>37762081.380000003</v>
      </c>
      <c r="G10" s="376">
        <f>(F10/COUNT(P$42:P$53))*12</f>
        <v>56643122.070000008</v>
      </c>
      <c r="H10" s="377">
        <f>(ABS(G10)-ABS(D10))/ABS(D10)</f>
        <v>1.1262590714775049E-2</v>
      </c>
      <c r="O10" s="57" t="s">
        <v>92</v>
      </c>
      <c r="P10" s="86" t="str">
        <f>Addendum!$B$13</f>
        <v>June</v>
      </c>
      <c r="Q10" s="62"/>
      <c r="R10" s="57"/>
      <c r="S10" s="87"/>
      <c r="T10" s="88"/>
      <c r="U10" s="87"/>
    </row>
    <row r="11" spans="2:25" x14ac:dyDescent="0.35">
      <c r="B11" s="136" t="s">
        <v>93</v>
      </c>
      <c r="C11" s="378">
        <f>SUM(S18:S29)</f>
        <v>18326458.059999999</v>
      </c>
      <c r="D11" s="379">
        <f>SUM(S30:S41)</f>
        <v>21838167.890000001</v>
      </c>
      <c r="E11" s="380">
        <f>(ABS(D11)-ABS(C11))/ABS(C11)</f>
        <v>0.19161966914189429</v>
      </c>
      <c r="F11" s="371">
        <f>SUM(S42:S53)</f>
        <v>16913852.609999999</v>
      </c>
      <c r="G11" s="381">
        <f>(F11/COUNT(P$42:P$53))*12</f>
        <v>25370778.914999999</v>
      </c>
      <c r="H11" s="382">
        <f>(ABS(G11)-ABS(D11))/ABS(D11)</f>
        <v>0.16176315901562557</v>
      </c>
      <c r="J11" s="84">
        <v>2021</v>
      </c>
      <c r="K11" s="84">
        <v>2022</v>
      </c>
      <c r="L11" s="84">
        <v>2023</v>
      </c>
      <c r="O11" s="57" t="s">
        <v>94</v>
      </c>
      <c r="P11" s="63">
        <f>IF(P10="December",P9,P9+1)</f>
        <v>2025</v>
      </c>
      <c r="Q11" s="63"/>
      <c r="R11" s="57"/>
      <c r="S11" s="132"/>
      <c r="T11" s="132"/>
      <c r="U11" s="132"/>
    </row>
    <row r="12" spans="2:25" x14ac:dyDescent="0.35">
      <c r="B12" s="136" t="s">
        <v>321</v>
      </c>
      <c r="C12" s="379">
        <f>J12</f>
        <v>11105</v>
      </c>
      <c r="D12" s="379">
        <f>K12</f>
        <v>10707.9</v>
      </c>
      <c r="E12" s="380">
        <f>IFERROR((ABS(D12)-ABS(C12))/ABS(C12),"")</f>
        <v>-3.5758667266996884E-2</v>
      </c>
      <c r="F12" s="371">
        <f>L12</f>
        <v>7243</v>
      </c>
      <c r="G12" s="381">
        <f>(F12/COUNT(P$42:P$53))*12</f>
        <v>10864.5</v>
      </c>
      <c r="H12" s="382">
        <f>(ABS(G12)-ABS(D12))/ABS(D12)</f>
        <v>1.4624716330933272E-2</v>
      </c>
      <c r="J12" s="530">
        <v>11105</v>
      </c>
      <c r="K12" s="530">
        <v>10707.9</v>
      </c>
      <c r="L12" s="530">
        <f>'Trust Cash Flow'!P20</f>
        <v>7243</v>
      </c>
      <c r="O12" s="57"/>
      <c r="P12" s="63"/>
      <c r="Q12" s="63"/>
      <c r="R12" s="57"/>
      <c r="S12" s="132"/>
      <c r="T12" s="132"/>
      <c r="U12" s="132"/>
    </row>
    <row r="13" spans="2:25" x14ac:dyDescent="0.35">
      <c r="B13" s="140" t="s">
        <v>95</v>
      </c>
      <c r="C13" s="383">
        <f>SUM(C10:C12)</f>
        <v>66737168.569999993</v>
      </c>
      <c r="D13" s="384">
        <f>SUM(D10:D12)</f>
        <v>77861154.49000001</v>
      </c>
      <c r="E13" s="385">
        <f t="shared" si="0"/>
        <v>0.1666835162227803</v>
      </c>
      <c r="F13" s="372">
        <f>SUM(F10:F12)</f>
        <v>54683176.990000002</v>
      </c>
      <c r="G13" s="386">
        <f>SUM(G10:G12)</f>
        <v>82024765.485000014</v>
      </c>
      <c r="H13" s="387">
        <f t="shared" ref="H13" si="1">(ABS(G13)-ABS(D13))/ABS(D13)</f>
        <v>5.34748170929671E-2</v>
      </c>
      <c r="O13" s="57" t="s">
        <v>53</v>
      </c>
      <c r="P13" s="86">
        <f>K3</f>
        <v>45742</v>
      </c>
      <c r="Q13" s="89"/>
      <c r="R13" s="57"/>
      <c r="S13" s="131"/>
      <c r="T13" s="132"/>
      <c r="U13" s="132"/>
    </row>
    <row r="14" spans="2:25" x14ac:dyDescent="0.35">
      <c r="B14" s="136"/>
      <c r="C14" s="388"/>
      <c r="D14" s="388"/>
      <c r="E14" s="389"/>
      <c r="F14" s="388"/>
      <c r="G14" s="390"/>
      <c r="H14" s="389"/>
      <c r="J14" s="84">
        <f>K14-1</f>
        <v>2022</v>
      </c>
      <c r="K14" s="84">
        <f>L14-1</f>
        <v>2023</v>
      </c>
      <c r="L14" s="84">
        <f>$P$9</f>
        <v>2024</v>
      </c>
      <c r="O14" s="57" t="s">
        <v>55</v>
      </c>
      <c r="P14" s="63">
        <f>MONTH(P13)</f>
        <v>3</v>
      </c>
      <c r="Q14" s="10"/>
      <c r="R14" s="57"/>
      <c r="S14" s="131"/>
      <c r="T14" s="92"/>
    </row>
    <row r="15" spans="2:25" x14ac:dyDescent="0.35">
      <c r="B15" s="136" t="s">
        <v>96</v>
      </c>
      <c r="C15" s="373">
        <f>J15</f>
        <v>2561793.1800000002</v>
      </c>
      <c r="D15" s="374">
        <f t="shared" ref="D15:D17" si="2">K15</f>
        <v>2621008.7000000002</v>
      </c>
      <c r="E15" s="375">
        <f t="shared" ref="E15:E18" si="3">(ABS(D15)-ABS(C15))/ABS(C15)</f>
        <v>2.3114871435484116E-2</v>
      </c>
      <c r="F15" s="370">
        <f>L15</f>
        <v>1687082.8155999996</v>
      </c>
      <c r="G15" s="376">
        <f>(F15/COUNT(P$42:P$53))*12</f>
        <v>2530624.2233999996</v>
      </c>
      <c r="H15" s="377">
        <f t="shared" ref="H15:H18" si="4">(ABS(G15)-ABS(D15))/ABS(D15)</f>
        <v>-3.4484615255188061E-2</v>
      </c>
      <c r="J15" s="405">
        <v>2561793.1800000002</v>
      </c>
      <c r="K15" s="405">
        <v>2621008.7000000002</v>
      </c>
      <c r="L15" s="406">
        <f>SUM('Trust Cash Flow'!P36,'Trust Cash Flow'!P40,'Trust Cash Flow'!P41)</f>
        <v>1687082.8155999996</v>
      </c>
      <c r="O15" s="57" t="s">
        <v>97</v>
      </c>
      <c r="P15" s="93">
        <v>25000</v>
      </c>
      <c r="Q15" s="94"/>
      <c r="R15" s="89"/>
      <c r="S15" s="90"/>
      <c r="T15" s="91"/>
    </row>
    <row r="16" spans="2:25" ht="15.5" x14ac:dyDescent="0.35">
      <c r="B16" s="136" t="s">
        <v>292</v>
      </c>
      <c r="C16" s="378">
        <f>J16</f>
        <v>9720583.5700000003</v>
      </c>
      <c r="D16" s="379">
        <f t="shared" si="2"/>
        <v>14288652.869999999</v>
      </c>
      <c r="E16" s="380">
        <f t="shared" si="3"/>
        <v>0.46993776321188491</v>
      </c>
      <c r="F16" s="371">
        <f t="shared" ref="F16:F17" si="5">L16</f>
        <v>10093789.960000001</v>
      </c>
      <c r="G16" s="381">
        <f>(F16/COUNT(P$42:P$53))*12</f>
        <v>15140684.940000001</v>
      </c>
      <c r="H16" s="382">
        <f t="shared" ref="H16" si="6">(ABS(G16)-ABS(D16))/ABS(D16)</f>
        <v>5.962997895966117E-2</v>
      </c>
      <c r="J16" s="407">
        <v>9720583.5700000003</v>
      </c>
      <c r="K16" s="407">
        <v>14288652.869999999</v>
      </c>
      <c r="L16" s="408">
        <f>'Trust Cash Flow'!P39</f>
        <v>10093789.960000001</v>
      </c>
      <c r="O16" s="610" t="s">
        <v>99</v>
      </c>
      <c r="P16" s="610"/>
      <c r="Q16" s="610"/>
      <c r="R16" s="610"/>
      <c r="S16" s="610"/>
      <c r="T16" s="610"/>
      <c r="U16" s="610"/>
      <c r="V16" s="610"/>
      <c r="W16" s="610"/>
      <c r="X16" s="610"/>
      <c r="Y16" s="610"/>
    </row>
    <row r="17" spans="2:29" x14ac:dyDescent="0.35">
      <c r="B17" s="136" t="s">
        <v>98</v>
      </c>
      <c r="C17" s="378">
        <f>J17</f>
        <v>4011258.09</v>
      </c>
      <c r="D17" s="379">
        <f t="shared" si="2"/>
        <v>4166960.97</v>
      </c>
      <c r="E17" s="380">
        <f t="shared" si="3"/>
        <v>3.8816470171332294E-2</v>
      </c>
      <c r="F17" s="371">
        <f t="shared" si="5"/>
        <v>2701655.81</v>
      </c>
      <c r="G17" s="381">
        <f>(F17/COUNT(P$42:P$53))*12</f>
        <v>4052483.7149999999</v>
      </c>
      <c r="H17" s="382">
        <f t="shared" si="4"/>
        <v>-2.7472600733287011E-2</v>
      </c>
      <c r="J17" s="409">
        <v>4011258.09</v>
      </c>
      <c r="K17" s="409">
        <v>4166960.97</v>
      </c>
      <c r="L17" s="410">
        <f>'Trust Cash Flow'!P38</f>
        <v>2701655.81</v>
      </c>
      <c r="O17" s="95"/>
      <c r="P17" s="96" t="s">
        <v>101</v>
      </c>
      <c r="Q17" s="97" t="s">
        <v>102</v>
      </c>
      <c r="R17" s="98" t="s">
        <v>91</v>
      </c>
      <c r="S17" s="99" t="s">
        <v>93</v>
      </c>
      <c r="T17" s="100" t="s">
        <v>103</v>
      </c>
      <c r="U17" s="99" t="s">
        <v>104</v>
      </c>
      <c r="V17" s="99" t="s">
        <v>105</v>
      </c>
      <c r="W17" s="526" t="s">
        <v>106</v>
      </c>
      <c r="X17" s="99" t="s">
        <v>107</v>
      </c>
      <c r="Y17" s="99" t="s">
        <v>108</v>
      </c>
      <c r="Z17" s="84" t="s">
        <v>109</v>
      </c>
      <c r="AA17" s="84" t="s">
        <v>110</v>
      </c>
      <c r="AB17" s="84" t="s">
        <v>111</v>
      </c>
      <c r="AC17" s="84" t="s">
        <v>112</v>
      </c>
    </row>
    <row r="18" spans="2:29" x14ac:dyDescent="0.35">
      <c r="B18" s="140" t="s">
        <v>100</v>
      </c>
      <c r="C18" s="383">
        <f>SUM(C15:C17)</f>
        <v>16293634.84</v>
      </c>
      <c r="D18" s="384">
        <f>SUM(D15:D17)</f>
        <v>21076622.539999999</v>
      </c>
      <c r="E18" s="385">
        <f t="shared" si="3"/>
        <v>0.2935494594648716</v>
      </c>
      <c r="F18" s="372">
        <f>SUM(F15:F17)</f>
        <v>14482528.585600002</v>
      </c>
      <c r="G18" s="386">
        <f>(F18/COUNT(P$42:P$53))*12</f>
        <v>21723792.878400002</v>
      </c>
      <c r="H18" s="387">
        <f t="shared" si="4"/>
        <v>3.0705599873593531E-2</v>
      </c>
      <c r="J18" s="11"/>
      <c r="K18" s="11"/>
      <c r="M18" s="63" t="str">
        <f>TEXT(MONTH(DATEVALUE(P8&amp;"1")),"00")</f>
        <v>07</v>
      </c>
      <c r="N18" s="63">
        <f>P9-2</f>
        <v>2022</v>
      </c>
      <c r="O18" s="101" t="str">
        <f>N18&amp;M18</f>
        <v>202207</v>
      </c>
      <c r="P18" s="102">
        <v>3487</v>
      </c>
      <c r="Q18" s="102">
        <v>9755</v>
      </c>
      <c r="R18" s="108">
        <v>4895324.34</v>
      </c>
      <c r="S18" s="108">
        <v>1535555.72</v>
      </c>
      <c r="T18" s="488">
        <v>0</v>
      </c>
      <c r="U18" s="527">
        <f>W18+(P18*-3.36)</f>
        <v>322931.07</v>
      </c>
      <c r="V18" s="489">
        <v>5413564.0099999998</v>
      </c>
      <c r="W18" s="527">
        <f>P18*95.97</f>
        <v>334647.39</v>
      </c>
      <c r="X18" s="489">
        <v>0</v>
      </c>
      <c r="Y18" s="549">
        <v>160505</v>
      </c>
      <c r="Z18" s="103" t="str">
        <f>IFERROR(SUM(#REF!)/#REF!,"")</f>
        <v/>
      </c>
      <c r="AA18" s="63" t="str">
        <f>RIGHT(O18,2)</f>
        <v>07</v>
      </c>
      <c r="AB18" s="85" t="str">
        <f>IF(LEFT($O$18,4)=LEFT($O$29,4), LEFT($O$18,4),LEFT($O$18,4)&amp;"-"&amp;LEFT($O$29,4))</f>
        <v>2022-2023</v>
      </c>
    </row>
    <row r="19" spans="2:29" x14ac:dyDescent="0.35">
      <c r="B19" s="136"/>
      <c r="C19" s="388"/>
      <c r="D19" s="388"/>
      <c r="E19" s="389"/>
      <c r="F19" s="388"/>
      <c r="G19" s="390"/>
      <c r="H19" s="389"/>
      <c r="J19" s="84">
        <f>K19-1</f>
        <v>2022</v>
      </c>
      <c r="K19" s="84">
        <f>L19-1</f>
        <v>2023</v>
      </c>
      <c r="L19" s="84">
        <f>$P$9</f>
        <v>2024</v>
      </c>
      <c r="M19" s="63" t="str">
        <f>TEXT(IF(M18+1&gt;12, (M18+1)-12, M18+1),"00")</f>
        <v>08</v>
      </c>
      <c r="N19" s="63">
        <f>IF(TEXT(DATE(2000,M19,1),"mmmm")="January",N18+1,N18)</f>
        <v>2022</v>
      </c>
      <c r="O19" s="101" t="str">
        <f t="shared" ref="O19:O53" si="7">N19&amp;M19</f>
        <v>202208</v>
      </c>
      <c r="P19" s="104">
        <v>3485</v>
      </c>
      <c r="Q19" s="104">
        <v>9760</v>
      </c>
      <c r="R19" s="105">
        <v>3286809.4</v>
      </c>
      <c r="S19" s="105">
        <v>1418798.14</v>
      </c>
      <c r="T19" s="490">
        <v>71008.23</v>
      </c>
      <c r="U19" s="528">
        <f t="shared" ref="U19:U28" si="8">W19+(P19*-3.36)</f>
        <v>322745.85000000003</v>
      </c>
      <c r="V19" s="491">
        <v>5411322.4400000004</v>
      </c>
      <c r="W19" s="528">
        <f t="shared" ref="W19:W29" si="9">P19*95.97</f>
        <v>334455.45</v>
      </c>
      <c r="X19" s="491">
        <v>0</v>
      </c>
      <c r="Y19" s="548">
        <v>161080</v>
      </c>
      <c r="Z19" s="103" t="str">
        <f>IFERROR(SUM(#REF!)/#REF!,"")</f>
        <v/>
      </c>
      <c r="AA19" s="63" t="str">
        <f t="shared" ref="AA19:AA53" si="10">RIGHT(O19,2)</f>
        <v>08</v>
      </c>
      <c r="AB19" s="85" t="str">
        <f>$AB$18</f>
        <v>2022-2023</v>
      </c>
    </row>
    <row r="20" spans="2:29" x14ac:dyDescent="0.35">
      <c r="B20" s="136" t="s">
        <v>135</v>
      </c>
      <c r="C20" s="373">
        <f t="shared" ref="C20:C23" si="11">J20</f>
        <v>-3513858</v>
      </c>
      <c r="D20" s="374">
        <f t="shared" ref="D20:D23" si="12">K20</f>
        <v>1500037.14</v>
      </c>
      <c r="E20" s="375">
        <f t="shared" ref="E20:E24" si="13">(ABS(D20)-ABS(C20))/ABS(C20)</f>
        <v>-0.57310820755989578</v>
      </c>
      <c r="F20" s="370">
        <f>L20</f>
        <v>-157351.15999999963</v>
      </c>
      <c r="G20" s="376">
        <f>(F20/COUNT(P$42:P$53))*12</f>
        <v>-236026.73999999944</v>
      </c>
      <c r="H20" s="377">
        <f t="shared" ref="H20:H24" si="14">(ABS(G20)-ABS(D20))/ABS(D20)</f>
        <v>-0.84265273591825895</v>
      </c>
      <c r="J20" s="405">
        <v>-3513858</v>
      </c>
      <c r="K20" s="405">
        <v>1500037.14</v>
      </c>
      <c r="L20" s="406">
        <f>SUM(Addendum!F22:L22)</f>
        <v>-157351.15999999963</v>
      </c>
      <c r="M20" s="63" t="str">
        <f t="shared" ref="M20:M53" si="15">TEXT(IF(M19+1&gt;12, (M19+1)-12, M19+1),"00")</f>
        <v>09</v>
      </c>
      <c r="N20" s="63">
        <f t="shared" ref="N20:N28" si="16">IF(TEXT(DATE(2000,M20,1),"mmmm")="January",N19+1,N19)</f>
        <v>2022</v>
      </c>
      <c r="O20" s="101" t="str">
        <f t="shared" si="7"/>
        <v>202209</v>
      </c>
      <c r="P20" s="104">
        <v>3488</v>
      </c>
      <c r="Q20" s="104">
        <v>9766</v>
      </c>
      <c r="R20" s="105">
        <v>4559659.6399999997</v>
      </c>
      <c r="S20" s="105">
        <v>1576088.8</v>
      </c>
      <c r="T20" s="490">
        <v>35199.870000000003</v>
      </c>
      <c r="U20" s="528">
        <f t="shared" si="8"/>
        <v>323023.68</v>
      </c>
      <c r="V20" s="491">
        <v>5411152.0199999996</v>
      </c>
      <c r="W20" s="528">
        <f t="shared" si="9"/>
        <v>334743.36</v>
      </c>
      <c r="X20" s="491">
        <v>0</v>
      </c>
      <c r="Y20" s="548">
        <v>161816</v>
      </c>
      <c r="Z20" s="103" t="str">
        <f>IFERROR(SUM(#REF!)/#REF!,"")</f>
        <v/>
      </c>
      <c r="AA20" s="63" t="str">
        <f t="shared" si="10"/>
        <v>09</v>
      </c>
      <c r="AB20" s="85" t="str">
        <f t="shared" ref="AB20:AB29" si="17">$AB$18</f>
        <v>2022-2023</v>
      </c>
    </row>
    <row r="21" spans="2:29" x14ac:dyDescent="0.35">
      <c r="B21" s="136" t="s">
        <v>348</v>
      </c>
      <c r="C21" s="378">
        <f t="shared" si="11"/>
        <v>-2002276.12</v>
      </c>
      <c r="D21" s="379">
        <f t="shared" si="12"/>
        <v>-7337404.75</v>
      </c>
      <c r="E21" s="380">
        <f t="shared" si="13"/>
        <v>2.6645319178056219</v>
      </c>
      <c r="F21" s="371">
        <f t="shared" ref="F21:F23" si="18">L21</f>
        <v>-3663161.2600000002</v>
      </c>
      <c r="G21" s="381">
        <f>(F21/COUNT(P$42:P$53))*12</f>
        <v>-5494741.8900000006</v>
      </c>
      <c r="H21" s="382">
        <f t="shared" si="14"/>
        <v>-0.25113278097409025</v>
      </c>
      <c r="J21" s="407">
        <v>-2002276.12</v>
      </c>
      <c r="K21" s="407">
        <v>-7337404.75</v>
      </c>
      <c r="L21" s="408">
        <f>SUM('Trust Cash Flow'!P24,Addendum!M22)</f>
        <v>-3663161.2600000002</v>
      </c>
      <c r="M21" s="63" t="str">
        <f t="shared" si="15"/>
        <v>10</v>
      </c>
      <c r="N21" s="63">
        <f t="shared" si="16"/>
        <v>2022</v>
      </c>
      <c r="O21" s="101" t="str">
        <f t="shared" si="7"/>
        <v>202210</v>
      </c>
      <c r="P21" s="104">
        <v>3490</v>
      </c>
      <c r="Q21" s="104">
        <v>9774</v>
      </c>
      <c r="R21" s="105">
        <v>3516848.04</v>
      </c>
      <c r="S21" s="105">
        <v>1385356.2</v>
      </c>
      <c r="T21" s="490">
        <v>35688.28</v>
      </c>
      <c r="U21" s="528">
        <f t="shared" si="8"/>
        <v>323208.89999999997</v>
      </c>
      <c r="V21" s="491">
        <v>5402762.3099999996</v>
      </c>
      <c r="W21" s="528">
        <f t="shared" si="9"/>
        <v>334935.3</v>
      </c>
      <c r="X21" s="491">
        <v>0</v>
      </c>
      <c r="Y21" s="548">
        <v>163467</v>
      </c>
      <c r="Z21" s="103" t="str">
        <f>IFERROR(SUM(#REF!)/#REF!,"")</f>
        <v/>
      </c>
      <c r="AA21" s="63" t="str">
        <f t="shared" si="10"/>
        <v>10</v>
      </c>
      <c r="AB21" s="85" t="str">
        <f t="shared" si="17"/>
        <v>2022-2023</v>
      </c>
    </row>
    <row r="22" spans="2:29" x14ac:dyDescent="0.35">
      <c r="B22" s="136" t="s">
        <v>289</v>
      </c>
      <c r="C22" s="378">
        <f>J22</f>
        <v>-9636461.75</v>
      </c>
      <c r="D22" s="379">
        <f t="shared" si="12"/>
        <v>-11976558.130000001</v>
      </c>
      <c r="E22" s="380">
        <f t="shared" si="13"/>
        <v>0.24283771789993364</v>
      </c>
      <c r="F22" s="371">
        <f>L22</f>
        <v>-7792458.3299999973</v>
      </c>
      <c r="G22" s="381">
        <f>(F22/COUNT(P$42:P$53))*12</f>
        <v>-11688687.494999995</v>
      </c>
      <c r="H22" s="382">
        <f t="shared" si="14"/>
        <v>-2.4036173988829072E-2</v>
      </c>
      <c r="J22" s="407">
        <v>-9636461.75</v>
      </c>
      <c r="K22" s="407">
        <v>-11976558.130000001</v>
      </c>
      <c r="L22" s="408">
        <f>'Trust Cash Flow'!P21</f>
        <v>-7792458.3299999973</v>
      </c>
      <c r="M22" s="63" t="str">
        <f t="shared" si="15"/>
        <v>11</v>
      </c>
      <c r="N22" s="63">
        <f t="shared" si="16"/>
        <v>2022</v>
      </c>
      <c r="O22" s="101" t="str">
        <f t="shared" si="7"/>
        <v>202211</v>
      </c>
      <c r="P22" s="104">
        <v>3496</v>
      </c>
      <c r="Q22" s="104">
        <v>9820</v>
      </c>
      <c r="R22" s="105">
        <v>2791511.34</v>
      </c>
      <c r="S22" s="105">
        <v>1327745.2</v>
      </c>
      <c r="T22" s="490">
        <v>36076.639999999999</v>
      </c>
      <c r="U22" s="528">
        <f t="shared" si="8"/>
        <v>323764.56</v>
      </c>
      <c r="V22" s="491">
        <v>5423902.8399999999</v>
      </c>
      <c r="W22" s="528">
        <f t="shared" si="9"/>
        <v>335511.12</v>
      </c>
      <c r="X22" s="491">
        <v>0</v>
      </c>
      <c r="Y22" s="548">
        <v>159823</v>
      </c>
      <c r="Z22" s="103" t="str">
        <f>IFERROR(SUM(#REF!)/#REF!,"")</f>
        <v/>
      </c>
      <c r="AA22" s="63" t="str">
        <f t="shared" si="10"/>
        <v>11</v>
      </c>
      <c r="AB22" s="85" t="str">
        <f t="shared" si="17"/>
        <v>2022-2023</v>
      </c>
    </row>
    <row r="23" spans="2:29" x14ac:dyDescent="0.35">
      <c r="B23" s="136" t="s">
        <v>26</v>
      </c>
      <c r="C23" s="378">
        <f t="shared" si="11"/>
        <v>-3571042.38</v>
      </c>
      <c r="D23" s="379">
        <f t="shared" si="12"/>
        <v>-8020488.0300000003</v>
      </c>
      <c r="E23" s="380">
        <f t="shared" si="13"/>
        <v>1.2459795142504022</v>
      </c>
      <c r="F23" s="371">
        <f t="shared" si="18"/>
        <v>-2843777.2399999998</v>
      </c>
      <c r="G23" s="381">
        <f>(F23/COUNT(P$42:P$53))*12</f>
        <v>-4265665.8599999994</v>
      </c>
      <c r="H23" s="382">
        <f>IFERROR((ABS(G23)-ABS(D23))/ABS(D23),"")</f>
        <v>-0.46815382754208795</v>
      </c>
      <c r="J23" s="409">
        <v>-3571042.38</v>
      </c>
      <c r="K23" s="409">
        <v>-8020488.0300000003</v>
      </c>
      <c r="L23" s="410">
        <f>'Trust Cash Flow'!P23</f>
        <v>-2843777.2399999998</v>
      </c>
      <c r="M23" s="63" t="str">
        <f t="shared" si="15"/>
        <v>12</v>
      </c>
      <c r="N23" s="63">
        <f t="shared" si="16"/>
        <v>2022</v>
      </c>
      <c r="O23" s="101" t="str">
        <f t="shared" si="7"/>
        <v>202212</v>
      </c>
      <c r="P23" s="104">
        <v>3492</v>
      </c>
      <c r="Q23" s="104">
        <v>9826</v>
      </c>
      <c r="R23" s="105">
        <v>4681866.28</v>
      </c>
      <c r="S23" s="105">
        <v>1577419.61</v>
      </c>
      <c r="T23" s="490">
        <v>234418.47</v>
      </c>
      <c r="U23" s="528">
        <f t="shared" si="8"/>
        <v>323394.12</v>
      </c>
      <c r="V23" s="491">
        <v>5426941.9400000004</v>
      </c>
      <c r="W23" s="528">
        <f t="shared" si="9"/>
        <v>335127.24</v>
      </c>
      <c r="X23" s="491">
        <v>0</v>
      </c>
      <c r="Y23" s="548">
        <v>160023</v>
      </c>
      <c r="Z23" s="103" t="str">
        <f>IFERROR(SUM(#REF!)/#REF!,"")</f>
        <v/>
      </c>
      <c r="AA23" s="63" t="str">
        <f t="shared" si="10"/>
        <v>12</v>
      </c>
      <c r="AB23" s="85" t="str">
        <f t="shared" si="17"/>
        <v>2022-2023</v>
      </c>
    </row>
    <row r="24" spans="2:29" x14ac:dyDescent="0.35">
      <c r="B24" s="140" t="s">
        <v>113</v>
      </c>
      <c r="C24" s="383">
        <f>SUM(C20:C23)</f>
        <v>-18723638.25</v>
      </c>
      <c r="D24" s="384">
        <f>SUM(D20:D23)</f>
        <v>-25834413.770000003</v>
      </c>
      <c r="E24" s="385">
        <f t="shared" si="13"/>
        <v>0.37977530996146025</v>
      </c>
      <c r="F24" s="372">
        <f>SUM(F20:F23)</f>
        <v>-14456747.989999996</v>
      </c>
      <c r="G24" s="386">
        <f>SUM(G20:G23)</f>
        <v>-21685121.984999996</v>
      </c>
      <c r="H24" s="387">
        <f t="shared" si="14"/>
        <v>-0.16061102922406306</v>
      </c>
      <c r="J24" s="11"/>
      <c r="K24" s="11"/>
      <c r="M24" s="63" t="str">
        <f t="shared" si="15"/>
        <v>01</v>
      </c>
      <c r="N24" s="63">
        <f t="shared" si="16"/>
        <v>2023</v>
      </c>
      <c r="O24" s="101" t="str">
        <f t="shared" si="7"/>
        <v>202301</v>
      </c>
      <c r="P24" s="104">
        <v>3498</v>
      </c>
      <c r="Q24" s="104">
        <v>9851</v>
      </c>
      <c r="R24" s="105">
        <v>3972790.69</v>
      </c>
      <c r="S24" s="105">
        <v>1256553.3400000001</v>
      </c>
      <c r="T24" s="490">
        <v>55835.16</v>
      </c>
      <c r="U24" s="528">
        <f t="shared" si="8"/>
        <v>323949.78000000003</v>
      </c>
      <c r="V24" s="491">
        <v>5448121.0499999998</v>
      </c>
      <c r="W24" s="528">
        <f t="shared" si="9"/>
        <v>335703.06</v>
      </c>
      <c r="X24" s="491">
        <v>0</v>
      </c>
      <c r="Y24" s="548">
        <v>192867</v>
      </c>
      <c r="Z24" s="103" t="str">
        <f>IFERROR(SUM(#REF!)/#REF!,"")</f>
        <v/>
      </c>
      <c r="AA24" s="63" t="str">
        <f t="shared" si="10"/>
        <v>01</v>
      </c>
      <c r="AB24" s="85" t="str">
        <f t="shared" si="17"/>
        <v>2022-2023</v>
      </c>
    </row>
    <row r="25" spans="2:29" x14ac:dyDescent="0.35">
      <c r="B25" s="136"/>
      <c r="C25" s="388"/>
      <c r="D25" s="388"/>
      <c r="E25" s="389"/>
      <c r="F25" s="388"/>
      <c r="G25" s="390"/>
      <c r="H25" s="389"/>
      <c r="J25" s="11"/>
      <c r="K25" s="11"/>
      <c r="M25" s="63" t="str">
        <f t="shared" si="15"/>
        <v>02</v>
      </c>
      <c r="N25" s="63">
        <f t="shared" si="16"/>
        <v>2023</v>
      </c>
      <c r="O25" s="101" t="str">
        <f t="shared" si="7"/>
        <v>202302</v>
      </c>
      <c r="P25" s="104">
        <v>3495</v>
      </c>
      <c r="Q25" s="104">
        <v>9835</v>
      </c>
      <c r="R25" s="105">
        <v>3275619.92</v>
      </c>
      <c r="S25" s="105">
        <v>1273244.74</v>
      </c>
      <c r="T25" s="490">
        <v>50375.96</v>
      </c>
      <c r="U25" s="528">
        <f t="shared" si="8"/>
        <v>323671.95</v>
      </c>
      <c r="V25" s="491">
        <v>5442304.5700000003</v>
      </c>
      <c r="W25" s="528">
        <f t="shared" si="9"/>
        <v>335415.15000000002</v>
      </c>
      <c r="X25" s="491">
        <v>0</v>
      </c>
      <c r="Y25" s="548">
        <v>191434</v>
      </c>
      <c r="Z25" s="103" t="str">
        <f>IFERROR(SUM(#REF!)/#REF!,"")</f>
        <v/>
      </c>
      <c r="AA25" s="63" t="str">
        <f t="shared" si="10"/>
        <v>02</v>
      </c>
      <c r="AB25" s="85" t="str">
        <f t="shared" si="17"/>
        <v>2022-2023</v>
      </c>
    </row>
    <row r="26" spans="2:29" x14ac:dyDescent="0.35">
      <c r="B26" s="140" t="s">
        <v>114</v>
      </c>
      <c r="C26" s="391">
        <f>SUM(C18,C13,C24)</f>
        <v>64307165.159999996</v>
      </c>
      <c r="D26" s="392">
        <f>SUM(D18,D13,D24)</f>
        <v>73103363.25999999</v>
      </c>
      <c r="E26" s="393">
        <f>(ABS(D26)-ABS(C26))/ABS(C26)</f>
        <v>0.13678410606523453</v>
      </c>
      <c r="F26" s="394">
        <f>SUM(F18,F13,F24)</f>
        <v>54708957.585600004</v>
      </c>
      <c r="G26" s="395">
        <f>SUM(G18,G13,G24)</f>
        <v>82063436.378400013</v>
      </c>
      <c r="H26" s="396">
        <f>(ABS(G26)-ABS(D26))/ABS(D26)</f>
        <v>0.12256718048022711</v>
      </c>
      <c r="J26" s="11"/>
      <c r="K26" s="11"/>
      <c r="M26" s="63" t="str">
        <f t="shared" si="15"/>
        <v>03</v>
      </c>
      <c r="N26" s="63">
        <f t="shared" si="16"/>
        <v>2023</v>
      </c>
      <c r="O26" s="101" t="str">
        <f t="shared" si="7"/>
        <v>202303</v>
      </c>
      <c r="P26" s="104">
        <v>3485</v>
      </c>
      <c r="Q26" s="104">
        <v>9813</v>
      </c>
      <c r="R26" s="105">
        <v>4957456.9800000004</v>
      </c>
      <c r="S26" s="105">
        <v>1856958.84</v>
      </c>
      <c r="T26" s="490">
        <v>60266.95</v>
      </c>
      <c r="U26" s="528">
        <f t="shared" si="8"/>
        <v>322745.85000000003</v>
      </c>
      <c r="V26" s="491">
        <v>5423243.0300000003</v>
      </c>
      <c r="W26" s="528">
        <f t="shared" si="9"/>
        <v>334455.45</v>
      </c>
      <c r="X26" s="491">
        <v>0</v>
      </c>
      <c r="Y26" s="548">
        <v>189943</v>
      </c>
      <c r="Z26" s="103" t="str">
        <f>IFERROR(SUM(#REF!)/#REF!,"")</f>
        <v/>
      </c>
      <c r="AA26" s="63" t="str">
        <f t="shared" si="10"/>
        <v>03</v>
      </c>
      <c r="AB26" s="85" t="str">
        <f t="shared" si="17"/>
        <v>2022-2023</v>
      </c>
    </row>
    <row r="27" spans="2:29" x14ac:dyDescent="0.35">
      <c r="B27" s="136" t="s">
        <v>115</v>
      </c>
      <c r="C27" s="165">
        <f>C26/C7</f>
        <v>18440.211764480977</v>
      </c>
      <c r="D27" s="169">
        <f>D26/D7</f>
        <v>21218.594662216092</v>
      </c>
      <c r="E27" s="380">
        <f t="shared" ref="E27:E29" si="19">(ABS(D27)-ABS(C27))/ABS(C27)</f>
        <v>0.15066979345035283</v>
      </c>
      <c r="F27" s="611">
        <f>G26/F7</f>
        <v>24001.297518634157</v>
      </c>
      <c r="G27" s="611"/>
      <c r="H27" s="382">
        <f>(ABS(F27)-ABS(D27))/ABS(D27)</f>
        <v>0.13114454094234709</v>
      </c>
      <c r="J27" s="84">
        <f>K27-1</f>
        <v>2022</v>
      </c>
      <c r="K27" s="84">
        <f>L27-1</f>
        <v>2023</v>
      </c>
      <c r="L27" s="84">
        <f>$P$9</f>
        <v>2024</v>
      </c>
      <c r="M27" s="63" t="str">
        <f t="shared" si="15"/>
        <v>04</v>
      </c>
      <c r="N27" s="63">
        <f t="shared" si="16"/>
        <v>2023</v>
      </c>
      <c r="O27" s="101" t="str">
        <f t="shared" si="7"/>
        <v>202304</v>
      </c>
      <c r="P27" s="104">
        <v>3476</v>
      </c>
      <c r="Q27" s="104">
        <v>9799</v>
      </c>
      <c r="R27" s="105">
        <v>3381430.56</v>
      </c>
      <c r="S27" s="105">
        <v>1446104.81</v>
      </c>
      <c r="T27" s="490">
        <v>57985.279999999999</v>
      </c>
      <c r="U27" s="528">
        <f t="shared" si="8"/>
        <v>321912.36</v>
      </c>
      <c r="V27" s="491">
        <v>5409682.1600000001</v>
      </c>
      <c r="W27" s="528">
        <f t="shared" si="9"/>
        <v>333591.71999999997</v>
      </c>
      <c r="X27" s="491">
        <v>0</v>
      </c>
      <c r="Y27" s="548">
        <v>191029</v>
      </c>
      <c r="Z27" s="103" t="str">
        <f>IFERROR(SUM(#REF!)/#REF!,"")</f>
        <v/>
      </c>
      <c r="AA27" s="63" t="str">
        <f t="shared" si="10"/>
        <v>04</v>
      </c>
      <c r="AB27" s="85" t="str">
        <f t="shared" si="17"/>
        <v>2022-2023</v>
      </c>
    </row>
    <row r="28" spans="2:29" x14ac:dyDescent="0.35">
      <c r="B28" s="140" t="s">
        <v>290</v>
      </c>
      <c r="C28" s="397">
        <f>J28</f>
        <v>65554466.460000001</v>
      </c>
      <c r="D28" s="398">
        <f t="shared" ref="D28" si="20">K28</f>
        <v>69759687.230000004</v>
      </c>
      <c r="E28" s="399">
        <f t="shared" si="19"/>
        <v>6.4148501194284654E-2</v>
      </c>
      <c r="F28" s="400">
        <f>L28</f>
        <v>47200695.780000001</v>
      </c>
      <c r="G28" s="401">
        <f>(F28/COUNT(P$42:P$53))*12</f>
        <v>70801043.670000002</v>
      </c>
      <c r="H28" s="402">
        <f>(ABS(G28)-ABS(D28))/ABS(D28)</f>
        <v>1.4927768190339084E-2</v>
      </c>
      <c r="J28" s="411">
        <v>65554466.460000001</v>
      </c>
      <c r="K28" s="411">
        <v>69759687.230000004</v>
      </c>
      <c r="L28" s="412">
        <f>'Trust Cash Flow'!P10</f>
        <v>47200695.780000001</v>
      </c>
      <c r="M28" s="63" t="str">
        <f t="shared" si="15"/>
        <v>05</v>
      </c>
      <c r="N28" s="63">
        <f t="shared" si="16"/>
        <v>2023</v>
      </c>
      <c r="O28" s="101" t="str">
        <f t="shared" si="7"/>
        <v>202305</v>
      </c>
      <c r="P28" s="104">
        <v>3476</v>
      </c>
      <c r="Q28" s="104">
        <v>9789</v>
      </c>
      <c r="R28" s="105">
        <v>4192804.24</v>
      </c>
      <c r="S28" s="105">
        <v>1632316.93</v>
      </c>
      <c r="T28" s="490">
        <v>57660.74</v>
      </c>
      <c r="U28" s="528">
        <f t="shared" si="8"/>
        <v>321912.36</v>
      </c>
      <c r="V28" s="491">
        <v>5411132.0999999996</v>
      </c>
      <c r="W28" s="528">
        <f t="shared" si="9"/>
        <v>333591.71999999997</v>
      </c>
      <c r="X28" s="491">
        <v>0</v>
      </c>
      <c r="Y28" s="548">
        <v>190318</v>
      </c>
      <c r="Z28" s="103" t="str">
        <f>IFERROR(SUM(#REF!)/#REF!,"")</f>
        <v/>
      </c>
      <c r="AA28" s="63" t="str">
        <f t="shared" si="10"/>
        <v>05</v>
      </c>
      <c r="AB28" s="85" t="str">
        <f t="shared" si="17"/>
        <v>2022-2023</v>
      </c>
    </row>
    <row r="29" spans="2:29" x14ac:dyDescent="0.35">
      <c r="B29" s="136" t="s">
        <v>291</v>
      </c>
      <c r="C29" s="167">
        <f>C28/C7</f>
        <v>18797.877975530489</v>
      </c>
      <c r="D29" s="170">
        <f>D28/D7</f>
        <v>20248.076984253683</v>
      </c>
      <c r="E29" s="403">
        <f t="shared" si="19"/>
        <v>7.7146953002404928E-2</v>
      </c>
      <c r="F29" s="612">
        <f>G28/F7</f>
        <v>20707.357487661317</v>
      </c>
      <c r="G29" s="612"/>
      <c r="H29" s="404">
        <f>(ABS(F29)-ABS(D29))/ABS(D29)</f>
        <v>2.268267271824392E-2</v>
      </c>
      <c r="M29" s="63" t="str">
        <f t="shared" si="15"/>
        <v>06</v>
      </c>
      <c r="N29" s="63">
        <f>IF(TEXT(DATE(2000,M29,1),"mmmm")="January",N28+1,N28)</f>
        <v>2023</v>
      </c>
      <c r="O29" s="101" t="str">
        <f t="shared" si="7"/>
        <v>202306</v>
      </c>
      <c r="P29" s="106">
        <v>3480</v>
      </c>
      <c r="Q29" s="106">
        <v>9805</v>
      </c>
      <c r="R29" s="107">
        <v>4143538.96</v>
      </c>
      <c r="S29" s="107">
        <v>2040315.73</v>
      </c>
      <c r="T29" s="492">
        <v>60534.54</v>
      </c>
      <c r="U29" s="529">
        <f>W29+(P29*-3.36)</f>
        <v>322282.8</v>
      </c>
      <c r="V29" s="493">
        <v>5418631.0300000003</v>
      </c>
      <c r="W29" s="528">
        <f t="shared" si="9"/>
        <v>333975.59999999998</v>
      </c>
      <c r="X29" s="493">
        <v>0</v>
      </c>
      <c r="Y29" s="550">
        <v>191292</v>
      </c>
      <c r="Z29" s="103" t="str">
        <f>IFERROR(SUM(#REF!)/#REF!,"")</f>
        <v/>
      </c>
      <c r="AA29" s="63" t="str">
        <f t="shared" si="10"/>
        <v>06</v>
      </c>
      <c r="AB29" s="85" t="str">
        <f t="shared" si="17"/>
        <v>2022-2023</v>
      </c>
    </row>
    <row r="30" spans="2:29" x14ac:dyDescent="0.35">
      <c r="B30" s="140" t="s">
        <v>142</v>
      </c>
      <c r="C30" s="142">
        <f>C26/C28</f>
        <v>0.98097305389921707</v>
      </c>
      <c r="D30" s="143">
        <f>D26/D28</f>
        <v>1.0479313506520718</v>
      </c>
      <c r="E30" s="141"/>
      <c r="F30" s="613">
        <f>IF(F28=0,"No Budget Structure",F26/F28)</f>
        <v>1.1590709984572181</v>
      </c>
      <c r="G30" s="613"/>
      <c r="H30" s="144"/>
      <c r="M30" s="63" t="str">
        <f t="shared" si="15"/>
        <v>07</v>
      </c>
      <c r="N30" s="63">
        <f t="shared" ref="N30:N53" si="21">IF(TEXT(DATE(2000,M30,1),"mmmm")="January",N29+1,N29)</f>
        <v>2023</v>
      </c>
      <c r="O30" s="101" t="str">
        <f t="shared" si="7"/>
        <v>202307</v>
      </c>
      <c r="P30" s="110">
        <v>3454</v>
      </c>
      <c r="Q30" s="102">
        <v>9739</v>
      </c>
      <c r="R30" s="108">
        <v>3714171.63</v>
      </c>
      <c r="S30" s="108">
        <v>1632586.07</v>
      </c>
      <c r="T30" s="488">
        <v>59977.07</v>
      </c>
      <c r="U30" s="528">
        <f>W30+(P30*-52.35)</f>
        <v>168668.1</v>
      </c>
      <c r="V30" s="489">
        <v>5981454.54</v>
      </c>
      <c r="W30" s="564">
        <v>349485</v>
      </c>
      <c r="X30" s="489">
        <v>0</v>
      </c>
      <c r="Y30" s="549">
        <v>222065</v>
      </c>
      <c r="Z30" s="103">
        <f>IFERROR(SUM(R18:U18)/P18,"")</f>
        <v>1936.8543533123029</v>
      </c>
      <c r="AA30" s="63" t="str">
        <f t="shared" si="10"/>
        <v>07</v>
      </c>
      <c r="AB30" s="85" t="str">
        <f>IF(LEFT($O$30,4)=LEFT($O$41,4), LEFT($O$30,4),LEFT($O$30,4)&amp;"-"&amp;LEFT($O$41,4))</f>
        <v>2023-2024</v>
      </c>
      <c r="AC30" s="109">
        <f t="shared" ref="AC30:AC41" si="22">SUM($R$18:$U$41)/SUM($P$18:$P$41)</f>
        <v>1808.9847975141538</v>
      </c>
    </row>
    <row r="31" spans="2:29" x14ac:dyDescent="0.35">
      <c r="B31" s="145"/>
      <c r="C31" s="146"/>
      <c r="D31" s="146"/>
      <c r="E31" s="146"/>
      <c r="F31" s="146"/>
      <c r="G31" s="146"/>
      <c r="H31" s="146"/>
      <c r="M31" s="63" t="str">
        <f t="shared" si="15"/>
        <v>08</v>
      </c>
      <c r="N31" s="63">
        <f t="shared" si="21"/>
        <v>2023</v>
      </c>
      <c r="O31" s="101" t="str">
        <f t="shared" si="7"/>
        <v>202308</v>
      </c>
      <c r="P31" s="111">
        <v>3470</v>
      </c>
      <c r="Q31" s="104">
        <v>9788</v>
      </c>
      <c r="R31" s="105">
        <v>4457852.99</v>
      </c>
      <c r="S31" s="105">
        <v>1487004.84</v>
      </c>
      <c r="T31" s="490">
        <v>60125.9</v>
      </c>
      <c r="U31" s="528">
        <f t="shared" ref="U31:U40" si="23">W31+(P31*-52.35)</f>
        <v>169326.5</v>
      </c>
      <c r="V31" s="491">
        <v>6006573.1299999999</v>
      </c>
      <c r="W31" s="565">
        <v>350981</v>
      </c>
      <c r="X31" s="491">
        <v>0</v>
      </c>
      <c r="Y31" s="548">
        <v>222736</v>
      </c>
      <c r="Z31" s="103">
        <f t="shared" ref="Z31:Z53" si="24">IFERROR(SUM(R19:U19)/P19,"")</f>
        <v>1463.2314548063127</v>
      </c>
      <c r="AA31" s="63" t="str">
        <f t="shared" si="10"/>
        <v>08</v>
      </c>
      <c r="AB31" s="85" t="str">
        <f>$AB$30</f>
        <v>2023-2024</v>
      </c>
      <c r="AC31" s="109">
        <f t="shared" si="22"/>
        <v>1808.9847975141538</v>
      </c>
    </row>
    <row r="32" spans="2:29" x14ac:dyDescent="0.35">
      <c r="B32" s="605" t="s">
        <v>116</v>
      </c>
      <c r="C32" s="606" t="str">
        <f>"Report Year "&amp;$P$9-2</f>
        <v>Report Year 2022</v>
      </c>
      <c r="D32" s="606" t="str">
        <f>"Report Year "&amp;$P$9-1</f>
        <v>Report Year 2023</v>
      </c>
      <c r="E32" s="607" t="s">
        <v>85</v>
      </c>
      <c r="F32" s="608" t="str">
        <f>"Report Year "&amp;$P$9</f>
        <v>Report Year 2024</v>
      </c>
      <c r="G32" s="608"/>
      <c r="H32" s="607" t="s">
        <v>86</v>
      </c>
      <c r="M32" s="63" t="str">
        <f t="shared" si="15"/>
        <v>09</v>
      </c>
      <c r="N32" s="63">
        <f t="shared" si="21"/>
        <v>2023</v>
      </c>
      <c r="O32" s="101" t="str">
        <f t="shared" si="7"/>
        <v>202309</v>
      </c>
      <c r="P32" s="111">
        <v>3483</v>
      </c>
      <c r="Q32" s="104">
        <v>9805</v>
      </c>
      <c r="R32" s="105">
        <v>4222989.5999999996</v>
      </c>
      <c r="S32" s="105">
        <v>2084426.5</v>
      </c>
      <c r="T32" s="490">
        <v>61303.6</v>
      </c>
      <c r="U32" s="528">
        <f t="shared" si="23"/>
        <v>169866.94999999998</v>
      </c>
      <c r="V32" s="491">
        <v>6003910.7800000003</v>
      </c>
      <c r="W32" s="565">
        <v>352202</v>
      </c>
      <c r="X32" s="491">
        <v>0</v>
      </c>
      <c r="Y32" s="548">
        <v>221430</v>
      </c>
      <c r="Z32" s="103">
        <f t="shared" si="24"/>
        <v>1861.8038962155961</v>
      </c>
      <c r="AA32" s="63" t="str">
        <f t="shared" si="10"/>
        <v>09</v>
      </c>
      <c r="AB32" s="85" t="str">
        <f t="shared" ref="AB32:AB41" si="25">$AB$30</f>
        <v>2023-2024</v>
      </c>
      <c r="AC32" s="109">
        <f t="shared" si="22"/>
        <v>1808.9847975141538</v>
      </c>
    </row>
    <row r="33" spans="2:29" x14ac:dyDescent="0.35">
      <c r="B33" s="605"/>
      <c r="C33" s="606"/>
      <c r="D33" s="606"/>
      <c r="E33" s="607"/>
      <c r="F33" s="186" t="s">
        <v>87</v>
      </c>
      <c r="G33" s="186" t="s">
        <v>88</v>
      </c>
      <c r="H33" s="607"/>
      <c r="M33" s="63" t="str">
        <f t="shared" si="15"/>
        <v>10</v>
      </c>
      <c r="N33" s="63">
        <f t="shared" si="21"/>
        <v>2023</v>
      </c>
      <c r="O33" s="101" t="str">
        <f t="shared" si="7"/>
        <v>202310</v>
      </c>
      <c r="P33" s="111">
        <v>3461</v>
      </c>
      <c r="Q33" s="104">
        <v>9762</v>
      </c>
      <c r="R33" s="112">
        <v>7441335.5099999998</v>
      </c>
      <c r="S33" s="105">
        <v>1667751.6</v>
      </c>
      <c r="T33" s="494">
        <v>59620.23</v>
      </c>
      <c r="U33" s="528">
        <f t="shared" si="23"/>
        <v>168816.65</v>
      </c>
      <c r="V33" s="491">
        <v>5962607.21</v>
      </c>
      <c r="W33" s="565">
        <v>350000</v>
      </c>
      <c r="X33" s="491">
        <v>0</v>
      </c>
      <c r="Y33" s="548">
        <v>219781</v>
      </c>
      <c r="Z33" s="103">
        <f t="shared" si="24"/>
        <v>1507.4789169054443</v>
      </c>
      <c r="AA33" s="63" t="str">
        <f t="shared" si="10"/>
        <v>10</v>
      </c>
      <c r="AB33" s="85" t="str">
        <f t="shared" si="25"/>
        <v>2023-2024</v>
      </c>
      <c r="AC33" s="109">
        <f t="shared" si="22"/>
        <v>1808.9847975141538</v>
      </c>
    </row>
    <row r="34" spans="2:29" x14ac:dyDescent="0.35">
      <c r="B34" s="145" t="s">
        <v>117</v>
      </c>
      <c r="C34" s="147">
        <f>P15</f>
        <v>25000</v>
      </c>
      <c r="D34" s="147">
        <f>P15</f>
        <v>25000</v>
      </c>
      <c r="E34" s="148"/>
      <c r="F34" s="614">
        <f>P15</f>
        <v>25000</v>
      </c>
      <c r="G34" s="614"/>
      <c r="H34" s="146"/>
      <c r="J34" s="84">
        <f>K34-1</f>
        <v>2022</v>
      </c>
      <c r="K34" s="84">
        <f>L34-1</f>
        <v>2023</v>
      </c>
      <c r="L34" s="84">
        <f>$P$9</f>
        <v>2024</v>
      </c>
      <c r="M34" s="63" t="str">
        <f t="shared" si="15"/>
        <v>11</v>
      </c>
      <c r="N34" s="63">
        <f t="shared" si="21"/>
        <v>2023</v>
      </c>
      <c r="O34" s="101" t="str">
        <f t="shared" si="7"/>
        <v>202311</v>
      </c>
      <c r="P34" s="111">
        <v>3461</v>
      </c>
      <c r="Q34" s="104">
        <v>9747</v>
      </c>
      <c r="R34" s="105">
        <v>2786925.32</v>
      </c>
      <c r="S34" s="105">
        <v>1675939.57</v>
      </c>
      <c r="T34" s="105">
        <v>60186.01</v>
      </c>
      <c r="U34" s="528">
        <f t="shared" si="23"/>
        <v>169002.65</v>
      </c>
      <c r="V34" s="491">
        <v>5950947.2199999997</v>
      </c>
      <c r="W34" s="565">
        <v>350186</v>
      </c>
      <c r="X34" s="491">
        <v>0</v>
      </c>
      <c r="Y34" s="548">
        <v>223498</v>
      </c>
      <c r="Z34" s="103">
        <f>IFERROR(SUM(R22:U22)/P22,"")</f>
        <v>1281.2064473684211</v>
      </c>
      <c r="AA34" s="63" t="str">
        <f t="shared" si="10"/>
        <v>11</v>
      </c>
      <c r="AB34" s="85" t="str">
        <f t="shared" si="25"/>
        <v>2023-2024</v>
      </c>
      <c r="AC34" s="109">
        <f t="shared" si="22"/>
        <v>1808.9847975141538</v>
      </c>
    </row>
    <row r="35" spans="2:29" x14ac:dyDescent="0.35">
      <c r="B35" s="145" t="s">
        <v>118</v>
      </c>
      <c r="C35" s="178">
        <f>J35</f>
        <v>460</v>
      </c>
      <c r="D35" s="183">
        <f>K35</f>
        <v>492</v>
      </c>
      <c r="E35" s="171">
        <f t="shared" ref="E35:E37" si="26">(ABS(D35)-ABS(C35))/ABS(C35)</f>
        <v>6.9565217391304349E-2</v>
      </c>
      <c r="F35" s="179">
        <f>L35</f>
        <v>331</v>
      </c>
      <c r="G35" s="180">
        <f>(F35/COUNT(P$42:P$53))*12</f>
        <v>496.5</v>
      </c>
      <c r="H35" s="174">
        <f t="shared" ref="H35:H37" si="27">(ABS(G35)-ABS(D35))/ABS(D35)</f>
        <v>9.1463414634146336E-3</v>
      </c>
      <c r="J35" s="414">
        <v>460</v>
      </c>
      <c r="K35" s="414">
        <v>492</v>
      </c>
      <c r="L35" s="415">
        <f>'HCC Summary'!D28</f>
        <v>331</v>
      </c>
      <c r="M35" s="63" t="str">
        <f t="shared" si="15"/>
        <v>12</v>
      </c>
      <c r="N35" s="63">
        <f t="shared" si="21"/>
        <v>2023</v>
      </c>
      <c r="O35" s="101" t="str">
        <f t="shared" si="7"/>
        <v>202312</v>
      </c>
      <c r="P35" s="111">
        <v>3457</v>
      </c>
      <c r="Q35" s="104">
        <v>9742</v>
      </c>
      <c r="R35" s="105">
        <v>6530881.5300000003</v>
      </c>
      <c r="S35" s="105">
        <v>2081856.4</v>
      </c>
      <c r="T35" s="105">
        <v>229739.93</v>
      </c>
      <c r="U35" s="528">
        <f t="shared" si="23"/>
        <v>168602.05</v>
      </c>
      <c r="V35" s="491">
        <v>5953935.54</v>
      </c>
      <c r="W35" s="565">
        <v>349576</v>
      </c>
      <c r="X35" s="491">
        <v>0</v>
      </c>
      <c r="Y35" s="548">
        <v>224483</v>
      </c>
      <c r="Z35" s="103">
        <f t="shared" si="24"/>
        <v>1952.2046048109967</v>
      </c>
      <c r="AA35" s="63" t="str">
        <f t="shared" si="10"/>
        <v>12</v>
      </c>
      <c r="AB35" s="85" t="str">
        <f t="shared" si="25"/>
        <v>2023-2024</v>
      </c>
      <c r="AC35" s="109">
        <f t="shared" si="22"/>
        <v>1808.9847975141538</v>
      </c>
    </row>
    <row r="36" spans="2:29" x14ac:dyDescent="0.35">
      <c r="B36" s="145" t="s">
        <v>119</v>
      </c>
      <c r="C36" s="165">
        <f>C37/C35</f>
        <v>80181.970891304343</v>
      </c>
      <c r="D36" s="169">
        <f>D37/D35</f>
        <v>90424.848028455279</v>
      </c>
      <c r="E36" s="172">
        <f t="shared" si="26"/>
        <v>0.1277453899335588</v>
      </c>
      <c r="F36" s="166">
        <f t="shared" ref="F36:G36" si="28">F37/F35</f>
        <v>85316.507915407841</v>
      </c>
      <c r="G36" s="181">
        <f t="shared" si="28"/>
        <v>85316.507915407841</v>
      </c>
      <c r="H36" s="175">
        <f t="shared" si="27"/>
        <v>-5.6492659091225937E-2</v>
      </c>
      <c r="J36" s="413"/>
      <c r="K36" s="413"/>
      <c r="L36" s="413"/>
      <c r="M36" s="63" t="str">
        <f t="shared" si="15"/>
        <v>01</v>
      </c>
      <c r="N36" s="63">
        <f t="shared" si="21"/>
        <v>2024</v>
      </c>
      <c r="O36" s="101" t="str">
        <f t="shared" si="7"/>
        <v>202401</v>
      </c>
      <c r="P36" s="111">
        <v>3443</v>
      </c>
      <c r="Q36" s="87">
        <v>9717</v>
      </c>
      <c r="R36" s="491">
        <v>3190815.67</v>
      </c>
      <c r="S36" s="491">
        <v>1684656.11</v>
      </c>
      <c r="T36" s="491">
        <v>3190.44</v>
      </c>
      <c r="U36" s="528">
        <f t="shared" si="23"/>
        <v>167928.94999999998</v>
      </c>
      <c r="V36" s="491">
        <v>5942116.6799999997</v>
      </c>
      <c r="W36" s="565">
        <v>348170</v>
      </c>
      <c r="X36" s="491">
        <v>0</v>
      </c>
      <c r="Y36" s="548">
        <v>220556</v>
      </c>
      <c r="Z36" s="103">
        <f t="shared" si="24"/>
        <v>1603.5245769010864</v>
      </c>
      <c r="AA36" s="63" t="str">
        <f t="shared" si="10"/>
        <v>01</v>
      </c>
      <c r="AB36" s="85" t="str">
        <f t="shared" si="25"/>
        <v>2023-2024</v>
      </c>
      <c r="AC36" s="109">
        <f t="shared" si="22"/>
        <v>1808.9847975141538</v>
      </c>
    </row>
    <row r="37" spans="2:29" ht="15" customHeight="1" x14ac:dyDescent="0.35">
      <c r="B37" s="145" t="s">
        <v>120</v>
      </c>
      <c r="C37" s="167">
        <f>J37</f>
        <v>36883706.609999999</v>
      </c>
      <c r="D37" s="170">
        <f>K37</f>
        <v>44489025.229999997</v>
      </c>
      <c r="E37" s="177">
        <f t="shared" si="26"/>
        <v>0.20619724314632806</v>
      </c>
      <c r="F37" s="168">
        <f>L37</f>
        <v>28239764.119999997</v>
      </c>
      <c r="G37" s="182">
        <f>(F37/COUNT(P$42:P$53))*12</f>
        <v>42359646.179999992</v>
      </c>
      <c r="H37" s="176">
        <f t="shared" si="27"/>
        <v>-4.7863018778035941E-2</v>
      </c>
      <c r="J37" s="409">
        <v>36883706.609999999</v>
      </c>
      <c r="K37" s="409">
        <v>44489025.229999997</v>
      </c>
      <c r="L37" s="410">
        <f>'HCC Summary'!G28</f>
        <v>28239764.119999997</v>
      </c>
      <c r="M37" s="63" t="str">
        <f t="shared" si="15"/>
        <v>02</v>
      </c>
      <c r="N37" s="63">
        <f t="shared" si="21"/>
        <v>2024</v>
      </c>
      <c r="O37" s="101" t="str">
        <f t="shared" si="7"/>
        <v>202402</v>
      </c>
      <c r="P37" s="111">
        <v>3442</v>
      </c>
      <c r="Q37" s="87">
        <v>9715</v>
      </c>
      <c r="R37" s="491">
        <v>4349816.33</v>
      </c>
      <c r="S37" s="491">
        <v>1575764.06</v>
      </c>
      <c r="T37" s="491">
        <v>118683.35</v>
      </c>
      <c r="U37" s="528">
        <f t="shared" si="23"/>
        <v>167870.3</v>
      </c>
      <c r="V37" s="491">
        <v>5938684.5899999999</v>
      </c>
      <c r="W37" s="565">
        <v>348059</v>
      </c>
      <c r="X37" s="491">
        <v>0</v>
      </c>
      <c r="Y37" s="548">
        <v>219678</v>
      </c>
      <c r="Z37" s="103">
        <f t="shared" si="24"/>
        <v>1408.5586752503577</v>
      </c>
      <c r="AA37" s="63" t="str">
        <f t="shared" si="10"/>
        <v>02</v>
      </c>
      <c r="AB37" s="85" t="str">
        <f t="shared" si="25"/>
        <v>2023-2024</v>
      </c>
      <c r="AC37" s="109">
        <f t="shared" si="22"/>
        <v>1808.9847975141538</v>
      </c>
    </row>
    <row r="38" spans="2:29" ht="15" customHeight="1" x14ac:dyDescent="0.35">
      <c r="B38" s="145" t="s">
        <v>121</v>
      </c>
      <c r="C38" s="149">
        <f>C37/C13</f>
        <v>0.55267113364740705</v>
      </c>
      <c r="D38" s="149">
        <f>D37/D13</f>
        <v>0.57138923152897614</v>
      </c>
      <c r="E38" s="146"/>
      <c r="F38" s="615">
        <f>G37/G13</f>
        <v>0.5164250812487402</v>
      </c>
      <c r="G38" s="615"/>
      <c r="H38" s="146"/>
      <c r="M38" s="63" t="str">
        <f t="shared" si="15"/>
        <v>03</v>
      </c>
      <c r="N38" s="63">
        <f t="shared" si="21"/>
        <v>2024</v>
      </c>
      <c r="O38" s="101" t="str">
        <f t="shared" si="7"/>
        <v>202403</v>
      </c>
      <c r="P38" s="113">
        <v>3433</v>
      </c>
      <c r="Q38" s="87">
        <v>9700</v>
      </c>
      <c r="R38" s="491">
        <v>4910524.5599999996</v>
      </c>
      <c r="S38" s="491">
        <v>2076329.07</v>
      </c>
      <c r="T38" s="491">
        <v>60539.44</v>
      </c>
      <c r="U38" s="528">
        <f t="shared" si="23"/>
        <v>167635.44999999998</v>
      </c>
      <c r="V38" s="491">
        <v>5934191.6399999997</v>
      </c>
      <c r="W38" s="565">
        <v>347353</v>
      </c>
      <c r="X38" s="491">
        <v>0</v>
      </c>
      <c r="Y38" s="548">
        <v>217260</v>
      </c>
      <c r="Z38" s="103">
        <f t="shared" si="24"/>
        <v>2065.2592883787661</v>
      </c>
      <c r="AA38" s="63" t="str">
        <f t="shared" si="10"/>
        <v>03</v>
      </c>
      <c r="AB38" s="85" t="str">
        <f t="shared" si="25"/>
        <v>2023-2024</v>
      </c>
      <c r="AC38" s="109">
        <f>SUM($R$18:$U$41)/SUM($P$18:$P$41)</f>
        <v>1808.9847975141538</v>
      </c>
    </row>
    <row r="39" spans="2:29" x14ac:dyDescent="0.35">
      <c r="B39" s="145"/>
      <c r="C39" s="146"/>
      <c r="D39" s="146"/>
      <c r="E39" s="146"/>
      <c r="F39" s="146"/>
      <c r="G39" s="146"/>
      <c r="H39" s="146"/>
      <c r="M39" s="63" t="str">
        <f t="shared" si="15"/>
        <v>04</v>
      </c>
      <c r="N39" s="63">
        <f t="shared" si="21"/>
        <v>2024</v>
      </c>
      <c r="O39" s="101" t="str">
        <f t="shared" si="7"/>
        <v>202404</v>
      </c>
      <c r="P39" s="113">
        <v>3425</v>
      </c>
      <c r="Q39" s="87">
        <v>9667</v>
      </c>
      <c r="R39" s="491">
        <v>4489002.87</v>
      </c>
      <c r="S39" s="491">
        <v>1804714.16</v>
      </c>
      <c r="T39" s="491">
        <v>58451.17</v>
      </c>
      <c r="U39" s="528">
        <f t="shared" si="23"/>
        <v>167141.25</v>
      </c>
      <c r="V39" s="491">
        <v>5910558.2300000004</v>
      </c>
      <c r="W39" s="565">
        <v>346440</v>
      </c>
      <c r="X39" s="491">
        <v>0</v>
      </c>
      <c r="Y39" s="548">
        <v>215419</v>
      </c>
      <c r="Z39" s="103">
        <f t="shared" si="24"/>
        <v>1498.1107623705411</v>
      </c>
      <c r="AA39" s="63" t="str">
        <f t="shared" si="10"/>
        <v>04</v>
      </c>
      <c r="AB39" s="85" t="str">
        <f t="shared" si="25"/>
        <v>2023-2024</v>
      </c>
      <c r="AC39" s="109">
        <f t="shared" si="22"/>
        <v>1808.9847975141538</v>
      </c>
    </row>
    <row r="40" spans="2:29" ht="18.5" x14ac:dyDescent="0.35">
      <c r="B40" s="605" t="s">
        <v>122</v>
      </c>
      <c r="C40" s="187"/>
      <c r="D40" s="187"/>
      <c r="E40" s="187"/>
      <c r="F40" s="187"/>
      <c r="G40" s="187"/>
      <c r="H40" s="187"/>
      <c r="M40" s="63" t="str">
        <f t="shared" si="15"/>
        <v>05</v>
      </c>
      <c r="N40" s="63">
        <f t="shared" si="21"/>
        <v>2024</v>
      </c>
      <c r="O40" s="101" t="str">
        <f t="shared" si="7"/>
        <v>202405</v>
      </c>
      <c r="P40" s="113">
        <v>3411</v>
      </c>
      <c r="Q40" s="87">
        <v>9622</v>
      </c>
      <c r="R40" s="491">
        <v>4684914.78</v>
      </c>
      <c r="S40" s="491">
        <v>2147940.98</v>
      </c>
      <c r="T40" s="491">
        <v>61112.54</v>
      </c>
      <c r="U40" s="528">
        <f t="shared" si="23"/>
        <v>166559.15</v>
      </c>
      <c r="V40" s="491">
        <v>5887570.04</v>
      </c>
      <c r="W40" s="565">
        <v>345125</v>
      </c>
      <c r="X40" s="491">
        <v>0</v>
      </c>
      <c r="Y40" s="548">
        <v>213503</v>
      </c>
      <c r="Z40" s="103">
        <f t="shared" si="24"/>
        <v>1785.0098590333719</v>
      </c>
      <c r="AA40" s="63" t="str">
        <f t="shared" si="10"/>
        <v>05</v>
      </c>
      <c r="AB40" s="85" t="str">
        <f t="shared" si="25"/>
        <v>2023-2024</v>
      </c>
      <c r="AC40" s="109">
        <f t="shared" si="22"/>
        <v>1808.9847975141538</v>
      </c>
    </row>
    <row r="41" spans="2:29" ht="18.5" x14ac:dyDescent="0.35">
      <c r="B41" s="605"/>
      <c r="C41" s="187"/>
      <c r="D41" s="187"/>
      <c r="E41" s="187"/>
      <c r="F41" s="187"/>
      <c r="G41" s="187"/>
      <c r="H41" s="187"/>
      <c r="M41" s="63" t="str">
        <f t="shared" si="15"/>
        <v>06</v>
      </c>
      <c r="N41" s="63">
        <f t="shared" si="21"/>
        <v>2024</v>
      </c>
      <c r="O41" s="101" t="str">
        <f t="shared" si="7"/>
        <v>202406</v>
      </c>
      <c r="P41" s="114">
        <v>3403</v>
      </c>
      <c r="Q41" s="115">
        <v>9600</v>
      </c>
      <c r="R41" s="493">
        <v>4362829.46</v>
      </c>
      <c r="S41" s="493">
        <v>1919198.53</v>
      </c>
      <c r="T41" s="493">
        <v>47996.67</v>
      </c>
      <c r="U41" s="529">
        <f>W41+(P41*-52.35)</f>
        <v>165969.94999999998</v>
      </c>
      <c r="V41" s="493">
        <v>5874104.0099999998</v>
      </c>
      <c r="W41" s="565">
        <v>344117</v>
      </c>
      <c r="X41" s="493">
        <v>0</v>
      </c>
      <c r="Y41" s="550">
        <v>212861</v>
      </c>
      <c r="Z41" s="103">
        <f t="shared" si="24"/>
        <v>1886.9747212643676</v>
      </c>
      <c r="AA41" s="63" t="str">
        <f t="shared" si="10"/>
        <v>06</v>
      </c>
      <c r="AB41" s="85" t="str">
        <f t="shared" si="25"/>
        <v>2023-2024</v>
      </c>
      <c r="AC41" s="109">
        <f t="shared" si="22"/>
        <v>1808.9847975141538</v>
      </c>
    </row>
    <row r="42" spans="2:29" x14ac:dyDescent="0.35">
      <c r="B42" s="145"/>
      <c r="C42" s="146"/>
      <c r="D42" s="146"/>
      <c r="E42" s="146"/>
      <c r="F42" s="146"/>
      <c r="G42" s="146"/>
      <c r="H42" s="146"/>
      <c r="M42" s="63" t="str">
        <f t="shared" si="15"/>
        <v>07</v>
      </c>
      <c r="N42" s="63">
        <f t="shared" si="21"/>
        <v>2024</v>
      </c>
      <c r="O42" s="57" t="str">
        <f t="shared" si="7"/>
        <v>202407</v>
      </c>
      <c r="P42" s="471">
        <v>3387</v>
      </c>
      <c r="Q42" s="472">
        <v>9554</v>
      </c>
      <c r="R42" s="473">
        <v>3758957.71</v>
      </c>
      <c r="S42" s="473">
        <v>1813006.4</v>
      </c>
      <c r="T42" s="473">
        <v>60667.5</v>
      </c>
      <c r="U42" s="528">
        <f t="shared" ref="U42:U49" si="29">W42+(P42*-51.85)</f>
        <v>158918.03999999998</v>
      </c>
      <c r="V42" s="70">
        <v>6117111.3899999997</v>
      </c>
      <c r="W42" s="566">
        <f t="shared" ref="W42:W49" si="30">P42*98.77</f>
        <v>334533.99</v>
      </c>
      <c r="X42" s="473">
        <v>0</v>
      </c>
      <c r="Y42" s="551">
        <v>19107</v>
      </c>
      <c r="Z42" s="103">
        <f t="shared" si="24"/>
        <v>1614.1872814128546</v>
      </c>
      <c r="AA42" s="63" t="str">
        <f t="shared" si="10"/>
        <v>07</v>
      </c>
      <c r="AB42" s="85" t="str">
        <f>IF(LEFT($O$42,4)=LEFT($O$53,4), LEFT($O$42,4),LEFT($O$42,4)&amp;"-"&amp;LEFT($O$53,4))</f>
        <v>2024-2025</v>
      </c>
    </row>
    <row r="43" spans="2:29" x14ac:dyDescent="0.35">
      <c r="B43" s="145"/>
      <c r="C43" s="146"/>
      <c r="D43" s="146"/>
      <c r="E43" s="146"/>
      <c r="F43" s="146"/>
      <c r="G43" s="146"/>
      <c r="H43" s="146"/>
      <c r="M43" s="63" t="str">
        <f t="shared" si="15"/>
        <v>08</v>
      </c>
      <c r="N43" s="63">
        <f t="shared" si="21"/>
        <v>2024</v>
      </c>
      <c r="O43" s="57" t="str">
        <f t="shared" si="7"/>
        <v>202408</v>
      </c>
      <c r="P43" s="486">
        <v>3385</v>
      </c>
      <c r="Q43" s="58">
        <v>9576</v>
      </c>
      <c r="R43" s="495">
        <v>5482061.3899999997</v>
      </c>
      <c r="S43" s="495">
        <v>2331500.65</v>
      </c>
      <c r="T43" s="495">
        <v>61499.6</v>
      </c>
      <c r="U43" s="528">
        <f t="shared" si="29"/>
        <v>158824.20000000001</v>
      </c>
      <c r="V43" s="70">
        <v>6124386.5800000001</v>
      </c>
      <c r="W43" s="567">
        <f t="shared" si="30"/>
        <v>334336.45</v>
      </c>
      <c r="X43" s="495">
        <v>0</v>
      </c>
      <c r="Y43" s="552">
        <v>17230</v>
      </c>
      <c r="Z43" s="103">
        <f t="shared" si="24"/>
        <v>1779.3401239193086</v>
      </c>
      <c r="AA43" s="63" t="str">
        <f t="shared" si="10"/>
        <v>08</v>
      </c>
      <c r="AB43" s="85" t="str">
        <f>$AB$42</f>
        <v>2024-2025</v>
      </c>
    </row>
    <row r="44" spans="2:29" x14ac:dyDescent="0.35">
      <c r="B44" s="145"/>
      <c r="C44" s="146"/>
      <c r="D44" s="146"/>
      <c r="E44" s="146"/>
      <c r="F44" s="146"/>
      <c r="G44" s="146"/>
      <c r="H44" s="146"/>
      <c r="M44" s="63" t="str">
        <f t="shared" si="15"/>
        <v>09</v>
      </c>
      <c r="N44" s="63">
        <f t="shared" si="21"/>
        <v>2024</v>
      </c>
      <c r="O44" s="57" t="str">
        <f t="shared" si="7"/>
        <v>202409</v>
      </c>
      <c r="P44" s="486">
        <v>3430</v>
      </c>
      <c r="Q44" s="58">
        <v>9654</v>
      </c>
      <c r="R44" s="495">
        <v>3741278.57</v>
      </c>
      <c r="S44" s="495">
        <v>1964306.75</v>
      </c>
      <c r="T44" s="495">
        <v>58967.77</v>
      </c>
      <c r="U44" s="528">
        <f t="shared" si="29"/>
        <v>160935.59999999998</v>
      </c>
      <c r="V44" s="220">
        <v>6164361.5999999996</v>
      </c>
      <c r="W44" s="567">
        <f t="shared" si="30"/>
        <v>338781.1</v>
      </c>
      <c r="X44" s="495">
        <v>0</v>
      </c>
      <c r="Y44" s="552">
        <v>23975</v>
      </c>
      <c r="Z44" s="103">
        <f t="shared" si="24"/>
        <v>1877.2858598908986</v>
      </c>
      <c r="AA44" s="63" t="str">
        <f t="shared" si="10"/>
        <v>09</v>
      </c>
      <c r="AB44" s="85" t="str">
        <f t="shared" ref="AB44:AB53" si="31">$AB$42</f>
        <v>2024-2025</v>
      </c>
    </row>
    <row r="45" spans="2:29" x14ac:dyDescent="0.35">
      <c r="B45" s="145"/>
      <c r="C45" s="146"/>
      <c r="D45" s="146"/>
      <c r="E45" s="146"/>
      <c r="F45" s="146"/>
      <c r="G45" s="146"/>
      <c r="H45" s="146"/>
      <c r="M45" s="63" t="str">
        <f t="shared" si="15"/>
        <v>10</v>
      </c>
      <c r="N45" s="63">
        <f t="shared" si="21"/>
        <v>2024</v>
      </c>
      <c r="O45" s="57" t="str">
        <f t="shared" si="7"/>
        <v>202410</v>
      </c>
      <c r="P45" s="486">
        <v>3428</v>
      </c>
      <c r="Q45" s="58">
        <v>9653</v>
      </c>
      <c r="R45" s="495">
        <v>3647336.49</v>
      </c>
      <c r="S45" s="495">
        <v>2019687.68</v>
      </c>
      <c r="T45" s="495">
        <v>42113.69</v>
      </c>
      <c r="U45" s="528">
        <f t="shared" si="29"/>
        <v>160841.75999999998</v>
      </c>
      <c r="V45" s="547">
        <v>6150363.7999999998</v>
      </c>
      <c r="W45" s="567">
        <f t="shared" si="30"/>
        <v>338583.56</v>
      </c>
      <c r="X45" s="495">
        <v>0</v>
      </c>
      <c r="Y45" s="552">
        <v>24498</v>
      </c>
      <c r="Z45" s="103">
        <f t="shared" si="24"/>
        <v>2697.9266079167869</v>
      </c>
      <c r="AA45" s="63" t="str">
        <f t="shared" si="10"/>
        <v>10</v>
      </c>
      <c r="AB45" s="85" t="str">
        <f t="shared" si="31"/>
        <v>2024-2025</v>
      </c>
    </row>
    <row r="46" spans="2:29" x14ac:dyDescent="0.35">
      <c r="B46" s="145"/>
      <c r="C46" s="146"/>
      <c r="D46" s="146"/>
      <c r="E46" s="146"/>
      <c r="F46" s="146"/>
      <c r="G46" s="146"/>
      <c r="H46" s="146"/>
      <c r="M46" s="63" t="str">
        <f t="shared" si="15"/>
        <v>11</v>
      </c>
      <c r="N46" s="63">
        <f t="shared" si="21"/>
        <v>2024</v>
      </c>
      <c r="O46" s="57" t="str">
        <f t="shared" si="7"/>
        <v>202411</v>
      </c>
      <c r="P46" s="486">
        <v>3429</v>
      </c>
      <c r="Q46" s="58">
        <v>9670</v>
      </c>
      <c r="R46" s="495">
        <v>5005651.2300000004</v>
      </c>
      <c r="S46" s="495">
        <v>2421488.2200000002</v>
      </c>
      <c r="T46" s="495">
        <v>62892.61</v>
      </c>
      <c r="U46" s="528">
        <f t="shared" si="29"/>
        <v>160888.67999999996</v>
      </c>
      <c r="V46" s="547">
        <v>6164365.0599999996</v>
      </c>
      <c r="W46" s="567">
        <f t="shared" si="30"/>
        <v>338682.32999999996</v>
      </c>
      <c r="X46" s="495">
        <v>0</v>
      </c>
      <c r="Y46" s="552">
        <v>24015</v>
      </c>
      <c r="Z46" s="103">
        <f t="shared" si="24"/>
        <v>1355.6930222479052</v>
      </c>
      <c r="AA46" s="63" t="str">
        <f t="shared" si="10"/>
        <v>11</v>
      </c>
      <c r="AB46" s="85" t="str">
        <f t="shared" si="31"/>
        <v>2024-2025</v>
      </c>
    </row>
    <row r="47" spans="2:29" x14ac:dyDescent="0.35">
      <c r="B47" s="145"/>
      <c r="C47" s="146"/>
      <c r="D47" s="146"/>
      <c r="E47" s="146"/>
      <c r="F47" s="146"/>
      <c r="G47" s="146"/>
      <c r="H47" s="146"/>
      <c r="M47" s="63" t="str">
        <f t="shared" si="15"/>
        <v>12</v>
      </c>
      <c r="N47" s="63">
        <f t="shared" si="21"/>
        <v>2024</v>
      </c>
      <c r="O47" s="57" t="str">
        <f t="shared" si="7"/>
        <v>202412</v>
      </c>
      <c r="P47" s="486">
        <v>3435</v>
      </c>
      <c r="Q47" s="58">
        <v>9677</v>
      </c>
      <c r="R47" s="495">
        <v>4876876.4000000004</v>
      </c>
      <c r="S47" s="495">
        <v>1989836.49</v>
      </c>
      <c r="T47" s="495">
        <v>238954.94</v>
      </c>
      <c r="U47" s="528">
        <f t="shared" si="29"/>
        <v>161170.20000000001</v>
      </c>
      <c r="V47" s="70">
        <v>6172087.8600000003</v>
      </c>
      <c r="W47" s="567">
        <f t="shared" si="30"/>
        <v>339274.95</v>
      </c>
      <c r="X47" s="495">
        <v>0</v>
      </c>
      <c r="Y47" s="548">
        <v>24650</v>
      </c>
      <c r="Z47" s="103">
        <f t="shared" si="24"/>
        <v>2606.6184292739372</v>
      </c>
      <c r="AA47" s="63" t="str">
        <f t="shared" si="10"/>
        <v>12</v>
      </c>
      <c r="AB47" s="85" t="str">
        <f t="shared" si="31"/>
        <v>2024-2025</v>
      </c>
    </row>
    <row r="48" spans="2:29" x14ac:dyDescent="0.35">
      <c r="B48" s="145"/>
      <c r="C48" s="146"/>
      <c r="D48" s="146"/>
      <c r="E48" s="146"/>
      <c r="F48" s="146"/>
      <c r="G48" s="146"/>
      <c r="H48" s="146"/>
      <c r="M48" s="63" t="str">
        <f t="shared" si="15"/>
        <v>01</v>
      </c>
      <c r="N48" s="63">
        <f t="shared" si="21"/>
        <v>2025</v>
      </c>
      <c r="O48" s="57" t="str">
        <f t="shared" si="7"/>
        <v>202501</v>
      </c>
      <c r="P48" s="486">
        <v>3435</v>
      </c>
      <c r="Q48" s="58">
        <v>9690</v>
      </c>
      <c r="R48" s="495">
        <v>5924122.6900000004</v>
      </c>
      <c r="S48" s="495">
        <v>2394639.67</v>
      </c>
      <c r="T48" s="495">
        <v>69083.17</v>
      </c>
      <c r="U48" s="528">
        <f t="shared" si="29"/>
        <v>161170.20000000001</v>
      </c>
      <c r="V48" s="553">
        <v>6178627.0599999996</v>
      </c>
      <c r="W48" s="567">
        <f t="shared" si="30"/>
        <v>339274.95</v>
      </c>
      <c r="X48" s="495">
        <v>0</v>
      </c>
      <c r="Y48" s="554">
        <v>24716</v>
      </c>
      <c r="Z48" s="103">
        <f t="shared" si="24"/>
        <v>1465.7540429857684</v>
      </c>
      <c r="AA48" s="63" t="str">
        <f t="shared" si="10"/>
        <v>01</v>
      </c>
      <c r="AB48" s="85" t="str">
        <f t="shared" si="31"/>
        <v>2024-2025</v>
      </c>
    </row>
    <row r="49" spans="2:28" x14ac:dyDescent="0.35">
      <c r="B49" s="145"/>
      <c r="C49" s="146"/>
      <c r="D49" s="146"/>
      <c r="E49" s="146"/>
      <c r="F49" s="146"/>
      <c r="G49" s="146"/>
      <c r="H49" s="146"/>
      <c r="M49" s="63" t="str">
        <f t="shared" si="15"/>
        <v>02</v>
      </c>
      <c r="N49" s="63">
        <f t="shared" si="21"/>
        <v>2025</v>
      </c>
      <c r="O49" s="57" t="str">
        <f t="shared" si="7"/>
        <v>202502</v>
      </c>
      <c r="P49" s="486">
        <v>3424</v>
      </c>
      <c r="Q49" s="58">
        <v>9654</v>
      </c>
      <c r="R49" s="495">
        <v>4669326.83</v>
      </c>
      <c r="S49" s="495">
        <v>1979386.75</v>
      </c>
      <c r="T49" s="495">
        <v>69533.789999999994</v>
      </c>
      <c r="U49" s="528">
        <f t="shared" si="29"/>
        <v>160654.07999999999</v>
      </c>
      <c r="V49" s="524">
        <v>6161083.1699999999</v>
      </c>
      <c r="W49" s="567">
        <f t="shared" si="30"/>
        <v>338188.48</v>
      </c>
      <c r="X49" s="495">
        <v>0</v>
      </c>
      <c r="Y49" s="552">
        <v>24478</v>
      </c>
      <c r="Z49" s="103">
        <f t="shared" si="24"/>
        <v>1804.8036141778036</v>
      </c>
      <c r="AA49" s="63" t="str">
        <f t="shared" si="10"/>
        <v>02</v>
      </c>
      <c r="AB49" s="85" t="str">
        <f t="shared" si="31"/>
        <v>2024-2025</v>
      </c>
    </row>
    <row r="50" spans="2:28" x14ac:dyDescent="0.35">
      <c r="B50" s="145"/>
      <c r="C50" s="146"/>
      <c r="D50" s="146"/>
      <c r="E50" s="146"/>
      <c r="F50" s="146"/>
      <c r="G50" s="146"/>
      <c r="H50" s="146"/>
      <c r="M50" s="63" t="str">
        <f t="shared" si="15"/>
        <v>03</v>
      </c>
      <c r="N50" s="63">
        <f t="shared" si="21"/>
        <v>2025</v>
      </c>
      <c r="O50" s="57" t="str">
        <f t="shared" si="7"/>
        <v>202503</v>
      </c>
      <c r="P50" s="486"/>
      <c r="Q50" s="58"/>
      <c r="R50" s="495"/>
      <c r="S50" s="495"/>
      <c r="T50" s="495"/>
      <c r="U50" s="528"/>
      <c r="V50" s="220"/>
      <c r="W50" s="559"/>
      <c r="X50" s="495"/>
      <c r="Y50" s="496"/>
      <c r="Z50" s="103">
        <f t="shared" si="24"/>
        <v>2101.6686629769883</v>
      </c>
      <c r="AA50" s="63" t="str">
        <f t="shared" si="10"/>
        <v>03</v>
      </c>
      <c r="AB50" s="85" t="str">
        <f t="shared" si="31"/>
        <v>2024-2025</v>
      </c>
    </row>
    <row r="51" spans="2:28" x14ac:dyDescent="0.35">
      <c r="B51" s="145"/>
      <c r="C51" s="146"/>
      <c r="D51" s="146"/>
      <c r="E51" s="146"/>
      <c r="F51" s="146"/>
      <c r="G51" s="146"/>
      <c r="H51" s="146"/>
      <c r="M51" s="63" t="str">
        <f t="shared" si="15"/>
        <v>04</v>
      </c>
      <c r="N51" s="63">
        <f t="shared" si="21"/>
        <v>2025</v>
      </c>
      <c r="O51" s="57" t="str">
        <f t="shared" si="7"/>
        <v>202504</v>
      </c>
      <c r="P51" s="486"/>
      <c r="Q51" s="58"/>
      <c r="R51" s="495"/>
      <c r="S51" s="495"/>
      <c r="T51" s="495"/>
      <c r="U51" s="528"/>
      <c r="V51" s="495"/>
      <c r="W51" s="495"/>
      <c r="X51" s="495"/>
      <c r="Y51" s="496"/>
      <c r="Z51" s="103">
        <f t="shared" si="24"/>
        <v>1903.4480145985401</v>
      </c>
      <c r="AA51" s="63" t="str">
        <f t="shared" si="10"/>
        <v>04</v>
      </c>
      <c r="AB51" s="85" t="str">
        <f t="shared" si="31"/>
        <v>2024-2025</v>
      </c>
    </row>
    <row r="52" spans="2:28" x14ac:dyDescent="0.35">
      <c r="B52" s="145"/>
      <c r="C52" s="146"/>
      <c r="D52" s="146"/>
      <c r="E52" s="146"/>
      <c r="F52" s="146"/>
      <c r="G52" s="146"/>
      <c r="H52" s="146"/>
      <c r="M52" s="63" t="str">
        <f t="shared" si="15"/>
        <v>05</v>
      </c>
      <c r="N52" s="63">
        <f t="shared" si="21"/>
        <v>2025</v>
      </c>
      <c r="O52" s="57" t="str">
        <f t="shared" si="7"/>
        <v>202505</v>
      </c>
      <c r="P52" s="486"/>
      <c r="Q52" s="58"/>
      <c r="R52" s="495"/>
      <c r="S52" s="495"/>
      <c r="T52" s="495"/>
      <c r="U52" s="528"/>
      <c r="V52" s="495"/>
      <c r="W52" s="495"/>
      <c r="X52" s="495"/>
      <c r="Y52" s="496"/>
      <c r="Z52" s="103">
        <f t="shared" si="24"/>
        <v>2069.9288918205807</v>
      </c>
      <c r="AA52" s="63" t="str">
        <f t="shared" si="10"/>
        <v>05</v>
      </c>
      <c r="AB52" s="85" t="str">
        <f t="shared" si="31"/>
        <v>2024-2025</v>
      </c>
    </row>
    <row r="53" spans="2:28" x14ac:dyDescent="0.35">
      <c r="B53" s="145"/>
      <c r="C53" s="146"/>
      <c r="D53" s="146"/>
      <c r="E53" s="146"/>
      <c r="F53" s="146"/>
      <c r="G53" s="146"/>
      <c r="H53" s="146"/>
      <c r="M53" s="63" t="str">
        <f t="shared" si="15"/>
        <v>06</v>
      </c>
      <c r="N53" s="63">
        <f t="shared" si="21"/>
        <v>2025</v>
      </c>
      <c r="O53" s="57" t="str">
        <f t="shared" si="7"/>
        <v>202506</v>
      </c>
      <c r="P53" s="521"/>
      <c r="Q53" s="460"/>
      <c r="R53" s="522"/>
      <c r="S53" s="522"/>
      <c r="T53" s="522"/>
      <c r="U53" s="529"/>
      <c r="V53" s="522"/>
      <c r="W53" s="522"/>
      <c r="X53" s="522"/>
      <c r="Y53" s="523"/>
      <c r="Z53" s="103">
        <f t="shared" si="24"/>
        <v>1908.9023244196298</v>
      </c>
      <c r="AA53" s="63" t="str">
        <f t="shared" si="10"/>
        <v>06</v>
      </c>
      <c r="AB53" s="85" t="str">
        <f t="shared" si="31"/>
        <v>2024-2025</v>
      </c>
    </row>
    <row r="54" spans="2:28" x14ac:dyDescent="0.35">
      <c r="B54" s="145"/>
      <c r="C54" s="146"/>
      <c r="D54" s="146"/>
      <c r="E54" s="146"/>
      <c r="F54" s="146"/>
      <c r="G54" s="146"/>
      <c r="H54" s="146"/>
      <c r="Z54" s="109">
        <f>SUM(R18:U41)/SUM(P18:P41)</f>
        <v>1808.9847975141538</v>
      </c>
    </row>
    <row r="55" spans="2:28" x14ac:dyDescent="0.35">
      <c r="B55" s="145"/>
      <c r="C55" s="146"/>
      <c r="D55" s="146"/>
      <c r="E55" s="146"/>
      <c r="F55" s="146"/>
      <c r="G55" s="146"/>
      <c r="H55" s="146"/>
      <c r="Y55" s="38" t="s">
        <v>123</v>
      </c>
    </row>
    <row r="56" spans="2:28" x14ac:dyDescent="0.35">
      <c r="B56" s="145"/>
      <c r="C56" s="146"/>
      <c r="D56" s="146"/>
      <c r="E56" s="146"/>
      <c r="F56" s="146"/>
      <c r="G56" s="146"/>
      <c r="H56" s="146"/>
    </row>
    <row r="57" spans="2:28" x14ac:dyDescent="0.35">
      <c r="B57" s="145"/>
      <c r="C57" s="146"/>
      <c r="D57" s="146"/>
      <c r="E57" s="146"/>
      <c r="F57" s="146"/>
      <c r="G57" s="146"/>
      <c r="H57" s="146"/>
    </row>
    <row r="58" spans="2:28" x14ac:dyDescent="0.35">
      <c r="B58" s="145"/>
      <c r="C58" s="146"/>
      <c r="D58" s="146"/>
      <c r="E58" s="146"/>
      <c r="F58" s="146"/>
      <c r="G58" s="146"/>
      <c r="H58" s="146"/>
    </row>
    <row r="59" spans="2:28" x14ac:dyDescent="0.35">
      <c r="B59" s="145"/>
      <c r="C59" s="146"/>
      <c r="D59" s="146"/>
      <c r="E59" s="146"/>
      <c r="F59" s="146"/>
      <c r="G59" s="146"/>
      <c r="H59" s="146"/>
    </row>
    <row r="60" spans="2:28" x14ac:dyDescent="0.35">
      <c r="B60" s="145"/>
      <c r="C60" s="146"/>
      <c r="D60" s="146"/>
      <c r="E60" s="146"/>
      <c r="F60" s="146"/>
      <c r="G60" s="146"/>
      <c r="H60" s="146"/>
    </row>
    <row r="61" spans="2:28" x14ac:dyDescent="0.35">
      <c r="B61" s="145"/>
      <c r="C61" s="146"/>
      <c r="D61" s="146"/>
      <c r="E61" s="146"/>
      <c r="F61" s="146"/>
      <c r="G61" s="146"/>
      <c r="H61" s="146"/>
    </row>
    <row r="62" spans="2:28" x14ac:dyDescent="0.35">
      <c r="B62" s="145"/>
      <c r="C62" s="146"/>
      <c r="D62" s="146"/>
      <c r="E62" s="146"/>
      <c r="F62" s="146"/>
      <c r="G62" s="146"/>
      <c r="H62" s="146"/>
    </row>
    <row r="63" spans="2:28" x14ac:dyDescent="0.35">
      <c r="B63" s="145"/>
      <c r="C63" s="146"/>
      <c r="D63" s="146"/>
      <c r="E63" s="146"/>
      <c r="F63" s="146"/>
      <c r="G63" s="146"/>
      <c r="H63" s="146"/>
    </row>
    <row r="64" spans="2:28" x14ac:dyDescent="0.35">
      <c r="B64" s="145"/>
      <c r="C64" s="146"/>
      <c r="D64" s="146"/>
      <c r="E64" s="146"/>
      <c r="F64" s="146"/>
      <c r="G64" s="146"/>
      <c r="H64" s="146"/>
    </row>
    <row r="65" spans="2:8" x14ac:dyDescent="0.35">
      <c r="B65" s="145"/>
      <c r="C65" s="146"/>
      <c r="D65" s="146"/>
      <c r="E65" s="146"/>
      <c r="F65" s="146"/>
      <c r="G65" s="146"/>
      <c r="H65" s="146"/>
    </row>
    <row r="66" spans="2:8" x14ac:dyDescent="0.35">
      <c r="B66" s="145"/>
      <c r="C66" s="146"/>
      <c r="D66" s="146"/>
      <c r="E66" s="146"/>
      <c r="F66" s="146"/>
      <c r="G66" s="146"/>
      <c r="H66" s="146"/>
    </row>
    <row r="67" spans="2:8" x14ac:dyDescent="0.35">
      <c r="B67" s="145"/>
      <c r="C67" s="146"/>
      <c r="D67" s="146"/>
      <c r="E67" s="146"/>
      <c r="F67" s="146"/>
      <c r="G67" s="146"/>
      <c r="H67" s="146"/>
    </row>
    <row r="68" spans="2:8" x14ac:dyDescent="0.35">
      <c r="B68" s="145"/>
      <c r="C68" s="146"/>
      <c r="D68" s="146"/>
      <c r="E68" s="146"/>
      <c r="F68" s="146"/>
      <c r="G68" s="146"/>
      <c r="H68" s="146"/>
    </row>
    <row r="69" spans="2:8" x14ac:dyDescent="0.35">
      <c r="B69" s="145"/>
      <c r="C69" s="146"/>
      <c r="D69" s="146"/>
      <c r="E69" s="146"/>
      <c r="F69" s="146"/>
      <c r="G69" s="146"/>
      <c r="H69" s="146"/>
    </row>
    <row r="70" spans="2:8" x14ac:dyDescent="0.35">
      <c r="B70" s="145"/>
      <c r="C70" s="146"/>
      <c r="D70" s="146"/>
      <c r="E70" s="146"/>
      <c r="F70" s="146"/>
      <c r="G70" s="146"/>
      <c r="H70" s="146"/>
    </row>
    <row r="71" spans="2:8" x14ac:dyDescent="0.35">
      <c r="B71" s="145"/>
      <c r="C71" s="146"/>
      <c r="D71" s="146"/>
      <c r="E71" s="146"/>
      <c r="F71" s="146"/>
      <c r="G71" s="146"/>
      <c r="H71" s="146"/>
    </row>
    <row r="72" spans="2:8" x14ac:dyDescent="0.35">
      <c r="B72" s="145"/>
      <c r="C72" s="146"/>
      <c r="D72" s="146"/>
      <c r="E72" s="146"/>
      <c r="F72" s="146"/>
      <c r="G72" s="146"/>
      <c r="H72" s="146"/>
    </row>
    <row r="73" spans="2:8" x14ac:dyDescent="0.35">
      <c r="B73" s="145"/>
      <c r="C73" s="146"/>
      <c r="D73" s="146"/>
      <c r="E73" s="146"/>
      <c r="F73" s="146"/>
      <c r="G73" s="146"/>
      <c r="H73" s="146"/>
    </row>
    <row r="74" spans="2:8" x14ac:dyDescent="0.35">
      <c r="B74" s="145"/>
      <c r="C74" s="146"/>
      <c r="D74" s="146"/>
      <c r="E74" s="146"/>
      <c r="F74" s="146"/>
      <c r="G74" s="146"/>
      <c r="H74" s="146"/>
    </row>
    <row r="75" spans="2:8" x14ac:dyDescent="0.35">
      <c r="B75" s="145"/>
      <c r="C75" s="146"/>
      <c r="D75" s="146"/>
      <c r="E75" s="146"/>
      <c r="F75" s="146"/>
      <c r="G75" s="146"/>
      <c r="H75" s="146"/>
    </row>
    <row r="76" spans="2:8" x14ac:dyDescent="0.35">
      <c r="B76" s="145"/>
      <c r="C76" s="146"/>
      <c r="D76" s="146"/>
      <c r="E76" s="146"/>
      <c r="F76" s="146"/>
      <c r="G76" s="146"/>
      <c r="H76" s="146"/>
    </row>
  </sheetData>
  <mergeCells count="25">
    <mergeCell ref="F34:G34"/>
    <mergeCell ref="F38:G38"/>
    <mergeCell ref="F32:G32"/>
    <mergeCell ref="B40:B41"/>
    <mergeCell ref="B32:B33"/>
    <mergeCell ref="C32:C33"/>
    <mergeCell ref="D32:D33"/>
    <mergeCell ref="E32:E33"/>
    <mergeCell ref="H32:H33"/>
    <mergeCell ref="F7:G7"/>
    <mergeCell ref="F8:G8"/>
    <mergeCell ref="O16:Y16"/>
    <mergeCell ref="F27:G27"/>
    <mergeCell ref="F29:G29"/>
    <mergeCell ref="F30:G30"/>
    <mergeCell ref="O5:P5"/>
    <mergeCell ref="B2:H2"/>
    <mergeCell ref="O2:P4"/>
    <mergeCell ref="B3:H3"/>
    <mergeCell ref="B5:B6"/>
    <mergeCell ref="C5:C6"/>
    <mergeCell ref="D5:D6"/>
    <mergeCell ref="E5:E6"/>
    <mergeCell ref="F5:G5"/>
    <mergeCell ref="H5:H6"/>
  </mergeCells>
  <pageMargins left="0.7" right="0.7" top="0.75" bottom="0.75" header="0.3" footer="0.3"/>
  <pageSetup scale="6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theme="1" tint="0.249977111117893"/>
    <pageSetUpPr fitToPage="1"/>
  </sheetPr>
  <dimension ref="A1:P28"/>
  <sheetViews>
    <sheetView view="pageBreakPreview" topLeftCell="B1" zoomScale="60" workbookViewId="0">
      <selection activeCell="Q20" sqref="Q20"/>
    </sheetView>
  </sheetViews>
  <sheetFormatPr defaultColWidth="8.81640625" defaultRowHeight="14.5" x14ac:dyDescent="0.35"/>
  <cols>
    <col min="1" max="1" width="18.81640625" hidden="1" customWidth="1"/>
    <col min="2" max="2" width="25.453125" bestFit="1" customWidth="1"/>
    <col min="3" max="3" width="10.81640625" customWidth="1"/>
    <col min="4" max="4" width="8.54296875" customWidth="1"/>
    <col min="5" max="5" width="21.81640625" bestFit="1" customWidth="1"/>
    <col min="6" max="6" width="18.7265625" customWidth="1"/>
    <col min="7" max="7" width="26.26953125" customWidth="1"/>
    <col min="8" max="8" width="18.453125" customWidth="1"/>
    <col min="9" max="9" width="21.1796875" bestFit="1" customWidth="1"/>
    <col min="10" max="10" width="18.453125" bestFit="1" customWidth="1"/>
    <col min="11" max="11" width="21.1796875" customWidth="1"/>
    <col min="12" max="12" width="18.453125" customWidth="1"/>
    <col min="13" max="13" width="23.54296875" customWidth="1"/>
    <col min="14" max="14" width="18.453125" customWidth="1"/>
    <col min="15" max="15" width="20.7265625" bestFit="1" customWidth="1"/>
    <col min="16" max="16" width="19.453125" customWidth="1"/>
    <col min="17" max="17" width="20.26953125" bestFit="1" customWidth="1"/>
    <col min="18" max="18" width="16.453125" bestFit="1" customWidth="1"/>
    <col min="19" max="19" width="18.7265625" customWidth="1"/>
    <col min="20" max="20" width="23.1796875" bestFit="1" customWidth="1"/>
  </cols>
  <sheetData>
    <row r="1" spans="2:16" ht="3.75" customHeight="1" x14ac:dyDescent="0.35"/>
    <row r="2" spans="2:16" ht="24" thickBot="1" x14ac:dyDescent="0.6">
      <c r="B2" s="10" t="s">
        <v>7</v>
      </c>
      <c r="E2" s="603" t="str">
        <f>Narrative!H5</f>
        <v>NOREBT</v>
      </c>
      <c r="F2" s="603"/>
      <c r="G2" s="603"/>
      <c r="H2" s="603"/>
      <c r="I2" s="603"/>
      <c r="J2" s="603"/>
      <c r="K2" s="603"/>
      <c r="L2" s="603"/>
      <c r="M2" s="603"/>
      <c r="N2" s="603"/>
      <c r="O2" s="603"/>
      <c r="P2" s="603"/>
    </row>
    <row r="3" spans="2:16" ht="19" thickBot="1" x14ac:dyDescent="0.5">
      <c r="B3" s="6">
        <v>45742</v>
      </c>
      <c r="C3" s="3">
        <f>MONTH(B3)</f>
        <v>3</v>
      </c>
      <c r="D3" s="3"/>
      <c r="E3" s="604" t="s">
        <v>12</v>
      </c>
      <c r="F3" s="604"/>
      <c r="G3" s="604"/>
      <c r="H3" s="604"/>
      <c r="I3" s="604"/>
      <c r="J3" s="604"/>
      <c r="K3" s="604"/>
      <c r="L3" s="604"/>
      <c r="M3" s="604"/>
      <c r="N3" s="604"/>
      <c r="O3" s="604"/>
      <c r="P3" s="604"/>
    </row>
    <row r="4" spans="2:16" ht="18.5" x14ac:dyDescent="0.45">
      <c r="B4" s="4"/>
      <c r="C4" s="3"/>
      <c r="D4" s="3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</row>
    <row r="5" spans="2:16" ht="18.5" x14ac:dyDescent="0.45">
      <c r="C5" s="3"/>
      <c r="D5" s="3"/>
      <c r="E5" s="618" t="str">
        <f>"Plan Year: "&amp;B8&amp;" "&amp;C8&amp;" - "&amp;B9&amp;" "&amp;C9</f>
        <v>Plan Year: July 2024 - June 2025</v>
      </c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8"/>
    </row>
    <row r="6" spans="2:16" ht="18.5" x14ac:dyDescent="0.45">
      <c r="C6" s="3"/>
      <c r="D6" s="3"/>
      <c r="E6" s="618" t="str">
        <f>"Claims Paid "&amp;B12&amp;" "&amp;C12&amp;" through "&amp;TEXT(DATE(2000,C3-1,1), "mmmm")&amp;" "&amp;(IF(C3=1,YEAR(B3)-1, YEAR(B3)))</f>
        <v>Claims Paid July 2024 through February 2025</v>
      </c>
      <c r="F6" s="618"/>
      <c r="G6" s="618"/>
      <c r="H6" s="618"/>
      <c r="I6" s="618"/>
      <c r="J6" s="618"/>
      <c r="K6" s="618"/>
      <c r="L6" s="618"/>
      <c r="M6" s="618"/>
      <c r="N6" s="618"/>
      <c r="O6" s="618"/>
      <c r="P6" s="618"/>
    </row>
    <row r="7" spans="2:16" ht="30.75" customHeight="1" thickBot="1" x14ac:dyDescent="0.5">
      <c r="B7" s="9" t="s">
        <v>8</v>
      </c>
      <c r="C7" s="3"/>
      <c r="D7" s="3"/>
      <c r="E7" s="154"/>
      <c r="F7" s="155" t="s">
        <v>3</v>
      </c>
      <c r="G7" s="155" t="s">
        <v>4</v>
      </c>
      <c r="H7" s="155" t="s">
        <v>5</v>
      </c>
      <c r="I7" s="155" t="s">
        <v>29</v>
      </c>
      <c r="J7" s="155" t="s">
        <v>6</v>
      </c>
      <c r="K7" s="155" t="s">
        <v>11</v>
      </c>
      <c r="L7" s="155" t="s">
        <v>30</v>
      </c>
      <c r="M7" s="155" t="s">
        <v>78</v>
      </c>
      <c r="N7" s="155" t="s">
        <v>124</v>
      </c>
      <c r="O7" s="155" t="s">
        <v>136</v>
      </c>
      <c r="P7" s="155"/>
    </row>
    <row r="8" spans="2:16" s="1" customFormat="1" ht="40" customHeight="1" thickBot="1" x14ac:dyDescent="0.4">
      <c r="B8" s="7" t="s">
        <v>146</v>
      </c>
      <c r="C8" s="2">
        <f>IF(MONTH(B3)=MONTH(DATEVALUE(B8&amp;"1")),(YEAR(B3)-1),IF(MONTH(B3)&gt;MONTH(DATEVALUE(B8&amp;"1")),YEAR(B3), IF(MONTH(B3)&lt;MONTH(DATEVALUE(B8&amp;"1")),YEAR(B3)-1, "ERROR")))</f>
        <v>2024</v>
      </c>
      <c r="D8" s="2"/>
      <c r="E8" s="625" t="s">
        <v>0</v>
      </c>
      <c r="F8" s="622" t="s">
        <v>31</v>
      </c>
      <c r="G8" s="623"/>
      <c r="H8" s="623"/>
      <c r="I8" s="623"/>
      <c r="J8" s="623"/>
      <c r="K8" s="623"/>
      <c r="L8" s="623"/>
      <c r="M8" s="623"/>
      <c r="N8" s="623"/>
      <c r="O8" s="624"/>
      <c r="P8" s="620" t="s">
        <v>23</v>
      </c>
    </row>
    <row r="9" spans="2:16" s="1" customFormat="1" ht="40" customHeight="1" x14ac:dyDescent="0.35">
      <c r="B9" s="1" t="str">
        <f>IF(B8="","",TEXT(DATE(2000,MONTH(DATEVALUE(B8&amp;"1")) + 11,1), "mmmm"))</f>
        <v>June</v>
      </c>
      <c r="C9" s="2">
        <f>IF(B9="December", C8,C8+1)</f>
        <v>2025</v>
      </c>
      <c r="D9" s="2"/>
      <c r="E9" s="626"/>
      <c r="F9" s="188" t="s">
        <v>27</v>
      </c>
      <c r="G9" s="189" t="s">
        <v>32</v>
      </c>
      <c r="H9" s="189" t="s">
        <v>125</v>
      </c>
      <c r="I9" s="189" t="s">
        <v>323</v>
      </c>
      <c r="J9" s="189" t="s">
        <v>28</v>
      </c>
      <c r="K9" s="189" t="s">
        <v>342</v>
      </c>
      <c r="L9" s="189" t="s">
        <v>346</v>
      </c>
      <c r="M9" s="189" t="s">
        <v>350</v>
      </c>
      <c r="N9" s="189" t="s">
        <v>352</v>
      </c>
      <c r="O9" s="190" t="s">
        <v>26</v>
      </c>
      <c r="P9" s="621"/>
    </row>
    <row r="10" spans="2:16" s="13" customFormat="1" ht="40" customHeight="1" x14ac:dyDescent="0.35">
      <c r="C10" s="2"/>
      <c r="D10" s="14">
        <f>MONTH(DATEVALUE(B12&amp;"1"))</f>
        <v>7</v>
      </c>
      <c r="E10" s="193" t="str">
        <f>B12&amp;"   "&amp;C12</f>
        <v>July   2024</v>
      </c>
      <c r="F10" s="478">
        <f>IF(Conneaut!K68="","",SUM(Conneaut:Wattsburg!L68))</f>
        <v>13140.050000000003</v>
      </c>
      <c r="G10" s="479">
        <f>IF(Conneaut!K68="","",SUM(Conneaut:Wattsburg!M68))</f>
        <v>0</v>
      </c>
      <c r="H10" s="476">
        <f>IF(Conneaut!K68="","",SUM(Conneaut:Wattsburg!N68))</f>
        <v>205.04</v>
      </c>
      <c r="I10" s="479">
        <f>IF(Conneaut!K68="","",SUM(Conneaut:Wattsburg!O68))</f>
        <v>19780</v>
      </c>
      <c r="J10" s="479">
        <f>IF(Conneaut!K68="","",SUM(Conneaut:Wattsburg!P68))</f>
        <v>10926.869999999999</v>
      </c>
      <c r="K10" s="476">
        <f>IF(Conneaut!K68="","",SUM(Conneaut:Wattsburg!Q68))</f>
        <v>4024.55</v>
      </c>
      <c r="L10" s="479">
        <f>IF(Conneaut!K68="","",SUM(Conneaut:Wattsburg!R68))</f>
        <v>-499.45</v>
      </c>
      <c r="M10" s="476">
        <f>IF(Conneaut!K68="","",SUM(Conneaut:Wattsburg!T68,Conneaut:Wattsburg!S68))</f>
        <v>-4611.8500000000004</v>
      </c>
      <c r="N10" s="476">
        <f>IF(Girard!K85="","",Girard!K85+HarborCreek!K85)</f>
        <v>-209146.01</v>
      </c>
      <c r="O10" s="480">
        <f>IF(Conneaut!D$11="","",SUM(Conneaut:Wattsburg!$U68))</f>
        <v>-581176.75</v>
      </c>
      <c r="P10" s="195">
        <f>SUM(F10:O10)</f>
        <v>-747357.55</v>
      </c>
    </row>
    <row r="11" spans="2:16" s="13" customFormat="1" ht="40" customHeight="1" thickBot="1" x14ac:dyDescent="0.4">
      <c r="B11" s="12" t="s">
        <v>9</v>
      </c>
      <c r="C11" s="2"/>
      <c r="D11" s="14">
        <f>IF(D10+1&gt;12, (D10+1)-12, D10+1)</f>
        <v>8</v>
      </c>
      <c r="E11" s="193" t="str">
        <f>TEXT(DATE(2000,D11,1), "mmmm")&amp;IF(D11=1, " "&amp;$C$13,"")</f>
        <v>August</v>
      </c>
      <c r="F11" s="194">
        <f>IF(Conneaut!K69="","",SUM(Conneaut:Wattsburg!L69))</f>
        <v>10640.699999999999</v>
      </c>
      <c r="G11" s="725">
        <f>IF(Conneaut!K69="","",SUM(Conneaut:Wattsburg!M69))</f>
        <v>0</v>
      </c>
      <c r="H11" s="476">
        <f>IF(Conneaut!K69="","",SUM(Conneaut:Wattsburg!N69))</f>
        <v>2434.6800000000003</v>
      </c>
      <c r="I11" s="725">
        <f>IF(Conneaut!K69="","",SUM(Conneaut:Wattsburg!O69))</f>
        <v>38500</v>
      </c>
      <c r="J11" s="725">
        <f>IF(Conneaut!K69="","",SUM(Conneaut:Wattsburg!P69))</f>
        <v>6162.9400000000005</v>
      </c>
      <c r="K11" s="725">
        <f>IF(Conneaut!K69="","",SUM(Conneaut:Wattsburg!Q69))</f>
        <v>7222.0300000000007</v>
      </c>
      <c r="L11" s="725">
        <f>IF(Conneaut!K69="","",SUM(Conneaut:Wattsburg!R69))</f>
        <v>0</v>
      </c>
      <c r="M11" s="476">
        <f>IF(Conneaut!K69="","",SUM(Conneaut:Wattsburg!T69,Conneaut:Wattsburg!S69))</f>
        <v>-3514.5</v>
      </c>
      <c r="N11" s="476">
        <f>IF(Girard!K86="","",Girard!K86+HarborCreek!K86)</f>
        <v>0</v>
      </c>
      <c r="O11" s="721">
        <f>IF(Conneaut!E$11="","",SUM(Conneaut:Wattsburg!$U69))</f>
        <v>-177847.22</v>
      </c>
      <c r="P11" s="195">
        <f t="shared" ref="P11:P21" si="0">SUM(F11:O11)</f>
        <v>-116401.37</v>
      </c>
    </row>
    <row r="12" spans="2:16" s="13" customFormat="1" ht="40" customHeight="1" thickBot="1" x14ac:dyDescent="0.4">
      <c r="B12" s="7" t="s">
        <v>146</v>
      </c>
      <c r="C12" s="2">
        <f>IF(MONTH(B3)=MONTH(DATEVALUE(B12&amp;"1")),(YEAR(B3)-1),IF(MONTH(B3)&gt;MONTH(DATEVALUE(B12&amp;"1")),YEAR(B3), IF(MONTH(B3)&lt;MONTH(DATEVALUE(B12&amp;"1")),YEAR(B3)-1, "ERROR")))</f>
        <v>2024</v>
      </c>
      <c r="D12" s="14">
        <f t="shared" ref="D12:D21" si="1">IF(D11+1&gt;12, (D11+1)-12, D11+1)</f>
        <v>9</v>
      </c>
      <c r="E12" s="193" t="str">
        <f t="shared" ref="E12:E21" si="2">TEXT(DATE(2000,D12,1), "mmmm")&amp;IF(D12=1, " "&amp;$C$13,"")</f>
        <v>September</v>
      </c>
      <c r="F12" s="194">
        <f>IF(Conneaut!K70="","",SUM(Conneaut:Wattsburg!L70))</f>
        <v>53154.509999999995</v>
      </c>
      <c r="G12" s="725">
        <f>IF(Conneaut!K70="","",SUM(Conneaut:Wattsburg!M70))</f>
        <v>0</v>
      </c>
      <c r="H12" s="476">
        <f>IF(Conneaut!K70="","",SUM(Conneaut:Wattsburg!N70))</f>
        <v>234.19</v>
      </c>
      <c r="I12" s="725">
        <f>IF(Conneaut!K70="","",SUM(Conneaut:Wattsburg!O70))</f>
        <v>25550</v>
      </c>
      <c r="J12" s="725">
        <f>IF(Conneaut!K70="","",SUM(Conneaut:Wattsburg!P70))</f>
        <v>-636538</v>
      </c>
      <c r="K12" s="725">
        <f>IF(Conneaut!K70="","",SUM(Conneaut:Wattsburg!Q70))</f>
        <v>113.60000000000004</v>
      </c>
      <c r="L12" s="725">
        <f>IF(Conneaut!K70="","",SUM(Conneaut:Wattsburg!R70))</f>
        <v>0</v>
      </c>
      <c r="M12" s="476">
        <f>IF(Conneaut!K70="","",SUM(Conneaut:Wattsburg!T70,Conneaut:Wattsburg!S70))</f>
        <v>-5875.83</v>
      </c>
      <c r="N12" s="476">
        <f>IF(Girard!K87="","",Girard!K87+HarborCreek!K87)</f>
        <v>0</v>
      </c>
      <c r="O12" s="721">
        <f>IF(Conneaut!F$11="","",SUM(Conneaut:Wattsburg!$U70))</f>
        <v>0</v>
      </c>
      <c r="P12" s="195">
        <f t="shared" si="0"/>
        <v>-563361.53</v>
      </c>
    </row>
    <row r="13" spans="2:16" s="13" customFormat="1" ht="40" customHeight="1" x14ac:dyDescent="0.35">
      <c r="B13" s="1" t="str">
        <f>IF(B12="","",TEXT(DATE(2000,MONTH(DATEVALUE(B12&amp;"1")) + 11,1), "mmmm"))</f>
        <v>June</v>
      </c>
      <c r="C13" s="2">
        <f>IF(B13="December", C12,C12+1)</f>
        <v>2025</v>
      </c>
      <c r="D13" s="14">
        <f t="shared" si="1"/>
        <v>10</v>
      </c>
      <c r="E13" s="156" t="str">
        <f t="shared" si="2"/>
        <v>October</v>
      </c>
      <c r="F13" s="184">
        <f>IF(Conneaut!K71="","",SUM(Conneaut:Wattsburg!L71))</f>
        <v>19853.699999999997</v>
      </c>
      <c r="G13" s="726">
        <f>IF(Conneaut!K71="","",SUM(Conneaut:Wattsburg!M71))</f>
        <v>11900.7</v>
      </c>
      <c r="H13" s="185">
        <f>IF(Conneaut!K71="","",SUM(Conneaut:Wattsburg!N71))</f>
        <v>221.26000000000002</v>
      </c>
      <c r="I13" s="726">
        <f>IF(Conneaut!K71="","",SUM(Conneaut:Wattsburg!O71))</f>
        <v>24500</v>
      </c>
      <c r="J13" s="726">
        <f>IF(Conneaut!K71="","",SUM(Conneaut:Wattsburg!P71))</f>
        <v>0</v>
      </c>
      <c r="K13" s="726">
        <f>IF(Conneaut!K71="","",SUM(Conneaut:Wattsburg!Q71))</f>
        <v>5376.8300000000008</v>
      </c>
      <c r="L13" s="726">
        <f>IF(Conneaut!K71="","",SUM(Conneaut:Wattsburg!R71))</f>
        <v>0</v>
      </c>
      <c r="M13" s="185">
        <f>IF(Conneaut!K71="","",SUM(Conneaut:Wattsburg!T71,Conneaut:Wattsburg!S71))</f>
        <v>-22657.14</v>
      </c>
      <c r="N13" s="185">
        <f>IF(Girard!K88="","",Girard!K88+HarborCreek!K88)</f>
        <v>-222684.26</v>
      </c>
      <c r="O13" s="722">
        <f>IF(Conneaut!G$11="","",SUM(Conneaut:Wattsburg!$U71))</f>
        <v>-241494.2</v>
      </c>
      <c r="P13" s="157">
        <f t="shared" si="0"/>
        <v>-424983.11</v>
      </c>
    </row>
    <row r="14" spans="2:16" s="13" customFormat="1" ht="40" customHeight="1" x14ac:dyDescent="0.35">
      <c r="D14" s="14">
        <f t="shared" si="1"/>
        <v>11</v>
      </c>
      <c r="E14" s="156" t="str">
        <f t="shared" si="2"/>
        <v>November</v>
      </c>
      <c r="F14" s="184">
        <f>IF(Conneaut!K72="","",SUM(Conneaut:Wattsburg!L72))</f>
        <v>-22084.659999999993</v>
      </c>
      <c r="G14" s="726">
        <f>IF(Conneaut!K72="","",SUM(Conneaut:Wattsburg!M72))</f>
        <v>1451.1000000000001</v>
      </c>
      <c r="H14" s="185">
        <f>IF(Conneaut!K72="","",SUM(Conneaut:Wattsburg!N72))</f>
        <v>208.82</v>
      </c>
      <c r="I14" s="726">
        <f>IF(Conneaut!K72="","",SUM(Conneaut:Wattsburg!O72))</f>
        <v>33140</v>
      </c>
      <c r="J14" s="726">
        <f>IF(Conneaut!K72="","",SUM(Conneaut:Wattsburg!P72))</f>
        <v>8627.49</v>
      </c>
      <c r="K14" s="726">
        <f>IF(Conneaut!K72="","",SUM(Conneaut:Wattsburg!Q72))</f>
        <v>6125.0900000000011</v>
      </c>
      <c r="L14" s="726">
        <f>IF(Conneaut!K72="","",SUM(Conneaut:Wattsburg!R72))</f>
        <v>0</v>
      </c>
      <c r="M14" s="185">
        <f>IF(Conneaut!K72="","",SUM(Conneaut:Wattsburg!T72,Conneaut:Wattsburg!S72))</f>
        <v>-2151.91</v>
      </c>
      <c r="N14" s="185">
        <f>IF(Girard!K89="","",Girard!K89+HarborCreek!K89)</f>
        <v>0</v>
      </c>
      <c r="O14" s="722">
        <f>IF(Conneaut!H$11="","",SUM(Conneaut:Wattsburg!$U72))</f>
        <v>-251789.18</v>
      </c>
      <c r="P14" s="157">
        <f t="shared" si="0"/>
        <v>-226473.25</v>
      </c>
    </row>
    <row r="15" spans="2:16" s="13" customFormat="1" ht="40" customHeight="1" x14ac:dyDescent="0.35">
      <c r="D15" s="14">
        <f t="shared" si="1"/>
        <v>12</v>
      </c>
      <c r="E15" s="156" t="str">
        <f t="shared" si="2"/>
        <v>December</v>
      </c>
      <c r="F15" s="184">
        <f>IF(Conneaut!K73="","",SUM(Conneaut:Wattsburg!L73))</f>
        <v>3423.35</v>
      </c>
      <c r="G15" s="726">
        <f>IF(Conneaut!K73="","",SUM(Conneaut:Wattsburg!M73))</f>
        <v>0</v>
      </c>
      <c r="H15" s="185">
        <f>IF(Conneaut!K73="","",SUM(Conneaut:Wattsburg!N73))</f>
        <v>239.1</v>
      </c>
      <c r="I15" s="726">
        <f>IF(Conneaut!K73="","",SUM(Conneaut:Wattsburg!O73))</f>
        <v>27400</v>
      </c>
      <c r="J15" s="726">
        <f>IF(Conneaut!K73="","",SUM(Conneaut:Wattsburg!P73))</f>
        <v>660604.45000000007</v>
      </c>
      <c r="K15" s="726">
        <f>IF(Conneaut!K73="","",SUM(Conneaut:Wattsburg!Q73))</f>
        <v>1905.6100000000001</v>
      </c>
      <c r="L15" s="726">
        <f>IF(Conneaut!K73="","",SUM(Conneaut:Wattsburg!R73))</f>
        <v>0</v>
      </c>
      <c r="M15" s="185">
        <f>IF(Conneaut!K73="","",SUM(Conneaut:Wattsburg!T73,Conneaut:Wattsburg!S73))</f>
        <v>-608.83000000000004</v>
      </c>
      <c r="N15" s="185">
        <f>IF(Girard!K90="","",Girard!K90+HarborCreek!K90)</f>
        <v>-269947.83</v>
      </c>
      <c r="O15" s="722">
        <f>IF(Conneaut!I$11="","",SUM(Conneaut:Wattsburg!$U73))</f>
        <v>-615302.64</v>
      </c>
      <c r="P15" s="157">
        <f t="shared" si="0"/>
        <v>-192286.78999999998</v>
      </c>
    </row>
    <row r="16" spans="2:16" s="13" customFormat="1" ht="40" customHeight="1" x14ac:dyDescent="0.35">
      <c r="B16" s="12"/>
      <c r="D16" s="14">
        <f t="shared" si="1"/>
        <v>1</v>
      </c>
      <c r="E16" s="193" t="str">
        <f t="shared" si="2"/>
        <v>January 2025</v>
      </c>
      <c r="F16" s="194">
        <f>IF(Conneaut!K74="","",SUM(Conneaut:Wattsburg!L74))</f>
        <v>21892.84</v>
      </c>
      <c r="G16" s="725">
        <f>IF(Conneaut!K74="","",SUM(Conneaut:Wattsburg!M74))</f>
        <v>-29.09</v>
      </c>
      <c r="H16" s="476">
        <f>IF(Conneaut!K74="","",SUM(Conneaut:Wattsburg!N74))</f>
        <v>350.37999999999994</v>
      </c>
      <c r="I16" s="725">
        <f>IF(Conneaut!K74="","",SUM(Conneaut:Wattsburg!O74))</f>
        <v>38920</v>
      </c>
      <c r="J16" s="725">
        <f>IF(Conneaut!K74="","",SUM(Conneaut:Wattsburg!P74))</f>
        <v>-607001.0299999998</v>
      </c>
      <c r="K16" s="725">
        <f>IF(Conneaut!K74="","",SUM(Conneaut:Wattsburg!Q74))</f>
        <v>4813.5600000000004</v>
      </c>
      <c r="L16" s="725">
        <f>IF(Conneaut!K74="","",SUM(Conneaut:Wattsburg!R74))</f>
        <v>137.76</v>
      </c>
      <c r="M16" s="476">
        <f>IF(Conneaut!K74="","",SUM(Conneaut:Wattsburg!T74,Conneaut:Wattsburg!S74))</f>
        <v>9.98</v>
      </c>
      <c r="N16" s="476">
        <f>IF(Girard!K91="","",Girard!K91+HarborCreek!K91)</f>
        <v>0</v>
      </c>
      <c r="O16" s="721">
        <f>IF(Conneaut!J$11="","",SUM(Conneaut:Wattsburg!$U74))</f>
        <v>-241987.17</v>
      </c>
      <c r="P16" s="195">
        <f t="shared" si="0"/>
        <v>-782892.76999999979</v>
      </c>
    </row>
    <row r="17" spans="2:16" s="13" customFormat="1" ht="40" customHeight="1" x14ac:dyDescent="0.35">
      <c r="B17" s="15"/>
      <c r="D17" s="14">
        <f t="shared" si="1"/>
        <v>2</v>
      </c>
      <c r="E17" s="193" t="str">
        <f t="shared" si="2"/>
        <v>February</v>
      </c>
      <c r="F17" s="194">
        <f>IF(Conneaut!K75="","",SUM(Conneaut:Wattsburg!L75))</f>
        <v>-6175.9700000000021</v>
      </c>
      <c r="G17" s="725">
        <f>IF(Conneaut!K75="","",SUM(Conneaut:Wattsburg!M75))</f>
        <v>0</v>
      </c>
      <c r="H17" s="476">
        <f>IF(Conneaut!K75="","",SUM(Conneaut:Wattsburg!N75))</f>
        <v>211.82</v>
      </c>
      <c r="I17" s="725">
        <f>IF(Conneaut!K75="","",SUM(Conneaut:Wattsburg!O75))</f>
        <v>25990</v>
      </c>
      <c r="J17" s="725">
        <f>IF(Conneaut!K75="","",SUM(Conneaut:Wattsburg!P75))</f>
        <v>21927.3</v>
      </c>
      <c r="K17" s="725">
        <f>IF(Conneaut!K75="","",SUM(Conneaut:Wattsburg!Q75))</f>
        <v>3659.0699999999997</v>
      </c>
      <c r="L17" s="725">
        <f>IF(Conneaut!K75="","",SUM(Conneaut:Wattsburg!R75))</f>
        <v>7.65</v>
      </c>
      <c r="M17" s="476">
        <f>IF(Conneaut!K75="","",SUM(Conneaut:Wattsburg!T75,Conneaut:Wattsburg!S75))</f>
        <v>-334633</v>
      </c>
      <c r="N17" s="476">
        <f>IF(Girard!K92="","",Girard!K92+HarborCreek!K92)</f>
        <v>0</v>
      </c>
      <c r="O17" s="721">
        <f>IF(Conneaut!K$11="","",SUM(Conneaut:Wattsburg!$U75))</f>
        <v>-734180.08000000007</v>
      </c>
      <c r="P17" s="195">
        <f t="shared" si="0"/>
        <v>-1023193.2100000001</v>
      </c>
    </row>
    <row r="18" spans="2:16" s="13" customFormat="1" ht="40" customHeight="1" x14ac:dyDescent="0.35">
      <c r="D18" s="14">
        <f t="shared" si="1"/>
        <v>3</v>
      </c>
      <c r="E18" s="193" t="str">
        <f t="shared" si="2"/>
        <v>March</v>
      </c>
      <c r="F18" s="194" t="str">
        <f>IF(Conneaut!K76="","",SUM(Conneaut:Wattsburg!L76))</f>
        <v/>
      </c>
      <c r="G18" s="725" t="str">
        <f>IF(Conneaut!K76="","",SUM(Conneaut:Wattsburg!M76))</f>
        <v/>
      </c>
      <c r="H18" s="476" t="str">
        <f>IF(Conneaut!K76="","",SUM(Conneaut:Wattsburg!N76))</f>
        <v/>
      </c>
      <c r="I18" s="725" t="str">
        <f>IF(Conneaut!K76="","",SUM(Conneaut:Wattsburg!O76))</f>
        <v/>
      </c>
      <c r="J18" s="725" t="str">
        <f>IF(Conneaut!K76="","",SUM(Conneaut:Wattsburg!P76))</f>
        <v/>
      </c>
      <c r="K18" s="725" t="str">
        <f>IF(Conneaut!K76="","",SUM(Conneaut:Wattsburg!Q76))</f>
        <v/>
      </c>
      <c r="L18" s="725" t="str">
        <f>IF(Conneaut!K76="","",SUM(Conneaut:Wattsburg!R76))</f>
        <v/>
      </c>
      <c r="M18" s="476" t="str">
        <f>IF(Conneaut!K76="","",SUM(Conneaut:Wattsburg!T76,Conneaut:Wattsburg!S76))</f>
        <v/>
      </c>
      <c r="N18" s="476" t="str">
        <f>IF(Girard!K93="","",Girard!K93+HarborCreek!K93)</f>
        <v/>
      </c>
      <c r="O18" s="721" t="str">
        <f>IF(Conneaut!L$11="","",SUM(Conneaut:Wattsburg!$U76))</f>
        <v/>
      </c>
      <c r="P18" s="195">
        <f t="shared" si="0"/>
        <v>0</v>
      </c>
    </row>
    <row r="19" spans="2:16" s="13" customFormat="1" ht="40" customHeight="1" x14ac:dyDescent="0.35">
      <c r="D19" s="14">
        <f t="shared" si="1"/>
        <v>4</v>
      </c>
      <c r="E19" s="156" t="str">
        <f t="shared" si="2"/>
        <v>April</v>
      </c>
      <c r="F19" s="184" t="str">
        <f>IF(Conneaut!K77="","",SUM(Conneaut:Wattsburg!L77))</f>
        <v/>
      </c>
      <c r="G19" s="726" t="str">
        <f>IF(Conneaut!K77="","",SUM(Conneaut:Wattsburg!M77))</f>
        <v/>
      </c>
      <c r="H19" s="185" t="str">
        <f>IF(Conneaut!K77="","",SUM(Conneaut:Wattsburg!N77))</f>
        <v/>
      </c>
      <c r="I19" s="726" t="str">
        <f>IF(Conneaut!K77="","",SUM(Conneaut:Wattsburg!O77))</f>
        <v/>
      </c>
      <c r="J19" s="726" t="str">
        <f>IF(Conneaut!K77="","",SUM(Conneaut:Wattsburg!P77))</f>
        <v/>
      </c>
      <c r="K19" s="726" t="str">
        <f>IF(Conneaut!K77="","",SUM(Conneaut:Wattsburg!Q77))</f>
        <v/>
      </c>
      <c r="L19" s="726" t="str">
        <f>IF(Conneaut!K77="","",SUM(Conneaut:Wattsburg!R77))</f>
        <v/>
      </c>
      <c r="M19" s="185" t="str">
        <f>IF(Conneaut!K77="","",SUM(Conneaut:Wattsburg!T77,Conneaut:Wattsburg!S77))</f>
        <v/>
      </c>
      <c r="N19" s="185" t="str">
        <f>IF(Girard!K94="","",Girard!K94+HarborCreek!K94)</f>
        <v/>
      </c>
      <c r="O19" s="724" t="str">
        <f>IF(Conneaut!M$11="","",SUM(Conneaut:Wattsburg!$U77))</f>
        <v/>
      </c>
      <c r="P19" s="482">
        <f t="shared" si="0"/>
        <v>0</v>
      </c>
    </row>
    <row r="20" spans="2:16" s="13" customFormat="1" ht="40" customHeight="1" x14ac:dyDescent="0.35">
      <c r="D20" s="14">
        <f>IF(D19+1&gt;12, (D19+1)-12, D19+1)</f>
        <v>5</v>
      </c>
      <c r="E20" s="156" t="str">
        <f t="shared" si="2"/>
        <v>May</v>
      </c>
      <c r="F20" s="184" t="str">
        <f>IF(Conneaut!K78="","",SUM(Conneaut:Wattsburg!L78))</f>
        <v/>
      </c>
      <c r="G20" s="726" t="str">
        <f>IF(Conneaut!K78="","",SUM(Conneaut:Wattsburg!M78))</f>
        <v/>
      </c>
      <c r="H20" s="185" t="str">
        <f>IF(Conneaut!K78="","",SUM(Conneaut:Wattsburg!N78))</f>
        <v/>
      </c>
      <c r="I20" s="726" t="str">
        <f>IF(Conneaut!K78="","",SUM(Conneaut:Wattsburg!O78))</f>
        <v/>
      </c>
      <c r="J20" s="726" t="str">
        <f>IF(Conneaut!K78="","",SUM(Conneaut:Wattsburg!P78))</f>
        <v/>
      </c>
      <c r="K20" s="726" t="str">
        <f>IF(Conneaut!K78="","",SUM(Conneaut:Wattsburg!Q78))</f>
        <v/>
      </c>
      <c r="L20" s="726" t="str">
        <f>IF(Conneaut!K78="","",SUM(Conneaut:Wattsburg!R78))</f>
        <v/>
      </c>
      <c r="M20" s="185" t="str">
        <f>IF(Conneaut!K78="","",SUM(Conneaut:Wattsburg!T78,Conneaut:Wattsburg!S78))</f>
        <v/>
      </c>
      <c r="N20" s="185" t="str">
        <f>IF(Girard!K95="","",Girard!K95+HarborCreek!K95)</f>
        <v/>
      </c>
      <c r="O20" s="722" t="str">
        <f>IF(Conneaut!N$11="","",SUM(Conneaut:Wattsburg!$U78))</f>
        <v/>
      </c>
      <c r="P20" s="482">
        <f t="shared" si="0"/>
        <v>0</v>
      </c>
    </row>
    <row r="21" spans="2:16" s="13" customFormat="1" ht="40" customHeight="1" thickBot="1" x14ac:dyDescent="0.4">
      <c r="D21" s="14">
        <f t="shared" si="1"/>
        <v>6</v>
      </c>
      <c r="E21" s="156" t="str">
        <f t="shared" si="2"/>
        <v>June</v>
      </c>
      <c r="F21" s="184" t="str">
        <f>IF(Conneaut!K79="","",SUM(Conneaut:Wattsburg!L79))</f>
        <v/>
      </c>
      <c r="G21" s="726" t="str">
        <f>IF(Conneaut!K79="","",SUM(Conneaut:Wattsburg!M79))</f>
        <v/>
      </c>
      <c r="H21" s="185" t="str">
        <f>IF(Conneaut!K79="","",SUM(Conneaut:Wattsburg!N79))</f>
        <v/>
      </c>
      <c r="I21" s="726" t="str">
        <f>IF(Conneaut!K79="","",SUM(Conneaut:Wattsburg!O79))</f>
        <v/>
      </c>
      <c r="J21" s="726" t="str">
        <f>IF(Conneaut!K79="","",SUM(Conneaut:Wattsburg!P79))</f>
        <v/>
      </c>
      <c r="K21" s="481" t="str">
        <f>IF(Conneaut!K79="","",SUM(Conneaut:Wattsburg!Q79))</f>
        <v/>
      </c>
      <c r="L21" s="726" t="str">
        <f>IF(Conneaut!K79="","",SUM(Conneaut:Wattsburg!R79))</f>
        <v/>
      </c>
      <c r="M21" s="185" t="str">
        <f>IF(Conneaut!K79="","",SUM(Conneaut:Wattsburg!T79,Conneaut:Wattsburg!S79))</f>
        <v/>
      </c>
      <c r="N21" s="185" t="str">
        <f>IF(Girard!K96="","",Girard!K96+HarborCreek!K96)</f>
        <v/>
      </c>
      <c r="O21" s="723" t="str">
        <f>IF(Conneaut!O$11="","",SUM(Conneaut:Wattsburg!$U79))</f>
        <v/>
      </c>
      <c r="P21" s="483">
        <f t="shared" si="0"/>
        <v>0</v>
      </c>
    </row>
    <row r="22" spans="2:16" s="13" customFormat="1" ht="40" customHeight="1" thickTop="1" x14ac:dyDescent="0.35">
      <c r="D22" s="14"/>
      <c r="E22" s="191" t="s">
        <v>10</v>
      </c>
      <c r="F22" s="485">
        <f>SUM(F10:F21)</f>
        <v>93844.52</v>
      </c>
      <c r="G22" s="192">
        <f t="shared" ref="G22:O22" si="3">SUM(G10:G21)</f>
        <v>13322.710000000001</v>
      </c>
      <c r="H22" s="192">
        <f t="shared" si="3"/>
        <v>4105.2900000000009</v>
      </c>
      <c r="I22" s="192">
        <f t="shared" si="3"/>
        <v>233780</v>
      </c>
      <c r="J22" s="192">
        <f t="shared" si="3"/>
        <v>-535289.97999999963</v>
      </c>
      <c r="K22" s="477">
        <f t="shared" si="3"/>
        <v>33240.340000000004</v>
      </c>
      <c r="L22" s="192">
        <f>SUM(L10:L21)</f>
        <v>-354.04</v>
      </c>
      <c r="M22" s="192">
        <f t="shared" si="3"/>
        <v>-374043.08</v>
      </c>
      <c r="N22" s="192">
        <f t="shared" si="3"/>
        <v>-701778.10000000009</v>
      </c>
      <c r="O22" s="484">
        <f t="shared" si="3"/>
        <v>-2843777.2399999998</v>
      </c>
      <c r="P22" s="469">
        <f>SUM(P10:P21)</f>
        <v>-4076949.58</v>
      </c>
    </row>
    <row r="23" spans="2:16" ht="18.5" x14ac:dyDescent="0.45">
      <c r="D23" s="5"/>
      <c r="E23" s="158"/>
      <c r="F23" s="159"/>
      <c r="G23" s="160"/>
      <c r="H23" s="160"/>
      <c r="I23" s="160"/>
      <c r="J23" s="160"/>
      <c r="K23" s="160"/>
      <c r="L23" s="160"/>
      <c r="M23" s="160"/>
      <c r="N23" s="160"/>
      <c r="O23" s="160"/>
      <c r="P23" s="160"/>
    </row>
    <row r="24" spans="2:16" ht="18.5" x14ac:dyDescent="0.45">
      <c r="D24" s="5"/>
      <c r="E24" s="163"/>
      <c r="F24" s="164"/>
      <c r="G24" s="164"/>
      <c r="H24" s="616"/>
      <c r="I24" s="616"/>
      <c r="J24" s="162"/>
      <c r="K24" s="162"/>
      <c r="L24" s="162"/>
      <c r="M24" s="161"/>
      <c r="N24" s="161"/>
      <c r="O24" s="161"/>
      <c r="P24" s="161"/>
    </row>
    <row r="25" spans="2:16" ht="18.5" x14ac:dyDescent="0.45">
      <c r="D25" s="5"/>
      <c r="E25" s="163"/>
      <c r="F25" s="162"/>
      <c r="G25" s="162"/>
      <c r="H25" s="617"/>
      <c r="I25" s="617"/>
      <c r="J25" s="162"/>
      <c r="K25" s="162"/>
      <c r="L25" s="162"/>
      <c r="M25" s="161"/>
      <c r="N25" s="161"/>
      <c r="O25" s="161"/>
      <c r="P25" s="161"/>
    </row>
    <row r="26" spans="2:16" ht="15" customHeight="1" x14ac:dyDescent="0.45"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61"/>
    </row>
    <row r="28" spans="2:16" x14ac:dyDescent="0.35">
      <c r="M28" s="38"/>
      <c r="N28" s="38"/>
    </row>
  </sheetData>
  <mergeCells count="10">
    <mergeCell ref="H24:I24"/>
    <mergeCell ref="H25:I25"/>
    <mergeCell ref="E2:P2"/>
    <mergeCell ref="E3:P3"/>
    <mergeCell ref="E5:P5"/>
    <mergeCell ref="E6:P6"/>
    <mergeCell ref="E4:P4"/>
    <mergeCell ref="P8:P9"/>
    <mergeCell ref="F8:O8"/>
    <mergeCell ref="E8:E9"/>
  </mergeCells>
  <phoneticPr fontId="50" type="noConversion"/>
  <pageMargins left="0.7" right="0.7" top="0.75" bottom="0.75" header="0.3" footer="0.3"/>
  <pageSetup scale="49" orientation="landscape" r:id="rId1"/>
  <headerFooter>
    <oddFooter>&amp;L&amp;BHUB International Confidential&amp;B&amp;C&amp;D&amp;RPage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1F0CF-289D-4AF0-9FA6-582516A69067}">
  <sheetPr codeName="Sheet4">
    <tabColor theme="9" tint="-0.249977111117893"/>
    <pageSetUpPr fitToPage="1"/>
  </sheetPr>
  <dimension ref="B1:Z60"/>
  <sheetViews>
    <sheetView view="pageBreakPreview" topLeftCell="C1" zoomScale="70" zoomScaleNormal="80" zoomScaleSheetLayoutView="70" workbookViewId="0">
      <selection activeCell="F37" sqref="F37"/>
    </sheetView>
  </sheetViews>
  <sheetFormatPr defaultColWidth="9.1796875" defaultRowHeight="14.5" x14ac:dyDescent="0.35"/>
  <cols>
    <col min="1" max="1" width="1" customWidth="1"/>
    <col min="2" max="2" width="13.54296875" customWidth="1"/>
    <col min="3" max="3" width="48" customWidth="1"/>
    <col min="4" max="4" width="10.26953125" hidden="1" customWidth="1"/>
    <col min="5" max="5" width="9.81640625" hidden="1" customWidth="1"/>
    <col min="6" max="8" width="16.7265625" customWidth="1"/>
    <col min="9" max="9" width="18.54296875" customWidth="1"/>
    <col min="10" max="10" width="18.81640625" customWidth="1"/>
    <col min="11" max="11" width="18.54296875" customWidth="1"/>
    <col min="12" max="14" width="16.7265625" customWidth="1"/>
    <col min="15" max="15" width="22.1796875" customWidth="1"/>
    <col min="16" max="16" width="20.26953125" customWidth="1"/>
    <col min="17" max="17" width="13.1796875" bestFit="1" customWidth="1"/>
    <col min="18" max="19" width="20.7265625" customWidth="1"/>
    <col min="20" max="20" width="22.26953125" bestFit="1" customWidth="1"/>
    <col min="21" max="22" width="20.7265625" customWidth="1"/>
    <col min="24" max="24" width="13.453125" bestFit="1" customWidth="1"/>
    <col min="25" max="25" width="11.453125" customWidth="1"/>
    <col min="26" max="26" width="11" bestFit="1" customWidth="1"/>
  </cols>
  <sheetData>
    <row r="1" spans="2:26" ht="5.25" customHeight="1" x14ac:dyDescent="0.35"/>
    <row r="2" spans="2:26" ht="23.5" x14ac:dyDescent="0.55000000000000004">
      <c r="C2" s="603" t="str">
        <f>Narrative!H5</f>
        <v>NOREBT</v>
      </c>
      <c r="D2" s="603"/>
      <c r="E2" s="603"/>
      <c r="F2" s="603"/>
      <c r="G2" s="603"/>
      <c r="H2" s="603"/>
      <c r="I2" s="603"/>
      <c r="J2" s="603"/>
      <c r="K2" s="603"/>
      <c r="L2" s="603"/>
      <c r="M2" s="603"/>
      <c r="N2" s="603"/>
      <c r="O2" s="603"/>
      <c r="P2" s="603"/>
      <c r="Q2" s="603"/>
      <c r="R2" s="603"/>
      <c r="S2" s="603"/>
      <c r="T2" s="603"/>
      <c r="U2" s="603"/>
      <c r="V2" s="603"/>
      <c r="W2" s="452">
        <f>DATEDIF(DATE(YEAR($Y$5),MONTH($Y$5)+X6/2,DAY($Y$5)),DATE(YEAR($X$3),MONTH($X$3)+6,DAY($X$3)),"m")</f>
        <v>16</v>
      </c>
      <c r="X2" s="99" t="s">
        <v>309</v>
      </c>
    </row>
    <row r="3" spans="2:26" ht="18.5" x14ac:dyDescent="0.45">
      <c r="C3" s="604" t="s">
        <v>403</v>
      </c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  <c r="O3" s="604"/>
      <c r="P3" s="604"/>
      <c r="Q3" s="604"/>
      <c r="R3" s="604"/>
      <c r="S3" s="604"/>
      <c r="T3" s="604"/>
      <c r="U3" s="604"/>
      <c r="V3" s="604"/>
      <c r="W3" s="448" t="s">
        <v>310</v>
      </c>
      <c r="X3" s="450">
        <v>45839</v>
      </c>
    </row>
    <row r="4" spans="2:26" ht="18.5" x14ac:dyDescent="0.45">
      <c r="C4" s="203"/>
      <c r="D4" s="203"/>
      <c r="E4" s="203"/>
      <c r="F4" s="203"/>
      <c r="G4" s="572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X4" s="84" t="s">
        <v>311</v>
      </c>
      <c r="Y4" t="s">
        <v>397</v>
      </c>
      <c r="Z4" t="s">
        <v>398</v>
      </c>
    </row>
    <row r="5" spans="2:26" ht="18.5" x14ac:dyDescent="0.45">
      <c r="C5" s="618" t="str">
        <f>Addendum!E6&amp;" and Annualized through the Remaining Plan Year"</f>
        <v>Claims Paid July 2024 through February 2025 and Annualized through the Remaining Plan Year</v>
      </c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448" t="s">
        <v>310</v>
      </c>
      <c r="X5" s="450"/>
      <c r="Y5" s="569">
        <f>IF(X5="",EDATE(X3,(-COUNTBLANK('Trust Cash Flow'!$D$8:$O$8))-12),X5)</f>
        <v>45352</v>
      </c>
      <c r="Z5" s="569">
        <f>EOMONTH(X3,(11-COUNTBLANK('Trust Cash Flow'!$D$8:$O$8)-12))</f>
        <v>45716</v>
      </c>
    </row>
    <row r="6" spans="2:26" ht="18.5" x14ac:dyDescent="0.45"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448" t="s">
        <v>312</v>
      </c>
      <c r="X6" s="451">
        <v>12</v>
      </c>
      <c r="Y6" s="569"/>
    </row>
    <row r="7" spans="2:26" ht="18.5" x14ac:dyDescent="0.45">
      <c r="C7" s="605" t="s">
        <v>152</v>
      </c>
      <c r="D7" s="605" t="s">
        <v>251</v>
      </c>
      <c r="E7" s="605" t="s">
        <v>305</v>
      </c>
      <c r="F7" s="632" t="s">
        <v>299</v>
      </c>
      <c r="G7" s="632"/>
      <c r="H7" s="632" t="s">
        <v>307</v>
      </c>
      <c r="I7" s="632"/>
      <c r="J7" s="632" t="s">
        <v>304</v>
      </c>
      <c r="K7" s="632"/>
      <c r="L7" s="632" t="s">
        <v>394</v>
      </c>
      <c r="M7" s="632"/>
      <c r="N7" s="632" t="s">
        <v>308</v>
      </c>
      <c r="O7" s="632"/>
      <c r="P7" s="632"/>
      <c r="Q7" s="632" t="s">
        <v>302</v>
      </c>
      <c r="R7" s="632"/>
      <c r="S7" s="635" t="s">
        <v>18</v>
      </c>
      <c r="T7" s="633" t="s">
        <v>318</v>
      </c>
      <c r="U7" s="605" t="s">
        <v>317</v>
      </c>
      <c r="V7" s="634" t="s">
        <v>319</v>
      </c>
    </row>
    <row r="8" spans="2:26" ht="18.5" x14ac:dyDescent="0.45">
      <c r="C8" s="605"/>
      <c r="D8" s="605"/>
      <c r="E8" s="605"/>
      <c r="F8" s="427" t="s">
        <v>2</v>
      </c>
      <c r="G8" s="571" t="s">
        <v>19</v>
      </c>
      <c r="H8" s="428" t="s">
        <v>2</v>
      </c>
      <c r="I8" s="428" t="s">
        <v>19</v>
      </c>
      <c r="J8" s="427" t="s">
        <v>2</v>
      </c>
      <c r="K8" s="428" t="s">
        <v>19</v>
      </c>
      <c r="L8" s="427" t="s">
        <v>2</v>
      </c>
      <c r="M8" s="428" t="s">
        <v>19</v>
      </c>
      <c r="N8" s="427" t="s">
        <v>2</v>
      </c>
      <c r="O8" s="428" t="s">
        <v>19</v>
      </c>
      <c r="P8" s="350" t="s">
        <v>316</v>
      </c>
      <c r="Q8" s="428" t="s">
        <v>303</v>
      </c>
      <c r="R8" s="428" t="s">
        <v>306</v>
      </c>
      <c r="S8" s="635"/>
      <c r="T8" s="633"/>
      <c r="U8" s="605"/>
      <c r="V8" s="634"/>
    </row>
    <row r="9" spans="2:26" ht="18.5" x14ac:dyDescent="0.45">
      <c r="B9" s="5" t="s">
        <v>252</v>
      </c>
      <c r="C9" s="161" t="str">
        <f>'HCC Data Entry'!I4</f>
        <v>Conneaut School District</v>
      </c>
      <c r="D9" s="345">
        <f>SUMIF('Cash Flow Entry'!$B$3:$B$500,'Rolling Projection'!C9,'Cash Flow Entry'!$D$3:$D$500)</f>
        <v>1715</v>
      </c>
      <c r="E9" s="345">
        <f>SUMIF('Cash Flow Entry'!$B$3:$B$500,'Rolling Projection'!C9,'Cash Flow Entry'!$E$3:$E$500)</f>
        <v>4621</v>
      </c>
      <c r="F9" s="424" cm="1">
        <f t="array" aca="1" ref="F9" ca="1">((INDIRECT($B9&amp;"!P18")/(12-COUNTBLANK('Trust Cash Flow'!$D$8:$O$8)))*12)/(($D9/(12-COUNTBLANK('Trust Cash Flow'!$D$8:$O$8)))*12)</f>
        <v>1363.6018892128277</v>
      </c>
      <c r="G9" s="439" cm="1">
        <f t="array" aca="1" ref="G9" ca="1">((INDIRECT($B9&amp;"!P19")/(12-COUNTBLANK('Trust Cash Flow'!$D$8:$O$8)))*12)/(($D9/(12-COUNTBLANK('Trust Cash Flow'!$D$8:$O$8)))*12)</f>
        <v>672.8168279883381</v>
      </c>
      <c r="H9" s="351" cm="1">
        <f t="array" aca="1" ref="H9" ca="1">((((INDIRECT($B9&amp;"!P21")+INDIRECT($B9&amp;"!P23")+INDIRECT($B9&amp;"!P25"))/(12-COUNTBLANK('Trust Cash Flow'!$D$8:$O$8)))*12)/(($D9/(12-COUNTBLANK('Trust Cash Flow'!$D$8:$O$8)))*12))*($F9/SUM($F9:$G9))</f>
        <v>-249.66440248587665</v>
      </c>
      <c r="I9" s="351" cm="1">
        <f t="array" aca="1" ref="I9" ca="1">(((((INDIRECT($B9&amp;"!P21")+INDIRECT($B9&amp;"!P23")+INDIRECT($B9&amp;"!P25"))/(12-COUNTBLANK('Trust Cash Flow'!$D$8:$O$8)))*12)/(($D9/(12-COUNTBLANK('Trust Cash Flow'!$D$8:$O$8)))*12))*($G9/SUM($F9:$G9)))+((((INDIRECT($B9&amp;"!P24"))/(12-COUNTBLANK('Trust Cash Flow'!$D$8:$O$8)))*12)/(($D9/(12-COUNTBLANK('Trust Cash Flow'!$D$8:$O$8)))*12))</f>
        <v>-233.18728264531879</v>
      </c>
      <c r="J9" s="424">
        <f ca="1">((F9+H9)*$K$29)+(H37*$K$30)+(F37*$K$31)</f>
        <v>1111.142472137049</v>
      </c>
      <c r="K9" s="439">
        <f t="shared" ref="K9:K28" ca="1" si="0">((G9+I9)*$K$29)+(I37*$K$30)+(G37*$K$31)</f>
        <v>424.93930203586837</v>
      </c>
      <c r="L9" s="351">
        <f ca="1">(J37*$M$29)+(J9*$M$30)</f>
        <v>1084.1315074337663</v>
      </c>
      <c r="M9" s="439">
        <f ca="1">(K37*$M$29)+(K9*$M$30)</f>
        <v>416.3804211562163</v>
      </c>
      <c r="N9" s="424">
        <f ca="1">L9*((1+$P$30)^($P$29/12))</f>
        <v>1246.8387972971843</v>
      </c>
      <c r="O9" s="351">
        <f ca="1">M9*((1+$P$31)^($P$29/12))</f>
        <v>510.90802723842359</v>
      </c>
      <c r="P9" s="439">
        <f ca="1">SUM(N9:O9)</f>
        <v>1757.7468245356079</v>
      </c>
      <c r="Q9" s="442">
        <f>IF((SQRT($E9/(12-COUNTBLANK('Trust Cash Flow'!$D$8:$O$8)))*0.0275973662330441)&gt;1,1,SQRT($E9/(12-COUNTBLANK('Trust Cash Flow'!$D$8:$O$8)))*0.0275973662330441)</f>
        <v>0.66327041740968329</v>
      </c>
      <c r="R9" s="439">
        <f ca="1">(P9*Q9)+($P$28*(1-Q9))</f>
        <v>1778.2840566400698</v>
      </c>
      <c r="S9" s="439" cm="1">
        <f t="array" aca="1" ref="S9" ca="1">(INDIRECT($B9&amp;"!P36")+INDIRECT($B9&amp;"!P42"))/$D9</f>
        <v>570.77119533527684</v>
      </c>
      <c r="T9" s="424">
        <f ca="1">SUM(R9:S9)</f>
        <v>2349.0552519753464</v>
      </c>
      <c r="U9" s="351" cm="1">
        <f t="array" aca="1" ref="U9" ca="1">INDIRECT($B9&amp;"!Q10")</f>
        <v>2054.25</v>
      </c>
      <c r="V9" s="570">
        <f ca="1">(T9-U9)/U9</f>
        <v>0.14350991942331578</v>
      </c>
      <c r="X9" s="366"/>
    </row>
    <row r="10" spans="2:26" ht="18.5" x14ac:dyDescent="0.45">
      <c r="B10" s="5" t="s">
        <v>253</v>
      </c>
      <c r="C10" s="235" t="str">
        <f>'HCC Data Entry'!I5</f>
        <v>Corry Area School District</v>
      </c>
      <c r="D10" s="346">
        <f>SUMIF('Cash Flow Entry'!$B$3:$B$500,'Rolling Projection'!C10,'Cash Flow Entry'!$D$3:$D$500)</f>
        <v>2042</v>
      </c>
      <c r="E10" s="346">
        <f>SUMIF('Cash Flow Entry'!$B$3:$B$500,'Rolling Projection'!C10,'Cash Flow Entry'!$E$3:$E$500)</f>
        <v>6459</v>
      </c>
      <c r="F10" s="425" cm="1">
        <f t="array" aca="1" ref="F10" ca="1">((INDIRECT($B10&amp;"!P18")/(12-COUNTBLANK('Trust Cash Flow'!$D$8:$O$8)))*12)/(($D10/(12-COUNTBLANK('Trust Cash Flow'!$D$8:$O$8)))*12)</f>
        <v>1137.6397649363369</v>
      </c>
      <c r="G10" s="440" cm="1">
        <f t="array" aca="1" ref="G10" ca="1">((INDIRECT($B10&amp;"!P19")/(12-COUNTBLANK('Trust Cash Flow'!$D$8:$O$8)))*12)/(($D10/(12-COUNTBLANK('Trust Cash Flow'!$D$8:$O$8)))*12)</f>
        <v>671.77000489715965</v>
      </c>
      <c r="H10" s="352" cm="1">
        <f t="array" aca="1" ref="H10" ca="1">((((INDIRECT($B10&amp;"!P21")+INDIRECT($B10&amp;"!P23")+INDIRECT($B10&amp;"!P25"))/(12-COUNTBLANK('Trust Cash Flow'!$D$8:$O$8)))*12)/(($D10/(12-COUNTBLANK('Trust Cash Flow'!$D$8:$O$8)))*12))*($F10/SUM($F10:$G10))</f>
        <v>-127.20872771553859</v>
      </c>
      <c r="I10" s="352" cm="1">
        <f t="array" aca="1" ref="I10" ca="1">(((((INDIRECT($B10&amp;"!P21")+INDIRECT($B10&amp;"!P23")+INDIRECT($B10&amp;"!P25"))/(12-COUNTBLANK('Trust Cash Flow'!$D$8:$O$8)))*12)/(($D10/(12-COUNTBLANK('Trust Cash Flow'!$D$8:$O$8)))*12))*($G10/SUM($F10:$G10)))+((((INDIRECT($B10&amp;"!P24"))/(12-COUNTBLANK('Trust Cash Flow'!$D$8:$O$8)))*12)/(($D10/(12-COUNTBLANK('Trust Cash Flow'!$D$8:$O$8)))*12))</f>
        <v>-185.11605191227727</v>
      </c>
      <c r="J10" s="425">
        <f t="shared" ref="J10:J28" ca="1" si="1">((F10+H10)*$K$29)+(H38*$K$30)+(F38*$K$31)</f>
        <v>950.80651799154271</v>
      </c>
      <c r="K10" s="440">
        <f t="shared" ca="1" si="0"/>
        <v>420.71817559609821</v>
      </c>
      <c r="L10" s="352">
        <f ca="1">(J38*$M$29)+(J10*$M$30)</f>
        <v>960.201245032207</v>
      </c>
      <c r="M10" s="440">
        <f t="shared" ref="M10:M27" ca="1" si="2">(K38*$M$29)+(K10*$M$30)</f>
        <v>424.47324904085747</v>
      </c>
      <c r="N10" s="425">
        <f t="shared" ref="N10:N28" ca="1" si="3">L10*((1+$P$30)^($P$29/12))</f>
        <v>1104.3089858656824</v>
      </c>
      <c r="O10" s="352">
        <f t="shared" ref="O10:O27" ca="1" si="4">M10*((1+$P$31)^($P$29/12))</f>
        <v>520.83810684649166</v>
      </c>
      <c r="P10" s="440">
        <f t="shared" ref="P10:P27" ca="1" si="5">SUM(N10:O10)</f>
        <v>1625.1470927121741</v>
      </c>
      <c r="Q10" s="443">
        <f>IF((SQRT($E10/(12-COUNTBLANK('Trust Cash Flow'!$D$8:$O$8)))*0.0275973662330441)&gt;1,1,SQRT($E10/(12-COUNTBLANK('Trust Cash Flow'!$D$8:$O$8)))*0.0275973662330441)</f>
        <v>0.78416108437312848</v>
      </c>
      <c r="R10" s="440">
        <f ca="1">(P10*Q10)+($P$28*(1-Q10))</f>
        <v>1666.9313513108241</v>
      </c>
      <c r="S10" s="440" cm="1">
        <f t="array" aca="1" ref="S10" ca="1">(INDIRECT($B10&amp;"!P36")+INDIRECT($B10&amp;"!P42"))/$D10</f>
        <v>571.10523016650336</v>
      </c>
      <c r="T10" s="425">
        <f t="shared" ref="T10:T27" ca="1" si="6">SUM(R10:S10)</f>
        <v>2238.0365814773277</v>
      </c>
      <c r="U10" s="352" cm="1">
        <f t="array" aca="1" ref="U10" ca="1">INDIRECT($B10&amp;"!Q10")</f>
        <v>1813.76</v>
      </c>
      <c r="V10" s="570">
        <f t="shared" ref="V10:V27" ca="1" si="7">(T10-U10)/U10</f>
        <v>0.23392101572276799</v>
      </c>
    </row>
    <row r="11" spans="2:26" ht="18.5" x14ac:dyDescent="0.45">
      <c r="B11" s="5" t="s">
        <v>254</v>
      </c>
      <c r="C11" s="161" t="str">
        <f>'HCC Data Entry'!I6</f>
        <v>Crawford County Career &amp; Technical Center</v>
      </c>
      <c r="D11" s="345">
        <f>SUMIF('Cash Flow Entry'!$B$3:$B$500,'Rolling Projection'!C11,'Cash Flow Entry'!$D$3:$D$500)</f>
        <v>309</v>
      </c>
      <c r="E11" s="345">
        <f>SUMIF('Cash Flow Entry'!$B$3:$B$500,'Rolling Projection'!C11,'Cash Flow Entry'!$E$3:$E$500)</f>
        <v>881</v>
      </c>
      <c r="F11" s="424" cm="1">
        <f t="array" aca="1" ref="F11" ca="1">((INDIRECT($B11&amp;"!P18")/(12-COUNTBLANK('Trust Cash Flow'!$D$8:$O$8)))*12)/(($D11/(12-COUNTBLANK('Trust Cash Flow'!$D$8:$O$8)))*12)</f>
        <v>1134.7636245954693</v>
      </c>
      <c r="G11" s="439" cm="1">
        <f t="array" aca="1" ref="G11" ca="1">((INDIRECT($B11&amp;"!P19")/(12-COUNTBLANK('Trust Cash Flow'!$D$8:$O$8)))*12)/(($D11/(12-COUNTBLANK('Trust Cash Flow'!$D$8:$O$8)))*12)</f>
        <v>799.67443365695783</v>
      </c>
      <c r="H11" s="351" cm="1">
        <f t="array" aca="1" ref="H11" ca="1">((((INDIRECT($B11&amp;"!P21")+INDIRECT($B11&amp;"!P23")+INDIRECT($B11&amp;"!P25"))/(12-COUNTBLANK('Trust Cash Flow'!$D$8:$O$8)))*12)/(($D11/(12-COUNTBLANK('Trust Cash Flow'!$D$8:$O$8)))*12))*($F11/SUM($F11:$G11))</f>
        <v>-54.261108779104887</v>
      </c>
      <c r="I11" s="351" cm="1">
        <f t="array" aca="1" ref="I11" ca="1">(((((INDIRECT($B11&amp;"!P21")+INDIRECT($B11&amp;"!P23")+INDIRECT($B11&amp;"!P25"))/(12-COUNTBLANK('Trust Cash Flow'!$D$8:$O$8)))*12)/(($D11/(12-COUNTBLANK('Trust Cash Flow'!$D$8:$O$8)))*12))*($G11/SUM($F11:$G11)))+((((INDIRECT($B11&amp;"!P24"))/(12-COUNTBLANK('Trust Cash Flow'!$D$8:$O$8)))*12)/(($D11/(12-COUNTBLANK('Trust Cash Flow'!$D$8:$O$8)))*12))</f>
        <v>-148.23811452186598</v>
      </c>
      <c r="J11" s="424">
        <f t="shared" ca="1" si="1"/>
        <v>1078.2584257738527</v>
      </c>
      <c r="K11" s="439">
        <f t="shared" ca="1" si="0"/>
        <v>663.0109894270621</v>
      </c>
      <c r="L11" s="351">
        <f t="shared" ref="L11:L26" ca="1" si="8">(J39*$M$29)+(J11*$M$30)</f>
        <v>1030.7698316757785</v>
      </c>
      <c r="M11" s="439">
        <f t="shared" ca="1" si="2"/>
        <v>657.35477110287593</v>
      </c>
      <c r="N11" s="424">
        <f t="shared" ca="1" si="3"/>
        <v>1185.4685602294117</v>
      </c>
      <c r="O11" s="351">
        <f t="shared" ca="1" si="4"/>
        <v>806.58890820885529</v>
      </c>
      <c r="P11" s="439">
        <f t="shared" ca="1" si="5"/>
        <v>1992.0574684382668</v>
      </c>
      <c r="Q11" s="442">
        <f>IF((SQRT($E11/(12-COUNTBLANK('Trust Cash Flow'!$D$8:$O$8)))*0.0275973662330441)&gt;1,1,SQRT($E11/(12-COUNTBLANK('Trust Cash Flow'!$D$8:$O$8)))*0.0275973662330441)</f>
        <v>0.28960802882164538</v>
      </c>
      <c r="R11" s="439">
        <f t="shared" ref="R11:R27" ca="1" si="9">(P11*Q11)+($P$28*(1-Q11))</f>
        <v>1868.9320746994931</v>
      </c>
      <c r="S11" s="439" cm="1">
        <f t="array" aca="1" ref="S11" ca="1">(INDIRECT($B11&amp;"!P36")+INDIRECT($B11&amp;"!P42"))/$D11</f>
        <v>747.75359223300961</v>
      </c>
      <c r="T11" s="424">
        <f t="shared" ca="1" si="6"/>
        <v>2616.6856669325025</v>
      </c>
      <c r="U11" s="351" cm="1">
        <f t="array" aca="1" ref="U11" ca="1">INDIRECT($B11&amp;"!Q10")</f>
        <v>2341.38</v>
      </c>
      <c r="V11" s="570">
        <f t="shared" ca="1" si="7"/>
        <v>0.11758265080102434</v>
      </c>
    </row>
    <row r="12" spans="2:26" ht="18.5" x14ac:dyDescent="0.45">
      <c r="B12" s="5" t="s">
        <v>255</v>
      </c>
      <c r="C12" s="235" t="str">
        <f>'HCC Data Entry'!I7</f>
        <v>Erie County Technical School</v>
      </c>
      <c r="D12" s="346">
        <f>SUMIF('Cash Flow Entry'!$B$3:$B$500,'Rolling Projection'!C12,'Cash Flow Entry'!$D$3:$D$500)</f>
        <v>349</v>
      </c>
      <c r="E12" s="346">
        <f>SUMIF('Cash Flow Entry'!$B$3:$B$500,'Rolling Projection'!C12,'Cash Flow Entry'!$E$3:$E$500)</f>
        <v>939</v>
      </c>
      <c r="F12" s="425" cm="1">
        <f t="array" aca="1" ref="F12" ca="1">((INDIRECT($B12&amp;"!P18")/(12-COUNTBLANK('Trust Cash Flow'!$D$8:$O$8)))*12)/(($D12/(12-COUNTBLANK('Trust Cash Flow'!$D$8:$O$8)))*12)</f>
        <v>1039.0590257879655</v>
      </c>
      <c r="G12" s="440" cm="1">
        <f t="array" aca="1" ref="G12" ca="1">((INDIRECT($B12&amp;"!P19")/(12-COUNTBLANK('Trust Cash Flow'!$D$8:$O$8)))*12)/(($D12/(12-COUNTBLANK('Trust Cash Flow'!$D$8:$O$8)))*12)</f>
        <v>946.766275071633</v>
      </c>
      <c r="H12" s="352" cm="1">
        <f t="array" aca="1" ref="H12" ca="1">((((INDIRECT($B12&amp;"!P21")+INDIRECT($B12&amp;"!P23")+INDIRECT($B12&amp;"!P25"))/(12-COUNTBLANK('Trust Cash Flow'!$D$8:$O$8)))*12)/(($D12/(12-COUNTBLANK('Trust Cash Flow'!$D$8:$O$8)))*12))*($F12/SUM($F12:$G12))</f>
        <v>-170.33525013135969</v>
      </c>
      <c r="I12" s="352" cm="1">
        <f t="array" aca="1" ref="I12" ca="1">(((((INDIRECT($B12&amp;"!P21")+INDIRECT($B12&amp;"!P23")+INDIRECT($B12&amp;"!P25"))/(12-COUNTBLANK('Trust Cash Flow'!$D$8:$O$8)))*12)/(($D12/(12-COUNTBLANK('Trust Cash Flow'!$D$8:$O$8)))*12))*($G12/SUM($F12:$G12)))+((((INDIRECT($B12&amp;"!P24"))/(12-COUNTBLANK('Trust Cash Flow'!$D$8:$O$8)))*12)/(($D12/(12-COUNTBLANK('Trust Cash Flow'!$D$8:$O$8)))*12))</f>
        <v>-378.1283601838266</v>
      </c>
      <c r="J12" s="425">
        <f t="shared" ca="1" si="1"/>
        <v>780.86546369438247</v>
      </c>
      <c r="K12" s="440">
        <f t="shared" ca="1" si="0"/>
        <v>437.21901890276172</v>
      </c>
      <c r="L12" s="352">
        <f t="shared" ca="1" si="8"/>
        <v>779.56702908772183</v>
      </c>
      <c r="M12" s="440">
        <f t="shared" ca="1" si="2"/>
        <v>472.09736620695151</v>
      </c>
      <c r="N12" s="425">
        <f t="shared" ca="1" si="3"/>
        <v>896.56504796274169</v>
      </c>
      <c r="O12" s="352">
        <f t="shared" ca="1" si="4"/>
        <v>579.27395664638414</v>
      </c>
      <c r="P12" s="440">
        <f t="shared" ca="1" si="5"/>
        <v>1475.8390046091258</v>
      </c>
      <c r="Q12" s="443">
        <f>IF((SQRT($E12/(12-COUNTBLANK('Trust Cash Flow'!$D$8:$O$8)))*0.0275973662330441)&gt;1,1,SQRT($E12/(12-COUNTBLANK('Trust Cash Flow'!$D$8:$O$8)))*0.0275973662330441)</f>
        <v>0.29898915762066441</v>
      </c>
      <c r="R12" s="440">
        <f t="shared" ca="1" si="9"/>
        <v>1716.2142916921455</v>
      </c>
      <c r="S12" s="440" cm="1">
        <f t="array" aca="1" ref="S12" ca="1">(INDIRECT($B12&amp;"!P36")+INDIRECT($B12&amp;"!P42"))/$D12</f>
        <v>742.45690544412605</v>
      </c>
      <c r="T12" s="425">
        <f t="shared" ca="1" si="6"/>
        <v>2458.6711971362715</v>
      </c>
      <c r="U12" s="352" cm="1">
        <f t="array" aca="1" ref="U12" ca="1">INDIRECT($B12&amp;"!Q10")</f>
        <v>1892.98</v>
      </c>
      <c r="V12" s="570">
        <f t="shared" ca="1" si="7"/>
        <v>0.29883633061959003</v>
      </c>
    </row>
    <row r="13" spans="2:26" ht="18.5" x14ac:dyDescent="0.45">
      <c r="B13" s="5" t="s">
        <v>256</v>
      </c>
      <c r="C13" s="161" t="str">
        <f>'HCC Data Entry'!I8</f>
        <v>Fairview School District</v>
      </c>
      <c r="D13" s="345">
        <f>SUMIF('Cash Flow Entry'!$B$3:$B$500,'Rolling Projection'!C13,'Cash Flow Entry'!$D$3:$D$500)</f>
        <v>1458</v>
      </c>
      <c r="E13" s="345">
        <f>SUMIF('Cash Flow Entry'!$B$3:$B$500,'Rolling Projection'!C13,'Cash Flow Entry'!$E$3:$E$500)</f>
        <v>3987</v>
      </c>
      <c r="F13" s="424" cm="1">
        <f t="array" aca="1" ref="F13" ca="1">((INDIRECT($B13&amp;"!P18")/(12-COUNTBLANK('Trust Cash Flow'!$D$8:$O$8)))*12)/(($D13/(12-COUNTBLANK('Trust Cash Flow'!$D$8:$O$8)))*12)</f>
        <v>2198.5095336076815</v>
      </c>
      <c r="G13" s="439" cm="1">
        <f t="array" aca="1" ref="G13" ca="1">((INDIRECT($B13&amp;"!P19")/(12-COUNTBLANK('Trust Cash Flow'!$D$8:$O$8)))*12)/(($D13/(12-COUNTBLANK('Trust Cash Flow'!$D$8:$O$8)))*12)</f>
        <v>905.80818244170098</v>
      </c>
      <c r="H13" s="351" cm="1">
        <f t="array" aca="1" ref="H13" ca="1">((((INDIRECT($B13&amp;"!P21")+INDIRECT($B13&amp;"!P23")+INDIRECT($B13&amp;"!P25"))/(12-COUNTBLANK('Trust Cash Flow'!$D$8:$O$8)))*12)/(($D13/(12-COUNTBLANK('Trust Cash Flow'!$D$8:$O$8)))*12))*($F13/SUM($F13:$G13))</f>
        <v>-949.4981224120969</v>
      </c>
      <c r="I13" s="351" cm="1">
        <f t="array" aca="1" ref="I13" ca="1">(((((INDIRECT($B13&amp;"!P21")+INDIRECT($B13&amp;"!P23")+INDIRECT($B13&amp;"!P25"))/(12-COUNTBLANK('Trust Cash Flow'!$D$8:$O$8)))*12)/(($D13/(12-COUNTBLANK('Trust Cash Flow'!$D$8:$O$8)))*12))*($G13/SUM($F13:$G13)))+((((INDIRECT($B13&amp;"!P24"))/(12-COUNTBLANK('Trust Cash Flow'!$D$8:$O$8)))*12)/(($D13/(12-COUNTBLANK('Trust Cash Flow'!$D$8:$O$8)))*12))</f>
        <v>-501.20283780738214</v>
      </c>
      <c r="J13" s="424">
        <f t="shared" ca="1" si="1"/>
        <v>1198.3982796315095</v>
      </c>
      <c r="K13" s="439">
        <f t="shared" ca="1" si="0"/>
        <v>336.12138988170915</v>
      </c>
      <c r="L13" s="351">
        <f t="shared" ca="1" si="8"/>
        <v>1234.4771320643968</v>
      </c>
      <c r="M13" s="439">
        <f t="shared" ca="1" si="2"/>
        <v>367.4993563619372</v>
      </c>
      <c r="N13" s="424">
        <f t="shared" ca="1" si="3"/>
        <v>1419.7484088230735</v>
      </c>
      <c r="O13" s="351">
        <f t="shared" ca="1" si="4"/>
        <v>450.92987477387936</v>
      </c>
      <c r="P13" s="439">
        <f t="shared" ca="1" si="5"/>
        <v>1870.678283596953</v>
      </c>
      <c r="Q13" s="442">
        <f>IF((SQRT($E13/(12-COUNTBLANK('Trust Cash Flow'!$D$8:$O$8)))*0.0275973662330441)&gt;1,1,SQRT($E13/(12-COUNTBLANK('Trust Cash Flow'!$D$8:$O$8)))*0.0275973662330441)</f>
        <v>0.61609227209729311</v>
      </c>
      <c r="R13" s="439">
        <f t="shared" ca="1" si="9"/>
        <v>1850.7376642179006</v>
      </c>
      <c r="S13" s="439" cm="1">
        <f t="array" aca="1" ref="S13" ca="1">(INDIRECT($B13&amp;"!P36")+INDIRECT($B13&amp;"!P42"))/$D13</f>
        <v>570.05700960219485</v>
      </c>
      <c r="T13" s="424">
        <f t="shared" ca="1" si="6"/>
        <v>2420.7946738200953</v>
      </c>
      <c r="U13" s="351" cm="1">
        <f t="array" aca="1" ref="U13" ca="1">INDIRECT($B13&amp;"!Q10")</f>
        <v>1805.82</v>
      </c>
      <c r="V13" s="570">
        <f t="shared" ca="1" si="7"/>
        <v>0.34055148011434994</v>
      </c>
    </row>
    <row r="14" spans="2:26" ht="18.5" x14ac:dyDescent="0.45">
      <c r="B14" s="5" t="s">
        <v>264</v>
      </c>
      <c r="C14" s="235" t="str">
        <f>'HCC Data Entry'!I9</f>
        <v>Ft LeBoeuf School District</v>
      </c>
      <c r="D14" s="346">
        <f>SUMIF('Cash Flow Entry'!$B$3:$B$500,'Rolling Projection'!C14,'Cash Flow Entry'!$D$3:$D$500)</f>
        <v>2265</v>
      </c>
      <c r="E14" s="346">
        <f>SUMIF('Cash Flow Entry'!$B$3:$B$500,'Rolling Projection'!C14,'Cash Flow Entry'!$E$3:$E$500)</f>
        <v>5847</v>
      </c>
      <c r="F14" s="425" cm="1">
        <f t="array" aca="1" ref="F14" ca="1">((INDIRECT($B14&amp;"!P18")/(12-COUNTBLANK('Trust Cash Flow'!$D$8:$O$8)))*12)/(($D14/(12-COUNTBLANK('Trust Cash Flow'!$D$8:$O$8)))*12)</f>
        <v>1182.6101368653422</v>
      </c>
      <c r="G14" s="440" cm="1">
        <f t="array" aca="1" ref="G14" ca="1">((INDIRECT($B14&amp;"!P19")/(12-COUNTBLANK('Trust Cash Flow'!$D$8:$O$8)))*12)/(($D14/(12-COUNTBLANK('Trust Cash Flow'!$D$8:$O$8)))*12)</f>
        <v>495.30913907284764</v>
      </c>
      <c r="H14" s="352" cm="1">
        <f t="array" aca="1" ref="H14" ca="1">((((INDIRECT($B14&amp;"!P21")+INDIRECT($B14&amp;"!P23")+INDIRECT($B14&amp;"!P25"))/(12-COUNTBLANK('Trust Cash Flow'!$D$8:$O$8)))*12)/(($D14/(12-COUNTBLANK('Trust Cash Flow'!$D$8:$O$8)))*12))*($F14/SUM($F14:$G14))</f>
        <v>-198.18177615602249</v>
      </c>
      <c r="I14" s="352" cm="1">
        <f t="array" aca="1" ref="I14" ca="1">(((((INDIRECT($B14&amp;"!P21")+INDIRECT($B14&amp;"!P23")+INDIRECT($B14&amp;"!P25"))/(12-COUNTBLANK('Trust Cash Flow'!$D$8:$O$8)))*12)/(($D14/(12-COUNTBLANK('Trust Cash Flow'!$D$8:$O$8)))*12))*($G14/SUM($F14:$G14)))+((((INDIRECT($B14&amp;"!P24"))/(12-COUNTBLANK('Trust Cash Flow'!$D$8:$O$8)))*12)/(($D14/(12-COUNTBLANK('Trust Cash Flow'!$D$8:$O$8)))*12))</f>
        <v>-193.00389271814979</v>
      </c>
      <c r="J14" s="425">
        <f t="shared" ca="1" si="1"/>
        <v>912.0953379471224</v>
      </c>
      <c r="K14" s="440">
        <f t="shared" ca="1" si="0"/>
        <v>264.02501109889653</v>
      </c>
      <c r="L14" s="352">
        <f t="shared" ca="1" si="8"/>
        <v>894.8536335080247</v>
      </c>
      <c r="M14" s="440">
        <f t="shared" ca="1" si="2"/>
        <v>279.21667243849333</v>
      </c>
      <c r="N14" s="425">
        <f t="shared" ca="1" si="3"/>
        <v>1029.1539545799294</v>
      </c>
      <c r="O14" s="352">
        <f t="shared" ca="1" si="4"/>
        <v>342.60506027517386</v>
      </c>
      <c r="P14" s="440">
        <f t="shared" ca="1" si="5"/>
        <v>1371.7590148551033</v>
      </c>
      <c r="Q14" s="443">
        <f>IF((SQRT($E14/(12-COUNTBLANK('Trust Cash Flow'!$D$8:$O$8)))*0.0275973662330441)&gt;1,1,SQRT($E14/(12-COUNTBLANK('Trust Cash Flow'!$D$8:$O$8)))*0.0275973662330441)</f>
        <v>0.74608651481291521</v>
      </c>
      <c r="R14" s="440">
        <f t="shared" ca="1" si="9"/>
        <v>1485.2527798439874</v>
      </c>
      <c r="S14" s="440" cm="1">
        <f t="array" aca="1" ref="S14" ca="1">(INDIRECT($B14&amp;"!P36")+INDIRECT($B14&amp;"!P42"))/$D14</f>
        <v>465.79161147902857</v>
      </c>
      <c r="T14" s="425">
        <f t="shared" ca="1" si="6"/>
        <v>1951.044391323016</v>
      </c>
      <c r="U14" s="352" cm="1">
        <f t="array" aca="1" ref="U14" ca="1">INDIRECT($B14&amp;"!Q10")</f>
        <v>1597.79</v>
      </c>
      <c r="V14" s="570">
        <f t="shared" ca="1" si="7"/>
        <v>0.22108937427510253</v>
      </c>
    </row>
    <row r="15" spans="2:26" ht="18.5" x14ac:dyDescent="0.45">
      <c r="B15" s="5" t="s">
        <v>257</v>
      </c>
      <c r="C15" s="161" t="str">
        <f>'HCC Data Entry'!I10</f>
        <v>Franklin Area School District</v>
      </c>
      <c r="D15" s="345">
        <f>SUMIF('Cash Flow Entry'!$B$3:$B$500,'Rolling Projection'!C15,'Cash Flow Entry'!$D$3:$D$500)</f>
        <v>1978</v>
      </c>
      <c r="E15" s="345">
        <f>SUMIF('Cash Flow Entry'!$B$3:$B$500,'Rolling Projection'!C15,'Cash Flow Entry'!$E$3:$E$500)</f>
        <v>5172</v>
      </c>
      <c r="F15" s="424" cm="1">
        <f t="array" aca="1" ref="F15" ca="1">((INDIRECT($B15&amp;"!P18")/(12-COUNTBLANK('Trust Cash Flow'!$D$8:$O$8)))*12)/(($D15/(12-COUNTBLANK('Trust Cash Flow'!$D$8:$O$8)))*12)</f>
        <v>1053.0666936299292</v>
      </c>
      <c r="G15" s="439" cm="1">
        <f t="array" aca="1" ref="G15" ca="1">((INDIRECT($B15&amp;"!P19")/(12-COUNTBLANK('Trust Cash Flow'!$D$8:$O$8)))*12)/(($D15/(12-COUNTBLANK('Trust Cash Flow'!$D$8:$O$8)))*12)</f>
        <v>375.55335692618809</v>
      </c>
      <c r="H15" s="351" cm="1">
        <f t="array" aca="1" ref="H15" ca="1">((((INDIRECT($B15&amp;"!P21")+INDIRECT($B15&amp;"!P23")+INDIRECT($B15&amp;"!P25"))/(12-COUNTBLANK('Trust Cash Flow'!$D$8:$O$8)))*12)/(($D15/(12-COUNTBLANK('Trust Cash Flow'!$D$8:$O$8)))*12))*($F15/SUM($F15:$G15))</f>
        <v>-139.02506481826026</v>
      </c>
      <c r="I15" s="351" cm="1">
        <f t="array" aca="1" ref="I15" ca="1">(((((INDIRECT($B15&amp;"!P21")+INDIRECT($B15&amp;"!P23")+INDIRECT($B15&amp;"!P25"))/(12-COUNTBLANK('Trust Cash Flow'!$D$8:$O$8)))*12)/(($D15/(12-COUNTBLANK('Trust Cash Flow'!$D$8:$O$8)))*12))*($G15/SUM($F15:$G15)))+((((INDIRECT($B15&amp;"!P24"))/(12-COUNTBLANK('Trust Cash Flow'!$D$8:$O$8)))*12)/(($D15/(12-COUNTBLANK('Trust Cash Flow'!$D$8:$O$8)))*12))</f>
        <v>-159.58026885211387</v>
      </c>
      <c r="J15" s="424">
        <f t="shared" ca="1" si="1"/>
        <v>949.2436059536692</v>
      </c>
      <c r="K15" s="439">
        <f t="shared" ca="1" si="0"/>
        <v>204.7910905216514</v>
      </c>
      <c r="L15" s="351">
        <f t="shared" ca="1" si="8"/>
        <v>967.32138646130784</v>
      </c>
      <c r="M15" s="439">
        <f t="shared" ca="1" si="2"/>
        <v>204.45891724193945</v>
      </c>
      <c r="N15" s="424">
        <f t="shared" ca="1" si="3"/>
        <v>1112.4977235927688</v>
      </c>
      <c r="O15" s="351">
        <f t="shared" ca="1" si="4"/>
        <v>250.87563379977593</v>
      </c>
      <c r="P15" s="439">
        <f t="shared" ca="1" si="5"/>
        <v>1363.3733573925447</v>
      </c>
      <c r="Q15" s="442">
        <f>IF((SQRT($E15/(12-COUNTBLANK('Trust Cash Flow'!$D$8:$O$8)))*0.0275973662330441)&gt;1,1,SQRT($E15/(12-COUNTBLANK('Trust Cash Flow'!$D$8:$O$8)))*0.0275973662330441)</f>
        <v>0.70170068673900632</v>
      </c>
      <c r="R15" s="439">
        <f t="shared" ca="1" si="9"/>
        <v>1499.2080509613031</v>
      </c>
      <c r="S15" s="439" cm="1">
        <f t="array" aca="1" ref="S15" ca="1">(INDIRECT($B15&amp;"!P36")+INDIRECT($B15&amp;"!P42"))/$D15</f>
        <v>571.81669984833161</v>
      </c>
      <c r="T15" s="424">
        <f t="shared" ca="1" si="6"/>
        <v>2071.0247508096345</v>
      </c>
      <c r="U15" s="351" cm="1">
        <f t="array" aca="1" ref="U15" ca="1">INDIRECT($B15&amp;"!Q10")</f>
        <v>1675.74</v>
      </c>
      <c r="V15" s="570">
        <f t="shared" ca="1" si="7"/>
        <v>0.23588668338145208</v>
      </c>
    </row>
    <row r="16" spans="2:26" ht="18.5" x14ac:dyDescent="0.45">
      <c r="B16" s="5" t="s">
        <v>258</v>
      </c>
      <c r="C16" s="235" t="str">
        <f>'HCC Data Entry'!I11</f>
        <v>Girard School District</v>
      </c>
      <c r="D16" s="346">
        <f>SUMIF('Cash Flow Entry'!$B$3:$B$500,'Rolling Projection'!C16,'Cash Flow Entry'!$D$3:$D$500)</f>
        <v>1581</v>
      </c>
      <c r="E16" s="346">
        <f>SUMIF('Cash Flow Entry'!$B$3:$B$500,'Rolling Projection'!C16,'Cash Flow Entry'!$E$3:$E$500)</f>
        <v>4796</v>
      </c>
      <c r="F16" s="425" cm="1">
        <f t="array" aca="1" ref="F16" ca="1">((INDIRECT($B16&amp;"!P18")/(12-COUNTBLANK('Trust Cash Flow'!$D$8:$O$8)))*12)/(($D16/(12-COUNTBLANK('Trust Cash Flow'!$D$8:$O$8)))*12)</f>
        <v>955.33733080328886</v>
      </c>
      <c r="G16" s="440" cm="1">
        <f t="array" aca="1" ref="G16" ca="1">((INDIRECT($B16&amp;"!P19")/(12-COUNTBLANK('Trust Cash Flow'!$D$8:$O$8)))*12)/(($D16/(12-COUNTBLANK('Trust Cash Flow'!$D$8:$O$8)))*12)</f>
        <v>492.2090575585072</v>
      </c>
      <c r="H16" s="352" cm="1">
        <f t="array" aca="1" ref="H16" ca="1">((((INDIRECT($B16&amp;"!P21")+INDIRECT($B16&amp;"!P23")+INDIRECT($B16&amp;"!P25"))/(12-COUNTBLANK('Trust Cash Flow'!$D$8:$O$8)))*12)/(($D16/(12-COUNTBLANK('Trust Cash Flow'!$D$8:$O$8)))*12))*($F16/SUM($F16:$G16))</f>
        <v>-51.319228849430594</v>
      </c>
      <c r="I16" s="352" cm="1">
        <f t="array" aca="1" ref="I16" ca="1">(((((INDIRECT($B16&amp;"!P21")+INDIRECT($B16&amp;"!P23")+INDIRECT($B16&amp;"!P25"))/(12-COUNTBLANK('Trust Cash Flow'!$D$8:$O$8)))*12)/(($D16/(12-COUNTBLANK('Trust Cash Flow'!$D$8:$O$8)))*12))*($G16/SUM($F16:$G16)))+((((INDIRECT($B16&amp;"!P24"))/(12-COUNTBLANK('Trust Cash Flow'!$D$8:$O$8)))*12)/(($D16/(12-COUNTBLANK('Trust Cash Flow'!$D$8:$O$8)))*12))</f>
        <v>-162.57745679256814</v>
      </c>
      <c r="J16" s="425">
        <f t="shared" ca="1" si="1"/>
        <v>886.25166974912065</v>
      </c>
      <c r="K16" s="440">
        <f t="shared" ca="1" si="0"/>
        <v>331.16658743052051</v>
      </c>
      <c r="L16" s="352">
        <f t="shared" ca="1" si="8"/>
        <v>898.82141786872853</v>
      </c>
      <c r="M16" s="440">
        <f t="shared" ca="1" si="2"/>
        <v>331.6252767034967</v>
      </c>
      <c r="N16" s="425">
        <f t="shared" ca="1" si="3"/>
        <v>1033.7172270669962</v>
      </c>
      <c r="O16" s="352">
        <f t="shared" ca="1" si="4"/>
        <v>406.91158203957343</v>
      </c>
      <c r="P16" s="440">
        <f t="shared" ca="1" si="5"/>
        <v>1440.6288091065696</v>
      </c>
      <c r="Q16" s="443">
        <f>IF((SQRT($E16/(12-COUNTBLANK('Trust Cash Flow'!$D$8:$O$8)))*0.0275973662330441)&gt;1,1,SQRT($E16/(12-COUNTBLANK('Trust Cash Flow'!$D$8:$O$8)))*0.0275973662330441)</f>
        <v>0.67571293201252058</v>
      </c>
      <c r="R16" s="440">
        <f t="shared" ca="1" si="9"/>
        <v>1563.2444401696339</v>
      </c>
      <c r="S16" s="440" cm="1">
        <f t="array" aca="1" ref="S16" ca="1">(INDIRECT($B16&amp;"!P36")+INDIRECT($B16&amp;"!P42"))/$D16</f>
        <v>567.88920936116381</v>
      </c>
      <c r="T16" s="425">
        <f t="shared" ca="1" si="6"/>
        <v>2131.1336495307978</v>
      </c>
      <c r="U16" s="352" cm="1">
        <f t="array" aca="1" ref="U16" ca="1">INDIRECT($B16&amp;"!Q10")</f>
        <v>1822.72</v>
      </c>
      <c r="V16" s="570">
        <f t="shared" ca="1" si="7"/>
        <v>0.16920517113478636</v>
      </c>
    </row>
    <row r="17" spans="2:22" ht="18.5" x14ac:dyDescent="0.45">
      <c r="B17" s="5" t="s">
        <v>265</v>
      </c>
      <c r="C17" s="161" t="str">
        <f>'HCC Data Entry'!I12</f>
        <v>Harborcreek School District</v>
      </c>
      <c r="D17" s="345">
        <f>SUMIF('Cash Flow Entry'!$B$3:$B$500,'Rolling Projection'!C17,'Cash Flow Entry'!$D$3:$D$500)</f>
        <v>1757</v>
      </c>
      <c r="E17" s="345">
        <f>SUMIF('Cash Flow Entry'!$B$3:$B$500,'Rolling Projection'!C17,'Cash Flow Entry'!$E$3:$E$500)</f>
        <v>5242</v>
      </c>
      <c r="F17" s="424" cm="1">
        <f t="array" aca="1" ref="F17" ca="1">((INDIRECT($B17&amp;"!P18")/(12-COUNTBLANK('Trust Cash Flow'!$D$8:$O$8)))*12)/(($D17/(12-COUNTBLANK('Trust Cash Flow'!$D$8:$O$8)))*12)</f>
        <v>1616.3361354581673</v>
      </c>
      <c r="G17" s="439" cm="1">
        <f t="array" aca="1" ref="G17" ca="1">((INDIRECT($B17&amp;"!P19")/(12-COUNTBLANK('Trust Cash Flow'!$D$8:$O$8)))*12)/(($D17/(12-COUNTBLANK('Trust Cash Flow'!$D$8:$O$8)))*12)</f>
        <v>833.05800796812764</v>
      </c>
      <c r="H17" s="351" cm="1">
        <f t="array" aca="1" ref="H17" ca="1">((((INDIRECT($B17&amp;"!P21")+INDIRECT($B17&amp;"!P23")+INDIRECT($B17&amp;"!P25"))/(12-COUNTBLANK('Trust Cash Flow'!$D$8:$O$8)))*12)/(($D17/(12-COUNTBLANK('Trust Cash Flow'!$D$8:$O$8)))*12))*($F17/SUM($F17:$G17))</f>
        <v>-328.37147199427289</v>
      </c>
      <c r="I17" s="351" cm="1">
        <f t="array" aca="1" ref="I17" ca="1">(((((INDIRECT($B17&amp;"!P21")+INDIRECT($B17&amp;"!P23")+INDIRECT($B17&amp;"!P25"))/(12-COUNTBLANK('Trust Cash Flow'!$D$8:$O$8)))*12)/(($D17/(12-COUNTBLANK('Trust Cash Flow'!$D$8:$O$8)))*12))*($G17/SUM($F17:$G17)))+((((INDIRECT($B17&amp;"!P24"))/(12-COUNTBLANK('Trust Cash Flow'!$D$8:$O$8)))*12)/(($D17/(12-COUNTBLANK('Trust Cash Flow'!$D$8:$O$8)))*12))</f>
        <v>-446.16087291181708</v>
      </c>
      <c r="J17" s="424">
        <f t="shared" ca="1" si="1"/>
        <v>1188.9053368552673</v>
      </c>
      <c r="K17" s="439">
        <f t="shared" ca="1" si="0"/>
        <v>432.62870289738532</v>
      </c>
      <c r="L17" s="351">
        <f t="shared" ca="1" si="8"/>
        <v>1208.7268988891869</v>
      </c>
      <c r="M17" s="439">
        <f t="shared" ca="1" si="2"/>
        <v>423.42377336079915</v>
      </c>
      <c r="N17" s="424">
        <f t="shared" ca="1" si="3"/>
        <v>1390.1335608621473</v>
      </c>
      <c r="O17" s="351">
        <f t="shared" ca="1" si="4"/>
        <v>519.5503768714741</v>
      </c>
      <c r="P17" s="439">
        <f t="shared" ca="1" si="5"/>
        <v>1909.6839377336214</v>
      </c>
      <c r="Q17" s="442">
        <f>IF((SQRT($E17/(12-COUNTBLANK('Trust Cash Flow'!$D$8:$O$8)))*0.0275973662330441)&gt;1,1,SQRT($E17/(12-COUNTBLANK('Trust Cash Flow'!$D$8:$O$8)))*0.0275973662330441)</f>
        <v>0.70643328186124543</v>
      </c>
      <c r="R17" s="439">
        <f t="shared" ca="1" si="9"/>
        <v>1882.9849748904744</v>
      </c>
      <c r="S17" s="439" cm="1">
        <f t="array" aca="1" ref="S17" ca="1">(INDIRECT($B17&amp;"!P36")+INDIRECT($B17&amp;"!P42"))/$D17</f>
        <v>566.05661923733646</v>
      </c>
      <c r="T17" s="424">
        <f t="shared" ca="1" si="6"/>
        <v>2449.0415941278106</v>
      </c>
      <c r="U17" s="351" cm="1">
        <f t="array" aca="1" ref="U17" ca="1">INDIRECT($B17&amp;"!Q10")</f>
        <v>2003.07</v>
      </c>
      <c r="V17" s="570">
        <f t="shared" ca="1" si="7"/>
        <v>0.2226440384648618</v>
      </c>
    </row>
    <row r="18" spans="2:22" ht="18.5" x14ac:dyDescent="0.45">
      <c r="B18" s="5" t="s">
        <v>248</v>
      </c>
      <c r="C18" s="235" t="str">
        <f>'HCC Data Entry'!I13</f>
        <v>Iroquois School District</v>
      </c>
      <c r="D18" s="346">
        <f>SUMIF('Cash Flow Entry'!$B$3:$B$500,'Rolling Projection'!C18,'Cash Flow Entry'!$D$3:$D$500)</f>
        <v>1260</v>
      </c>
      <c r="E18" s="346">
        <f>SUMIF('Cash Flow Entry'!$B$3:$B$500,'Rolling Projection'!C18,'Cash Flow Entry'!$E$3:$E$500)</f>
        <v>3283</v>
      </c>
      <c r="F18" s="425" cm="1">
        <f t="array" aca="1" ref="F18" ca="1">((INDIRECT($B18&amp;"!P18")/(12-COUNTBLANK('Trust Cash Flow'!$D$8:$O$8)))*12)/(($D18/(12-COUNTBLANK('Trust Cash Flow'!$D$8:$O$8)))*12)</f>
        <v>1113.4628253968256</v>
      </c>
      <c r="G18" s="440" cm="1">
        <f t="array" aca="1" ref="G18" ca="1">((INDIRECT($B18&amp;"!P19")/(12-COUNTBLANK('Trust Cash Flow'!$D$8:$O$8)))*12)/(($D18/(12-COUNTBLANK('Trust Cash Flow'!$D$8:$O$8)))*12)</f>
        <v>497.10066666666671</v>
      </c>
      <c r="H18" s="352" cm="1">
        <f t="array" aca="1" ref="H18" ca="1">((((INDIRECT($B18&amp;"!P21")+INDIRECT($B18&amp;"!P23")+INDIRECT($B18&amp;"!P25"))/(12-COUNTBLANK('Trust Cash Flow'!$D$8:$O$8)))*12)/(($D18/(12-COUNTBLANK('Trust Cash Flow'!$D$8:$O$8)))*12))*($F18/SUM($F18:$G18))</f>
        <v>-198.92722201350088</v>
      </c>
      <c r="I18" s="352" cm="1">
        <f t="array" aca="1" ref="I18" ca="1">(((((INDIRECT($B18&amp;"!P21")+INDIRECT($B18&amp;"!P23")+INDIRECT($B18&amp;"!P25"))/(12-COUNTBLANK('Trust Cash Flow'!$D$8:$O$8)))*12)/(($D18/(12-COUNTBLANK('Trust Cash Flow'!$D$8:$O$8)))*12))*($G18/SUM($F18:$G18)))+((((INDIRECT($B18&amp;"!P24"))/(12-COUNTBLANK('Trust Cash Flow'!$D$8:$O$8)))*12)/(($D18/(12-COUNTBLANK('Trust Cash Flow'!$D$8:$O$8)))*12))</f>
        <v>-171.39750020872134</v>
      </c>
      <c r="J18" s="425">
        <f t="shared" ca="1" si="1"/>
        <v>874.90056053124988</v>
      </c>
      <c r="K18" s="440">
        <f t="shared" ca="1" si="0"/>
        <v>292.02284452843247</v>
      </c>
      <c r="L18" s="352">
        <f t="shared" ca="1" si="8"/>
        <v>902.5477239829969</v>
      </c>
      <c r="M18" s="440">
        <f t="shared" ca="1" si="2"/>
        <v>303.58223479352171</v>
      </c>
      <c r="N18" s="425">
        <f t="shared" ca="1" si="3"/>
        <v>1038.0027800668099</v>
      </c>
      <c r="O18" s="352">
        <f t="shared" ca="1" si="4"/>
        <v>372.5021466002101</v>
      </c>
      <c r="P18" s="440">
        <f t="shared" ca="1" si="5"/>
        <v>1410.5049266670201</v>
      </c>
      <c r="Q18" s="443">
        <f>IF((SQRT($E18/(12-COUNTBLANK('Trust Cash Flow'!$D$8:$O$8)))*0.0275973662330441)&gt;1,1,SQRT($E18/(12-COUNTBLANK('Trust Cash Flow'!$D$8:$O$8)))*0.0275973662330441)</f>
        <v>0.55905956830550529</v>
      </c>
      <c r="R18" s="440">
        <f t="shared" ca="1" si="9"/>
        <v>1590.5110001648518</v>
      </c>
      <c r="S18" s="440" cm="1">
        <f t="array" aca="1" ref="S18" ca="1">(INDIRECT($B18&amp;"!P36")+INDIRECT($B18&amp;"!P42"))/$D18</f>
        <v>573.30998412698409</v>
      </c>
      <c r="T18" s="425">
        <f t="shared" ca="1" si="6"/>
        <v>2163.8209842918359</v>
      </c>
      <c r="U18" s="352" cm="1">
        <f t="array" aca="1" ref="U18" ca="1">INDIRECT($B18&amp;"!Q10")</f>
        <v>1718.22</v>
      </c>
      <c r="V18" s="570">
        <f t="shared" ca="1" si="7"/>
        <v>0.25933872512939893</v>
      </c>
    </row>
    <row r="19" spans="2:22" ht="18.5" x14ac:dyDescent="0.45">
      <c r="B19" s="5" t="s">
        <v>262</v>
      </c>
      <c r="C19" s="161" t="str">
        <f>'HCC Data Entry'!I14</f>
        <v>North East School District</v>
      </c>
      <c r="D19" s="345">
        <f>SUMIF('Cash Flow Entry'!$B$3:$B$500,'Rolling Projection'!C19,'Cash Flow Entry'!$D$3:$D$500)</f>
        <v>1285</v>
      </c>
      <c r="E19" s="345">
        <f>SUMIF('Cash Flow Entry'!$B$3:$B$500,'Rolling Projection'!C19,'Cash Flow Entry'!$E$3:$E$500)</f>
        <v>3172</v>
      </c>
      <c r="F19" s="424" cm="1">
        <f t="array" aca="1" ref="F19" ca="1">((INDIRECT($B19&amp;"!P18")/(12-COUNTBLANK('Trust Cash Flow'!$D$8:$O$8)))*12)/(($D19/(12-COUNTBLANK('Trust Cash Flow'!$D$8:$O$8)))*12)</f>
        <v>1107.4692607003892</v>
      </c>
      <c r="G19" s="439" cm="1">
        <f t="array" aca="1" ref="G19" ca="1">((INDIRECT($B19&amp;"!P19")/(12-COUNTBLANK('Trust Cash Flow'!$D$8:$O$8)))*12)/(($D19/(12-COUNTBLANK('Trust Cash Flow'!$D$8:$O$8)))*12)</f>
        <v>378.76934630350195</v>
      </c>
      <c r="H19" s="351" cm="1">
        <f t="array" aca="1" ref="H19" ca="1">((((INDIRECT($B19&amp;"!P21")+INDIRECT($B19&amp;"!P23")+INDIRECT($B19&amp;"!P25"))/(12-COUNTBLANK('Trust Cash Flow'!$D$8:$O$8)))*12)/(($D19/(12-COUNTBLANK('Trust Cash Flow'!$D$8:$O$8)))*12))*($F19/SUM($F19:$G19))</f>
        <v>-154.15374707486862</v>
      </c>
      <c r="I19" s="351" cm="1">
        <f t="array" aca="1" ref="I19" ca="1">(((((INDIRECT($B19&amp;"!P21")+INDIRECT($B19&amp;"!P23")+INDIRECT($B19&amp;"!P25"))/(12-COUNTBLANK('Trust Cash Flow'!$D$8:$O$8)))*12)/(($D19/(12-COUNTBLANK('Trust Cash Flow'!$D$8:$O$8)))*12))*($G19/SUM($F19:$G19)))+((((INDIRECT($B19&amp;"!P24"))/(12-COUNTBLANK('Trust Cash Flow'!$D$8:$O$8)))*12)/(($D19/(12-COUNTBLANK('Trust Cash Flow'!$D$8:$O$8)))*12))</f>
        <v>-162.72264981229094</v>
      </c>
      <c r="J19" s="424">
        <f t="shared" ca="1" si="1"/>
        <v>871.74377748949792</v>
      </c>
      <c r="K19" s="439">
        <f t="shared" ca="1" si="0"/>
        <v>200.19776659415842</v>
      </c>
      <c r="L19" s="351">
        <f t="shared" ca="1" si="8"/>
        <v>931.19683514198709</v>
      </c>
      <c r="M19" s="439">
        <f t="shared" ca="1" si="2"/>
        <v>199.94854161188303</v>
      </c>
      <c r="N19" s="424">
        <f t="shared" ca="1" si="3"/>
        <v>1070.9515718473044</v>
      </c>
      <c r="O19" s="351">
        <f t="shared" ca="1" si="4"/>
        <v>245.3413026973252</v>
      </c>
      <c r="P19" s="439">
        <f t="shared" ca="1" si="5"/>
        <v>1316.2928745446297</v>
      </c>
      <c r="Q19" s="442">
        <f>IF((SQRT($E19/(12-COUNTBLANK('Trust Cash Flow'!$D$8:$O$8)))*0.0275973662330441)&gt;1,1,SQRT($E19/(12-COUNTBLANK('Trust Cash Flow'!$D$8:$O$8)))*0.0275973662330441)</f>
        <v>0.54952724956984833</v>
      </c>
      <c r="R19" s="439">
        <f t="shared" ca="1" si="9"/>
        <v>1542.6303095396606</v>
      </c>
      <c r="S19" s="439" cm="1">
        <f t="array" aca="1" ref="S19" ca="1">(INDIRECT($B19&amp;"!P36")+INDIRECT($B19&amp;"!P42"))/$D19</f>
        <v>449.55797665369647</v>
      </c>
      <c r="T19" s="424">
        <f t="shared" ca="1" si="6"/>
        <v>1992.188286193357</v>
      </c>
      <c r="U19" s="351" cm="1">
        <f t="array" aca="1" ref="U19" ca="1">INDIRECT($B19&amp;"!Q10")</f>
        <v>1555.57</v>
      </c>
      <c r="V19" s="570">
        <f t="shared" ca="1" si="7"/>
        <v>0.28068057766179416</v>
      </c>
    </row>
    <row r="20" spans="2:22" ht="18.5" x14ac:dyDescent="0.45">
      <c r="B20" s="5" t="s">
        <v>263</v>
      </c>
      <c r="C20" s="235" t="str">
        <f>'HCC Data Entry'!I15</f>
        <v>Northwestern School District</v>
      </c>
      <c r="D20" s="346">
        <f>SUMIF('Cash Flow Entry'!$B$3:$B$500,'Rolling Projection'!C20,'Cash Flow Entry'!$D$3:$D$500)</f>
        <v>1172</v>
      </c>
      <c r="E20" s="346">
        <f>SUMIF('Cash Flow Entry'!$B$3:$B$500,'Rolling Projection'!C20,'Cash Flow Entry'!$E$3:$E$500)</f>
        <v>3578</v>
      </c>
      <c r="F20" s="425" cm="1">
        <f t="array" aca="1" ref="F20" ca="1">((INDIRECT($B20&amp;"!P18")/(12-COUNTBLANK('Trust Cash Flow'!$D$8:$O$8)))*12)/(($D20/(12-COUNTBLANK('Trust Cash Flow'!$D$8:$O$8)))*12)</f>
        <v>2302.157269624573</v>
      </c>
      <c r="G20" s="440" cm="1">
        <f t="array" aca="1" ref="G20" ca="1">((INDIRECT($B20&amp;"!P19")/(12-COUNTBLANK('Trust Cash Flow'!$D$8:$O$8)))*12)/(($D20/(12-COUNTBLANK('Trust Cash Flow'!$D$8:$O$8)))*12)</f>
        <v>604.79598122866889</v>
      </c>
      <c r="H20" s="352" cm="1">
        <f t="array" aca="1" ref="H20" ca="1">((((INDIRECT($B20&amp;"!P21")+INDIRECT($B20&amp;"!P23")+INDIRECT($B20&amp;"!P25"))/(12-COUNTBLANK('Trust Cash Flow'!$D$8:$O$8)))*12)/(($D20/(12-COUNTBLANK('Trust Cash Flow'!$D$8:$O$8)))*12))*($F20/SUM($F20:$G20))</f>
        <v>-876.01267894424188</v>
      </c>
      <c r="I20" s="352" cm="1">
        <f t="array" aca="1" ref="I20" ca="1">(((((INDIRECT($B20&amp;"!P21")+INDIRECT($B20&amp;"!P23")+INDIRECT($B20&amp;"!P25"))/(12-COUNTBLANK('Trust Cash Flow'!$D$8:$O$8)))*12)/(($D20/(12-COUNTBLANK('Trust Cash Flow'!$D$8:$O$8)))*12))*($G20/SUM($F20:$G20)))+((((INDIRECT($B20&amp;"!P24"))/(12-COUNTBLANK('Trust Cash Flow'!$D$8:$O$8)))*12)/(($D20/(12-COUNTBLANK('Trust Cash Flow'!$D$8:$O$8)))*12))</f>
        <v>-340.13586201138935</v>
      </c>
      <c r="J20" s="425">
        <f t="shared" ca="1" si="1"/>
        <v>1274.8045715807241</v>
      </c>
      <c r="K20" s="440">
        <f t="shared" ca="1" si="0"/>
        <v>269.12025868271797</v>
      </c>
      <c r="L20" s="352">
        <f t="shared" ca="1" si="8"/>
        <v>1259.728728386506</v>
      </c>
      <c r="M20" s="440">
        <f t="shared" ca="1" si="2"/>
        <v>256.62856810114721</v>
      </c>
      <c r="N20" s="425">
        <f t="shared" ca="1" si="3"/>
        <v>1448.7897841287497</v>
      </c>
      <c r="O20" s="352">
        <f t="shared" ca="1" si="4"/>
        <v>314.88895442657662</v>
      </c>
      <c r="P20" s="440">
        <f t="shared" ca="1" si="5"/>
        <v>1763.6787385553264</v>
      </c>
      <c r="Q20" s="443">
        <f>IF((SQRT($E20/(12-COUNTBLANK('Trust Cash Flow'!$D$8:$O$8)))*0.0275973662330441)&gt;1,1,SQRT($E20/(12-COUNTBLANK('Trust Cash Flow'!$D$8:$O$8)))*0.0275973662330441)</f>
        <v>0.58363699346176745</v>
      </c>
      <c r="R20" s="440">
        <f t="shared" ca="1" si="9"/>
        <v>1786.6030060646444</v>
      </c>
      <c r="S20" s="440" cm="1">
        <f t="array" aca="1" ref="S20" ca="1">(INDIRECT($B20&amp;"!P36")+INDIRECT($B20&amp;"!P42"))/$D20</f>
        <v>477.84808873720135</v>
      </c>
      <c r="T20" s="425">
        <f t="shared" ca="1" si="6"/>
        <v>2264.451094801846</v>
      </c>
      <c r="U20" s="352" cm="1">
        <f t="array" aca="1" ref="U20" ca="1">INDIRECT($B20&amp;"!Q10")</f>
        <v>1782.88</v>
      </c>
      <c r="V20" s="570">
        <f t="shared" ca="1" si="7"/>
        <v>0.27010852934681295</v>
      </c>
    </row>
    <row r="21" spans="2:22" ht="18.5" x14ac:dyDescent="0.45">
      <c r="B21" s="5" t="s">
        <v>266</v>
      </c>
      <c r="C21" s="161" t="str">
        <f>'HCC Data Entry'!I16</f>
        <v>Northwest Tri-County Intermediate Unit #5</v>
      </c>
      <c r="D21" s="345">
        <f>SUMIF('Cash Flow Entry'!$B$3:$B$500,'Rolling Projection'!C21,'Cash Flow Entry'!$D$3:$D$500)</f>
        <v>2138</v>
      </c>
      <c r="E21" s="345">
        <f>SUMIF('Cash Flow Entry'!$B$3:$B$500,'Rolling Projection'!C21,'Cash Flow Entry'!$E$3:$E$500)</f>
        <v>6012</v>
      </c>
      <c r="F21" s="424" cm="1">
        <f t="array" aca="1" ref="F21" ca="1">((INDIRECT($B21&amp;"!P18")/(12-COUNTBLANK('Trust Cash Flow'!$D$8:$O$8)))*12)/(($D21/(12-COUNTBLANK('Trust Cash Flow'!$D$8:$O$8)))*12)</f>
        <v>1677.3071375116933</v>
      </c>
      <c r="G21" s="439" cm="1">
        <f t="array" aca="1" ref="G21" ca="1">((INDIRECT($B21&amp;"!P19")/(12-COUNTBLANK('Trust Cash Flow'!$D$8:$O$8)))*12)/(($D21/(12-COUNTBLANK('Trust Cash Flow'!$D$8:$O$8)))*12)</f>
        <v>548.70671655753051</v>
      </c>
      <c r="H21" s="351" cm="1">
        <f t="array" aca="1" ref="H21" ca="1">((((INDIRECT($B21&amp;"!P21")+INDIRECT($B21&amp;"!P23")+INDIRECT($B21&amp;"!P25"))/(12-COUNTBLANK('Trust Cash Flow'!$D$8:$O$8)))*12)/(($D21/(12-COUNTBLANK('Trust Cash Flow'!$D$8:$O$8)))*12))*($F21/SUM($F21:$G21))</f>
        <v>-673.05193041010523</v>
      </c>
      <c r="I21" s="351" cm="1">
        <f t="array" aca="1" ref="I21" ca="1">(((((INDIRECT($B21&amp;"!P21")+INDIRECT($B21&amp;"!P23")+INDIRECT($B21&amp;"!P25"))/(12-COUNTBLANK('Trust Cash Flow'!$D$8:$O$8)))*12)/(($D21/(12-COUNTBLANK('Trust Cash Flow'!$D$8:$O$8)))*12))*($G21/SUM($F21:$G21)))+((((INDIRECT($B21&amp;"!P24"))/(12-COUNTBLANK('Trust Cash Flow'!$D$8:$O$8)))*12)/(($D21/(12-COUNTBLANK('Trust Cash Flow'!$D$8:$O$8)))*12))</f>
        <v>-302.49910794349614</v>
      </c>
      <c r="J21" s="424">
        <f t="shared" ca="1" si="1"/>
        <v>1163.120662510745</v>
      </c>
      <c r="K21" s="439">
        <f t="shared" ca="1" si="0"/>
        <v>275.64234597894006</v>
      </c>
      <c r="L21" s="351">
        <f t="shared" ca="1" si="8"/>
        <v>1138.1167432105235</v>
      </c>
      <c r="M21" s="439">
        <f t="shared" ca="1" si="2"/>
        <v>265.22186836828183</v>
      </c>
      <c r="N21" s="424">
        <f t="shared" ca="1" si="3"/>
        <v>1308.9261787505909</v>
      </c>
      <c r="O21" s="351">
        <f t="shared" ca="1" si="4"/>
        <v>325.43312476666569</v>
      </c>
      <c r="P21" s="439">
        <f t="shared" ca="1" si="5"/>
        <v>1634.3593035172566</v>
      </c>
      <c r="Q21" s="442">
        <f>IF((SQRT($E21/(12-COUNTBLANK('Trust Cash Flow'!$D$8:$O$8)))*0.0275973662330441)&gt;1,1,SQRT($E21/(12-COUNTBLANK('Trust Cash Flow'!$D$8:$O$8)))*0.0275973662330441)</f>
        <v>0.7565404081640803</v>
      </c>
      <c r="R21" s="439">
        <f t="shared" ca="1" si="9"/>
        <v>1679.2478481146866</v>
      </c>
      <c r="S21" s="439" cm="1">
        <f t="array" aca="1" ref="S21" ca="1">(INDIRECT($B21&amp;"!P36")+INDIRECT($B21&amp;"!P42"))/$D21</f>
        <v>448.70233863423755</v>
      </c>
      <c r="T21" s="424">
        <f t="shared" ca="1" si="6"/>
        <v>2127.9501867489244</v>
      </c>
      <c r="U21" s="351" cm="1">
        <f t="array" aca="1" ref="U21" ca="1">INDIRECT($B21&amp;"!Q10")</f>
        <v>1782.88</v>
      </c>
      <c r="V21" s="570">
        <f t="shared" ca="1" si="7"/>
        <v>0.19354650158671599</v>
      </c>
    </row>
    <row r="22" spans="2:22" ht="18.5" x14ac:dyDescent="0.45">
      <c r="B22" s="5" t="s">
        <v>267</v>
      </c>
      <c r="C22" s="235" t="str">
        <f>'HCC Data Entry'!I17</f>
        <v>Oil City Area School District</v>
      </c>
      <c r="D22" s="346">
        <f>SUMIF('Cash Flow Entry'!$B$3:$B$500,'Rolling Projection'!C22,'Cash Flow Entry'!$D$3:$D$500)</f>
        <v>1562</v>
      </c>
      <c r="E22" s="346">
        <f>SUMIF('Cash Flow Entry'!$B$3:$B$500,'Rolling Projection'!C22,'Cash Flow Entry'!$E$3:$E$500)</f>
        <v>4746</v>
      </c>
      <c r="F22" s="425" cm="1">
        <f t="array" aca="1" ref="F22" ca="1">((INDIRECT($B22&amp;"!P18")/(12-COUNTBLANK('Trust Cash Flow'!$D$8:$O$8)))*12)/(($D22/(12-COUNTBLANK('Trust Cash Flow'!$D$8:$O$8)))*12)</f>
        <v>1400.6104289372597</v>
      </c>
      <c r="G22" s="440" cm="1">
        <f t="array" aca="1" ref="G22" ca="1">((INDIRECT($B22&amp;"!P19")/(12-COUNTBLANK('Trust Cash Flow'!$D$8:$O$8)))*12)/(($D22/(12-COUNTBLANK('Trust Cash Flow'!$D$8:$O$8)))*12)</f>
        <v>613.57565300896283</v>
      </c>
      <c r="H22" s="352" cm="1">
        <f t="array" aca="1" ref="H22" ca="1">((((INDIRECT($B22&amp;"!P21")+INDIRECT($B22&amp;"!P23")+INDIRECT($B22&amp;"!P25"))/(12-COUNTBLANK('Trust Cash Flow'!$D$8:$O$8)))*12)/(($D22/(12-COUNTBLANK('Trust Cash Flow'!$D$8:$O$8)))*12))*($F22/SUM($F22:$G22))</f>
        <v>-179.73248297762837</v>
      </c>
      <c r="I22" s="352" cm="1">
        <f t="array" aca="1" ref="I22" ca="1">(((((INDIRECT($B22&amp;"!P21")+INDIRECT($B22&amp;"!P23")+INDIRECT($B22&amp;"!P25"))/(12-COUNTBLANK('Trust Cash Flow'!$D$8:$O$8)))*12)/(($D22/(12-COUNTBLANK('Trust Cash Flow'!$D$8:$O$8)))*12))*($G22/SUM($F22:$G22)))+((((INDIRECT($B22&amp;"!P24"))/(12-COUNTBLANK('Trust Cash Flow'!$D$8:$O$8)))*12)/(($D22/(12-COUNTBLANK('Trust Cash Flow'!$D$8:$O$8)))*12))</f>
        <v>-188.73672316833833</v>
      </c>
      <c r="J22" s="425">
        <f t="shared" ca="1" si="1"/>
        <v>1215.1366872079429</v>
      </c>
      <c r="K22" s="440">
        <f t="shared" ca="1" si="0"/>
        <v>361.09385553282613</v>
      </c>
      <c r="L22" s="352">
        <f t="shared" ca="1" si="8"/>
        <v>1193.7893639431238</v>
      </c>
      <c r="M22" s="440">
        <f t="shared" ca="1" si="2"/>
        <v>360.25250135109468</v>
      </c>
      <c r="N22" s="425">
        <f t="shared" ca="1" si="3"/>
        <v>1372.9541891908818</v>
      </c>
      <c r="O22" s="352">
        <f t="shared" ca="1" si="4"/>
        <v>442.03782267644567</v>
      </c>
      <c r="P22" s="440">
        <f t="shared" ca="1" si="5"/>
        <v>1814.9920118673276</v>
      </c>
      <c r="Q22" s="443">
        <f>IF((SQRT($E22/(12-COUNTBLANK('Trust Cash Flow'!$D$8:$O$8)))*0.0275973662330441)&gt;1,1,SQRT($E22/(12-COUNTBLANK('Trust Cash Flow'!$D$8:$O$8)))*0.0275973662330441)</f>
        <v>0.67218143019217846</v>
      </c>
      <c r="R22" s="440">
        <f t="shared" ca="1" si="9"/>
        <v>1816.2197233523407</v>
      </c>
      <c r="S22" s="440" cm="1">
        <f t="array" aca="1" ref="S22" ca="1">(INDIRECT($B22&amp;"!P36")+INDIRECT($B22&amp;"!P42"))/$D22</f>
        <v>489.77438751600516</v>
      </c>
      <c r="T22" s="425">
        <f t="shared" ca="1" si="6"/>
        <v>2305.9941108683461</v>
      </c>
      <c r="U22" s="352" cm="1">
        <f t="array" aca="1" ref="U22" ca="1">INDIRECT($B22&amp;"!Q10")</f>
        <v>1832.52</v>
      </c>
      <c r="V22" s="570">
        <f t="shared" ca="1" si="7"/>
        <v>0.25837322968826865</v>
      </c>
    </row>
    <row r="23" spans="2:22" ht="18.5" x14ac:dyDescent="0.45">
      <c r="B23" s="5" t="s">
        <v>259</v>
      </c>
      <c r="C23" s="161" t="str">
        <f>'HCC Data Entry'!I18</f>
        <v>Penncrest School District</v>
      </c>
      <c r="D23" s="345">
        <f>SUMIF('Cash Flow Entry'!$B$3:$B$500,'Rolling Projection'!C23,'Cash Flow Entry'!$D$3:$D$500)</f>
        <v>2481</v>
      </c>
      <c r="E23" s="345">
        <f>SUMIF('Cash Flow Entry'!$B$3:$B$500,'Rolling Projection'!C23,'Cash Flow Entry'!$E$3:$E$500)</f>
        <v>7562</v>
      </c>
      <c r="F23" s="424" cm="1">
        <f t="array" aca="1" ref="F23" ca="1">((INDIRECT($B23&amp;"!P18")/(12-COUNTBLANK('Trust Cash Flow'!$D$8:$O$8)))*12)/(($D23/(12-COUNTBLANK('Trust Cash Flow'!$D$8:$O$8)))*12)</f>
        <v>1542.3460499798466</v>
      </c>
      <c r="G23" s="439" cm="1">
        <f t="array" aca="1" ref="G23" ca="1">((INDIRECT($B23&amp;"!P19")/(12-COUNTBLANK('Trust Cash Flow'!$D$8:$O$8)))*12)/(($D23/(12-COUNTBLANK('Trust Cash Flow'!$D$8:$O$8)))*12)</f>
        <v>833.3169165659009</v>
      </c>
      <c r="H23" s="351" cm="1">
        <f t="array" aca="1" ref="H23" ca="1">((((INDIRECT($B23&amp;"!P21")+INDIRECT($B23&amp;"!P23")+INDIRECT($B23&amp;"!P25"))/(12-COUNTBLANK('Trust Cash Flow'!$D$8:$O$8)))*12)/(($D23/(12-COUNTBLANK('Trust Cash Flow'!$D$8:$O$8)))*12))*($F23/SUM($F23:$G23))</f>
        <v>-264.99523080602694</v>
      </c>
      <c r="I23" s="351" cm="1">
        <f t="array" aca="1" ref="I23" ca="1">(((((INDIRECT($B23&amp;"!P21")+INDIRECT($B23&amp;"!P23")+INDIRECT($B23&amp;"!P25"))/(12-COUNTBLANK('Trust Cash Flow'!$D$8:$O$8)))*12)/(($D23/(12-COUNTBLANK('Trust Cash Flow'!$D$8:$O$8)))*12))*($G23/SUM($F23:$G23)))+((((INDIRECT($B23&amp;"!P24"))/(12-COUNTBLANK('Trust Cash Flow'!$D$8:$O$8)))*12)/(($D23/(12-COUNTBLANK('Trust Cash Flow'!$D$8:$O$8)))*12))</f>
        <v>-253.17474904080899</v>
      </c>
      <c r="J23" s="424">
        <f t="shared" ca="1" si="1"/>
        <v>1329.487179610725</v>
      </c>
      <c r="K23" s="439">
        <f t="shared" ca="1" si="0"/>
        <v>473.27315957463315</v>
      </c>
      <c r="L23" s="351">
        <f t="shared" ca="1" si="8"/>
        <v>1273.5080845899845</v>
      </c>
      <c r="M23" s="439">
        <f t="shared" ca="1" si="2"/>
        <v>519.28443151125839</v>
      </c>
      <c r="N23" s="424">
        <f t="shared" ca="1" si="3"/>
        <v>1464.6371567016056</v>
      </c>
      <c r="O23" s="351">
        <f t="shared" ca="1" si="4"/>
        <v>637.17353410213889</v>
      </c>
      <c r="P23" s="439">
        <f t="shared" ca="1" si="5"/>
        <v>2101.8106908037444</v>
      </c>
      <c r="Q23" s="442">
        <f>IF((SQRT($E23/(12-COUNTBLANK('Trust Cash Flow'!$D$8:$O$8)))*0.0275973662330441)&gt;1,1,SQRT($E23/(12-COUNTBLANK('Trust Cash Flow'!$D$8:$O$8)))*0.0275973662330441)</f>
        <v>0.84847876955847923</v>
      </c>
      <c r="R23" s="439">
        <f t="shared" ca="1" si="9"/>
        <v>2058.9190329669882</v>
      </c>
      <c r="S23" s="439" cm="1">
        <f t="array" aca="1" ref="S23" ca="1">(INDIRECT($B23&amp;"!P36")+INDIRECT($B23&amp;"!P42"))/$D23</f>
        <v>460.39758162031433</v>
      </c>
      <c r="T23" s="424">
        <f t="shared" ca="1" si="6"/>
        <v>2519.3166145873024</v>
      </c>
      <c r="U23" s="351" cm="1">
        <f t="array" aca="1" ref="U23" ca="1">INDIRECT($B23&amp;"!Q10")</f>
        <v>2082.87</v>
      </c>
      <c r="V23" s="570">
        <f t="shared" ca="1" si="7"/>
        <v>0.20954097691517115</v>
      </c>
    </row>
    <row r="24" spans="2:22" ht="18.5" x14ac:dyDescent="0.45">
      <c r="B24" s="5" t="s">
        <v>268</v>
      </c>
      <c r="C24" s="235" t="str">
        <f>'HCC Data Entry'!I19</f>
        <v>St Marys Area School District</v>
      </c>
      <c r="D24" s="346">
        <f>SUMIF('Cash Flow Entry'!$B$3:$B$500,'Rolling Projection'!C24,'Cash Flow Entry'!$D$3:$D$500)</f>
        <v>1524</v>
      </c>
      <c r="E24" s="346">
        <f>SUMIF('Cash Flow Entry'!$B$3:$B$500,'Rolling Projection'!C24,'Cash Flow Entry'!$E$3:$E$500)</f>
        <v>4602</v>
      </c>
      <c r="F24" s="425" cm="1">
        <f t="array" aca="1" ref="F24" ca="1">((INDIRECT($B24&amp;"!P18")/(12-COUNTBLANK('Trust Cash Flow'!$D$8:$O$8)))*12)/(($D24/(12-COUNTBLANK('Trust Cash Flow'!$D$8:$O$8)))*12)</f>
        <v>1266.0322244094489</v>
      </c>
      <c r="G24" s="440" cm="1">
        <f t="array" aca="1" ref="G24" ca="1">((INDIRECT($B24&amp;"!P19")/(12-COUNTBLANK('Trust Cash Flow'!$D$8:$O$8)))*12)/(($D24/(12-COUNTBLANK('Trust Cash Flow'!$D$8:$O$8)))*12)</f>
        <v>565.11450787401577</v>
      </c>
      <c r="H24" s="352" cm="1">
        <f t="array" aca="1" ref="H24" ca="1">((((INDIRECT($B24&amp;"!P21")+INDIRECT($B24&amp;"!P23")+INDIRECT($B24&amp;"!P25"))/(12-COUNTBLANK('Trust Cash Flow'!$D$8:$O$8)))*12)/(($D24/(12-COUNTBLANK('Trust Cash Flow'!$D$8:$O$8)))*12))*($F24/SUM($F24:$G24))</f>
        <v>-85.42217734555949</v>
      </c>
      <c r="I24" s="352" cm="1">
        <f t="array" aca="1" ref="I24" ca="1">(((((INDIRECT($B24&amp;"!P21")+INDIRECT($B24&amp;"!P23")+INDIRECT($B24&amp;"!P25"))/(12-COUNTBLANK('Trust Cash Flow'!$D$8:$O$8)))*12)/(($D24/(12-COUNTBLANK('Trust Cash Flow'!$D$8:$O$8)))*12))*($G24/SUM($F24:$G24)))+((((INDIRECT($B24&amp;"!P24"))/(12-COUNTBLANK('Trust Cash Flow'!$D$8:$O$8)))*12)/(($D24/(12-COUNTBLANK('Trust Cash Flow'!$D$8:$O$8)))*12))</f>
        <v>-148.1296074313434</v>
      </c>
      <c r="J24" s="425">
        <f t="shared" ca="1" si="1"/>
        <v>1085.5993992852173</v>
      </c>
      <c r="K24" s="440">
        <f t="shared" ca="1" si="0"/>
        <v>387.41427683243847</v>
      </c>
      <c r="L24" s="352">
        <f t="shared" ca="1" si="8"/>
        <v>1132.4155526812929</v>
      </c>
      <c r="M24" s="440">
        <f t="shared" ca="1" si="2"/>
        <v>387.82967628265106</v>
      </c>
      <c r="N24" s="425">
        <f t="shared" ca="1" si="3"/>
        <v>1302.369349164986</v>
      </c>
      <c r="O24" s="352">
        <f t="shared" ca="1" si="4"/>
        <v>475.87562898339587</v>
      </c>
      <c r="P24" s="440">
        <f t="shared" ca="1" si="5"/>
        <v>1778.244978148382</v>
      </c>
      <c r="Q24" s="443">
        <f>IF((SQRT($E24/(12-COUNTBLANK('Trust Cash Flow'!$D$8:$O$8)))*0.0275973662330441)&gt;1,1,SQRT($E24/(12-COUNTBLANK('Trust Cash Flow'!$D$8:$O$8)))*0.0275973662330441)</f>
        <v>0.66190544028674425</v>
      </c>
      <c r="R24" s="440">
        <f ca="1">(P24*Q24)+($P$28*(1-Q24))</f>
        <v>1791.9351463714629</v>
      </c>
      <c r="S24" s="440" cm="1">
        <f t="array" aca="1" ref="S24" ca="1">(INDIRECT($B24&amp;"!P36")+INDIRECT($B24&amp;"!P42"))/$D24</f>
        <v>474.49055118110243</v>
      </c>
      <c r="T24" s="425">
        <f t="shared" ca="1" si="6"/>
        <v>2266.4256975525655</v>
      </c>
      <c r="U24" s="352" cm="1">
        <f t="array" aca="1" ref="U24" ca="1">INDIRECT($B24&amp;"!Q10")</f>
        <v>1752.28</v>
      </c>
      <c r="V24" s="570">
        <f t="shared" ca="1" si="7"/>
        <v>0.29341526328701206</v>
      </c>
    </row>
    <row r="25" spans="2:22" ht="18.5" x14ac:dyDescent="0.45">
      <c r="B25" s="5" t="s">
        <v>269</v>
      </c>
      <c r="C25" s="161" t="str">
        <f>'HCC Data Entry'!I20</f>
        <v>Valley Grove School District</v>
      </c>
      <c r="D25" s="345">
        <f>SUMIF('Cash Flow Entry'!$B$3:$B$500,'Rolling Projection'!C25,'Cash Flow Entry'!$D$3:$D$500)</f>
        <v>815</v>
      </c>
      <c r="E25" s="345">
        <f>SUMIF('Cash Flow Entry'!$B$3:$B$500,'Rolling Projection'!C25,'Cash Flow Entry'!$E$3:$E$500)</f>
        <v>2015</v>
      </c>
      <c r="F25" s="424" cm="1">
        <f t="array" aca="1" ref="F25" ca="1">((INDIRECT($B25&amp;"!P18")/(12-COUNTBLANK('Trust Cash Flow'!$D$8:$O$8)))*12)/(($D25/(12-COUNTBLANK('Trust Cash Flow'!$D$8:$O$8)))*12)</f>
        <v>1210.6762944785276</v>
      </c>
      <c r="G25" s="439" cm="1">
        <f t="array" aca="1" ref="G25" ca="1">((INDIRECT($B25&amp;"!P19")/(12-COUNTBLANK('Trust Cash Flow'!$D$8:$O$8)))*12)/(($D25/(12-COUNTBLANK('Trust Cash Flow'!$D$8:$O$8)))*12)</f>
        <v>449.69655214723929</v>
      </c>
      <c r="H25" s="351" cm="1">
        <f t="array" aca="1" ref="H25" ca="1">((((INDIRECT($B25&amp;"!P21")+INDIRECT($B25&amp;"!P23")+INDIRECT($B25&amp;"!P25"))/(12-COUNTBLANK('Trust Cash Flow'!$D$8:$O$8)))*12)/(($D25/(12-COUNTBLANK('Trust Cash Flow'!$D$8:$O$8)))*12))*($F25/SUM($F25:$G25))</f>
        <v>-168.96520260744728</v>
      </c>
      <c r="I25" s="351" cm="1">
        <f t="array" aca="1" ref="I25" ca="1">(((((INDIRECT($B25&amp;"!P21")+INDIRECT($B25&amp;"!P23")+INDIRECT($B25&amp;"!P25"))/(12-COUNTBLANK('Trust Cash Flow'!$D$8:$O$8)))*12)/(($D25/(12-COUNTBLANK('Trust Cash Flow'!$D$8:$O$8)))*12))*($G25/SUM($F25:$G25)))+((((INDIRECT($B25&amp;"!P24"))/(12-COUNTBLANK('Trust Cash Flow'!$D$8:$O$8)))*12)/(($D25/(12-COUNTBLANK('Trust Cash Flow'!$D$8:$O$8)))*12))</f>
        <v>-172.76084647230729</v>
      </c>
      <c r="J25" s="424">
        <f t="shared" ca="1" si="1"/>
        <v>942.69190534776794</v>
      </c>
      <c r="K25" s="439">
        <f t="shared" ca="1" si="0"/>
        <v>296.23290952975822</v>
      </c>
      <c r="L25" s="351">
        <f t="shared" ca="1" si="8"/>
        <v>986.26798574031056</v>
      </c>
      <c r="M25" s="439">
        <f t="shared" ca="1" si="2"/>
        <v>299.12460733202801</v>
      </c>
      <c r="N25" s="424">
        <f t="shared" ca="1" si="3"/>
        <v>1134.2878430532962</v>
      </c>
      <c r="O25" s="351">
        <f t="shared" ca="1" si="4"/>
        <v>367.03253867246093</v>
      </c>
      <c r="P25" s="439">
        <f t="shared" ca="1" si="5"/>
        <v>1501.3203817257572</v>
      </c>
      <c r="Q25" s="442">
        <f>IF((SQRT($E25/(12-COUNTBLANK('Trust Cash Flow'!$D$8:$O$8)))*0.0275973662330441)&gt;1,1,SQRT($E25/(12-COUNTBLANK('Trust Cash Flow'!$D$8:$O$8)))*0.0275973662330441)</f>
        <v>0.4379859394641763</v>
      </c>
      <c r="R25" s="439">
        <f t="shared" ca="1" si="9"/>
        <v>1679.7130439587909</v>
      </c>
      <c r="S25" s="439" cm="1">
        <f t="array" aca="1" ref="S25" ca="1">(INDIRECT($B25&amp;"!P36")+INDIRECT($B25&amp;"!P42"))/$D25</f>
        <v>570.30257668711658</v>
      </c>
      <c r="T25" s="424">
        <f t="shared" ca="1" si="6"/>
        <v>2250.0156206459073</v>
      </c>
      <c r="U25" s="351" cm="1">
        <f t="array" aca="1" ref="U25" ca="1">INDIRECT($B25&amp;"!Q10")</f>
        <v>1879.99</v>
      </c>
      <c r="V25" s="570">
        <f t="shared" ca="1" si="7"/>
        <v>0.19682318557327824</v>
      </c>
    </row>
    <row r="26" spans="2:22" ht="18.5" x14ac:dyDescent="0.45">
      <c r="B26" s="5" t="s">
        <v>260</v>
      </c>
      <c r="C26" s="235" t="str">
        <f>'HCC Data Entry'!I21</f>
        <v>Venango Technology Center</v>
      </c>
      <c r="D26" s="346">
        <f>SUMIF('Cash Flow Entry'!$B$3:$B$500,'Rolling Projection'!C26,'Cash Flow Entry'!$D$3:$D$500)</f>
        <v>431</v>
      </c>
      <c r="E26" s="346">
        <f>SUMIF('Cash Flow Entry'!$B$3:$B$500,'Rolling Projection'!C26,'Cash Flow Entry'!$E$3:$E$500)</f>
        <v>1233</v>
      </c>
      <c r="F26" s="425" cm="1">
        <f t="array" aca="1" ref="F26" ca="1">((INDIRECT($B26&amp;"!P18")/(12-COUNTBLANK('Trust Cash Flow'!$D$8:$O$8)))*12)/(($D26/(12-COUNTBLANK('Trust Cash Flow'!$D$8:$O$8)))*12)</f>
        <v>1012.1505800464039</v>
      </c>
      <c r="G26" s="440" cm="1">
        <f t="array" aca="1" ref="G26" ca="1">((INDIRECT($B26&amp;"!P19")/(12-COUNTBLANK('Trust Cash Flow'!$D$8:$O$8)))*12)/(($D26/(12-COUNTBLANK('Trust Cash Flow'!$D$8:$O$8)))*12)</f>
        <v>545.03278422273775</v>
      </c>
      <c r="H26" s="352" cm="1">
        <f t="array" aca="1" ref="H26" ca="1">((((INDIRECT($B26&amp;"!P21")+INDIRECT($B26&amp;"!P23")+INDIRECT($B26&amp;"!P25"))/(12-COUNTBLANK('Trust Cash Flow'!$D$8:$O$8)))*12)/(($D26/(12-COUNTBLANK('Trust Cash Flow'!$D$8:$O$8)))*12))*($F26/SUM($F26:$G26))</f>
        <v>-1.6139158064426899</v>
      </c>
      <c r="I26" s="352" cm="1">
        <f t="array" aca="1" ref="I26" ca="1">(((((INDIRECT($B26&amp;"!P21")+INDIRECT($B26&amp;"!P23")+INDIRECT($B26&amp;"!P25"))/(12-COUNTBLANK('Trust Cash Flow'!$D$8:$O$8)))*12)/(($D26/(12-COUNTBLANK('Trust Cash Flow'!$D$8:$O$8)))*12))*($G26/SUM($F26:$G26)))+((((INDIRECT($B26&amp;"!P24"))/(12-COUNTBLANK('Trust Cash Flow'!$D$8:$O$8)))*12)/(($D26/(12-COUNTBLANK('Trust Cash Flow'!$D$8:$O$8)))*12))</f>
        <v>-110.86907723300047</v>
      </c>
      <c r="J26" s="425">
        <f t="shared" ca="1" si="1"/>
        <v>938.82010246583604</v>
      </c>
      <c r="K26" s="440">
        <f t="shared" ca="1" si="0"/>
        <v>369.48303988339666</v>
      </c>
      <c r="L26" s="352">
        <f t="shared" ca="1" si="8"/>
        <v>990.64453891366804</v>
      </c>
      <c r="M26" s="440">
        <f t="shared" ca="1" si="2"/>
        <v>395.55415629195602</v>
      </c>
      <c r="N26" s="425">
        <f t="shared" ca="1" si="3"/>
        <v>1139.3212326905857</v>
      </c>
      <c r="O26" s="352">
        <f t="shared" ca="1" si="4"/>
        <v>485.35373756505754</v>
      </c>
      <c r="P26" s="440">
        <f t="shared" ca="1" si="5"/>
        <v>1624.6749702556433</v>
      </c>
      <c r="Q26" s="443">
        <f>IF((SQRT($E26/(12-COUNTBLANK('Trust Cash Flow'!$D$8:$O$8)))*0.0275973662330441)&gt;1,1,SQRT($E26/(12-COUNTBLANK('Trust Cash Flow'!$D$8:$O$8)))*0.0275973662330441)</f>
        <v>0.34261327144463122</v>
      </c>
      <c r="R26" s="440">
        <f t="shared" ca="1" si="9"/>
        <v>1752.2488429748241</v>
      </c>
      <c r="S26" s="440" cm="1">
        <f t="array" aca="1" ref="S26" ca="1">(INDIRECT($B26&amp;"!P36")+INDIRECT($B26&amp;"!P42"))/$D26</f>
        <v>744.97387470997705</v>
      </c>
      <c r="T26" s="425">
        <f t="shared" ca="1" si="6"/>
        <v>2497.222717684801</v>
      </c>
      <c r="U26" s="352" cm="1">
        <f t="array" aca="1" ref="U26" ca="1">INDIRECT($B26&amp;"!Q10")</f>
        <v>1904.15</v>
      </c>
      <c r="V26" s="570">
        <f t="shared" ca="1" si="7"/>
        <v>0.31146323434855488</v>
      </c>
    </row>
    <row r="27" spans="2:22" ht="18.5" x14ac:dyDescent="0.45">
      <c r="B27" s="5" t="s">
        <v>261</v>
      </c>
      <c r="C27" s="161" t="str">
        <f>'HCC Data Entry'!I22</f>
        <v>Wattsburg Area School District</v>
      </c>
      <c r="D27" s="345">
        <f>SUMIF('Cash Flow Entry'!$B$3:$B$500,'Rolling Projection'!C27,'Cash Flow Entry'!$D$3:$D$500)</f>
        <v>1231</v>
      </c>
      <c r="E27" s="345">
        <f>SUMIF('Cash Flow Entry'!$B$3:$B$500,'Rolling Projection'!C27,'Cash Flow Entry'!$E$3:$E$500)</f>
        <v>2981</v>
      </c>
      <c r="F27" s="424" cm="1">
        <f t="array" aca="1" ref="F27" ca="1">((INDIRECT($B27&amp;"!P18")/(12-COUNTBLANK('Trust Cash Flow'!$D$8:$O$8)))*12)/(($D27/(12-COUNTBLANK('Trust Cash Flow'!$D$8:$O$8)))*12)</f>
        <v>1184.7077173030057</v>
      </c>
      <c r="G27" s="439" cm="1">
        <f t="array" aca="1" ref="G27" ca="1">((INDIRECT($B27&amp;"!P19")/(12-COUNTBLANK('Trust Cash Flow'!$D$8:$O$8)))*12)/(($D27/(12-COUNTBLANK('Trust Cash Flow'!$D$8:$O$8)))*12)</f>
        <v>890.36493907392355</v>
      </c>
      <c r="H27" s="351" cm="1">
        <f t="array" aca="1" ref="H27" ca="1">((((INDIRECT($B27&amp;"!P21")+INDIRECT($B27&amp;"!P23")+INDIRECT($B27&amp;"!P25"))/(12-COUNTBLANK('Trust Cash Flow'!$D$8:$O$8)))*12)/(($D27/(12-COUNTBLANK('Trust Cash Flow'!$D$8:$O$8)))*12))*($F27/SUM($F27:$G27))</f>
        <v>-158.78405297937624</v>
      </c>
      <c r="I27" s="351" cm="1">
        <f t="array" aca="1" ref="I27" ca="1">(((((INDIRECT($B27&amp;"!P21")+INDIRECT($B27&amp;"!P23")+INDIRECT($B27&amp;"!P25"))/(12-COUNTBLANK('Trust Cash Flow'!$D$8:$O$8)))*12)/(($D27/(12-COUNTBLANK('Trust Cash Flow'!$D$8:$O$8)))*12))*($G27/SUM($F27:$G27)))+((((INDIRECT($B27&amp;"!P24"))/(12-COUNTBLANK('Trust Cash Flow'!$D$8:$O$8)))*12)/(($D27/(12-COUNTBLANK('Trust Cash Flow'!$D$8:$O$8)))*12))</f>
        <v>-229.33386741055062</v>
      </c>
      <c r="J27" s="424">
        <f t="shared" ca="1" si="1"/>
        <v>933.04733086088413</v>
      </c>
      <c r="K27" s="439">
        <f t="shared" ca="1" si="0"/>
        <v>581.91870035423267</v>
      </c>
      <c r="L27" s="351">
        <f ca="1">(J55*$M$29)+(J27*$M$30)</f>
        <v>963.58928375142386</v>
      </c>
      <c r="M27" s="439">
        <f t="shared" ca="1" si="2"/>
        <v>583.47248321335496</v>
      </c>
      <c r="N27" s="424">
        <f t="shared" ca="1" si="3"/>
        <v>1108.2055040398143</v>
      </c>
      <c r="O27" s="351">
        <f t="shared" ca="1" si="4"/>
        <v>715.93369956893071</v>
      </c>
      <c r="P27" s="439">
        <f t="shared" ca="1" si="5"/>
        <v>1824.139203608745</v>
      </c>
      <c r="Q27" s="442">
        <f>IF((SQRT($E27/(12-COUNTBLANK('Trust Cash Flow'!$D$8:$O$8)))*0.0275973662330441)&gt;1,1,SQRT($E27/(12-COUNTBLANK('Trust Cash Flow'!$D$8:$O$8)))*0.0275973662330441)</f>
        <v>0.5327256788401129</v>
      </c>
      <c r="R27" s="439">
        <f t="shared" ca="1" si="9"/>
        <v>1821.6149422335814</v>
      </c>
      <c r="S27" s="439" cm="1">
        <f t="array" aca="1" ref="S27" ca="1">(INDIRECT($B27&amp;"!P36")+INDIRECT($B27&amp;"!P42"))/$D27</f>
        <v>570.2541348497158</v>
      </c>
      <c r="T27" s="424">
        <f t="shared" ca="1" si="6"/>
        <v>2391.8690770832973</v>
      </c>
      <c r="U27" s="351" cm="1">
        <f t="array" aca="1" ref="U27" ca="1">INDIRECT($B27&amp;"!Q10")</f>
        <v>1934.42</v>
      </c>
      <c r="V27" s="570">
        <f t="shared" ca="1" si="7"/>
        <v>0.2364786742709945</v>
      </c>
    </row>
    <row r="28" spans="2:22" s="210" customFormat="1" ht="18.5" x14ac:dyDescent="0.45">
      <c r="B28" s="5" t="s">
        <v>298</v>
      </c>
      <c r="C28" s="241" t="s">
        <v>241</v>
      </c>
      <c r="D28" s="347">
        <f>SUM(D9:D27)</f>
        <v>27353</v>
      </c>
      <c r="E28" s="347">
        <f>SUM(E9:E27)</f>
        <v>77128</v>
      </c>
      <c r="F28" s="426" cm="1">
        <f t="array" aca="1" ref="F28" ca="1">((INDIRECT("'"&amp;$B28&amp;"'!P18")/(12-COUNTBLANK('Trust Cash Flow'!$D$8:$O$8)))*12)/(($D28/(12-COUNTBLANK('Trust Cash Flow'!$D$8:$O$8)))*12)</f>
        <v>1375.6275165429749</v>
      </c>
      <c r="G28" s="353" cm="1">
        <f t="array" aca="1" ref="G28" ca="1">((INDIRECT("'"&amp;$B28&amp;"'!P19")/(12-COUNTBLANK('Trust Cash Flow'!$D$8:$O$8)))*12)/(($D28/(12-COUNTBLANK('Trust Cash Flow'!$D$8:$O$8)))*12)</f>
        <v>625.52483676379188</v>
      </c>
      <c r="H28" s="426" cm="1">
        <f t="array" aca="1" ref="H28" ca="1">((((INDIRECT("'"&amp;$B28&amp;"'!P20")+INDIRECT("'"&amp;$B28&amp;"'!P22")+INDIRECT("'"&amp;$B28&amp;"'!P24"))/(12-COUNTBLANK('Trust Cash Flow'!$D$8:$O$8)))*12)/(($D28/(12-COUNTBLANK('Trust Cash Flow'!$D$8:$O$8)))*12))*($F$28/SUM($F$28:$G$28))</f>
        <v>-82.477937931321875</v>
      </c>
      <c r="I28" s="353" cm="1">
        <f t="array" aca="1" ref="I28" ca="1">(((((INDIRECT("'"&amp;$B28&amp;"'!P20")+INDIRECT("'"&amp;$B28&amp;"'!P22")+INDIRECT("'"&amp;$B28&amp;"'!P24"))/(12-COUNTBLANK('Trust Cash Flow'!$D$8:$O$8)))*12)/(($D28/(12-COUNTBLANK('Trust Cash Flow'!$D$8:$O$8)))*12))*($G28/SUM($F28:$G28)))+((((INDIRECT("'"&amp;$B28&amp;"'!P23"))/(12-COUNTBLANK('Trust Cash Flow'!$D$8:$O$8)))*12)/(($D28/(12-COUNTBLANK('Trust Cash Flow'!$D$8:$O$8)))*12))</f>
        <v>-141.47016355663192</v>
      </c>
      <c r="J28" s="426">
        <f t="shared" ca="1" si="1"/>
        <v>1266.2222250335935</v>
      </c>
      <c r="K28" s="353">
        <f t="shared" ca="1" si="0"/>
        <v>409.40610580501505</v>
      </c>
      <c r="L28" s="353">
        <f ca="1">(J56*M29)+(J28*M30)</f>
        <v>1169.9448900830316</v>
      </c>
      <c r="M28" s="353">
        <f ca="1">(K56*M29)+(K28*M30)</f>
        <v>385.653969059612</v>
      </c>
      <c r="N28" s="426">
        <f t="shared" ca="1" si="3"/>
        <v>1345.53111836779</v>
      </c>
      <c r="O28" s="353">
        <f ca="1">M28*((1+$P$31)^($P$29/12))</f>
        <v>473.20598788431488</v>
      </c>
      <c r="P28" s="353">
        <f ca="1">SUM(N28:O28)</f>
        <v>1818.7371062521049</v>
      </c>
      <c r="Q28" s="455">
        <f>IF((SQRT($E28/(12-COUNTBLANK('Trust Cash Flow'!$D$8:$O$8)))*0.0275973662330441)&gt;1,1,SQRT($E28/(12-COUNTBLANK('Trust Cash Flow'!$D$8:$O$8)))*0.0275973662330441)</f>
        <v>1</v>
      </c>
      <c r="R28" s="353">
        <f ca="1">(P28*Q28)+($P$28*(1-Q28))</f>
        <v>1818.7371062521049</v>
      </c>
      <c r="S28" s="454" cm="1">
        <f t="array" aca="1" ref="S28" ca="1">(INDIRECT("'"&amp;$B28&amp;"'!P36")+INDIRECT("'"&amp;$B28&amp;"'!P42"))/$D28</f>
        <v>529.46764836032617</v>
      </c>
      <c r="T28" s="426">
        <f ca="1">SUM(R28:S28)</f>
        <v>2348.2047546124313</v>
      </c>
      <c r="U28" s="353" cm="1">
        <f t="array" aca="1" ref="U28" ca="1">INDIRECT("'"&amp;$B28&amp;"'!Q10")</f>
        <v>1830.8156856651922</v>
      </c>
      <c r="V28" s="444">
        <f ca="1">(T28-U28)/U28</f>
        <v>0.28260030378713719</v>
      </c>
    </row>
    <row r="29" spans="2:22" ht="15" customHeight="1" x14ac:dyDescent="0.35">
      <c r="C29" s="145"/>
      <c r="D29" s="145"/>
      <c r="E29" s="145"/>
      <c r="F29" s="145"/>
      <c r="G29" s="145"/>
      <c r="H29" s="631" t="s">
        <v>320</v>
      </c>
      <c r="I29" s="631"/>
      <c r="J29" s="573" t="s">
        <v>301</v>
      </c>
      <c r="K29" s="575">
        <f>1-SUM(K30:K31)</f>
        <v>0.60000000000000009</v>
      </c>
      <c r="L29" s="574" t="s">
        <v>395</v>
      </c>
      <c r="M29" s="575">
        <f>J35</f>
        <v>0.5</v>
      </c>
      <c r="N29" s="627" t="s">
        <v>313</v>
      </c>
      <c r="O29" s="627"/>
      <c r="P29" s="576">
        <f>W2</f>
        <v>16</v>
      </c>
      <c r="Q29" s="145"/>
      <c r="R29" s="145"/>
      <c r="S29" s="145"/>
      <c r="T29" s="145"/>
      <c r="U29" s="145"/>
      <c r="V29" s="145"/>
    </row>
    <row r="30" spans="2:22" x14ac:dyDescent="0.35">
      <c r="C30" s="145"/>
      <c r="D30" s="145"/>
      <c r="E30" s="145"/>
      <c r="F30" s="164"/>
      <c r="G30" s="145"/>
      <c r="H30" s="631"/>
      <c r="I30" s="631"/>
      <c r="J30" s="573" t="str">
        <f>H34&amp;":"</f>
        <v>2023-2024:</v>
      </c>
      <c r="K30" s="575">
        <f>H35</f>
        <v>0.35</v>
      </c>
      <c r="L30" s="574" t="s">
        <v>396</v>
      </c>
      <c r="M30" s="575">
        <f>1-M29</f>
        <v>0.5</v>
      </c>
      <c r="N30" s="627" t="s">
        <v>314</v>
      </c>
      <c r="O30" s="627"/>
      <c r="P30" s="577">
        <f ca="1">(((F28+H28)-F56)/(F28+H28))/3</f>
        <v>0.11057081410284726</v>
      </c>
      <c r="Q30" s="145"/>
      <c r="R30" s="145"/>
      <c r="S30" s="145"/>
      <c r="T30" s="145"/>
      <c r="U30" s="145"/>
      <c r="V30" s="145"/>
    </row>
    <row r="31" spans="2:22" x14ac:dyDescent="0.35">
      <c r="C31" s="145"/>
      <c r="D31" s="145"/>
      <c r="E31" s="145"/>
      <c r="F31" s="145"/>
      <c r="G31" s="145"/>
      <c r="H31" s="631"/>
      <c r="I31" s="631"/>
      <c r="J31" s="573" t="str">
        <f>F34&amp;":"</f>
        <v>2022-2023:</v>
      </c>
      <c r="K31" s="575">
        <f>F35</f>
        <v>0.05</v>
      </c>
      <c r="L31" s="441"/>
      <c r="M31" s="441"/>
      <c r="N31" s="627" t="s">
        <v>315</v>
      </c>
      <c r="O31" s="627"/>
      <c r="P31" s="577">
        <f ca="1">(((G28+I28)-G56)/(G28+I28))/3</f>
        <v>0.16584098705348249</v>
      </c>
      <c r="Q31" s="145"/>
      <c r="R31" s="145"/>
      <c r="S31" s="145"/>
      <c r="T31" s="145"/>
      <c r="U31" s="145"/>
      <c r="V31" s="145"/>
    </row>
    <row r="32" spans="2:22" x14ac:dyDescent="0.35">
      <c r="C32" s="145"/>
      <c r="D32" s="145"/>
      <c r="E32" s="145"/>
      <c r="F32" s="145"/>
      <c r="G32" s="145"/>
      <c r="H32" s="631"/>
      <c r="I32" s="631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</row>
    <row r="33" spans="3:22" x14ac:dyDescent="0.35"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</row>
    <row r="34" spans="3:22" x14ac:dyDescent="0.35">
      <c r="C34" s="145"/>
      <c r="D34" s="145"/>
      <c r="E34" s="145"/>
      <c r="F34" s="630" t="s">
        <v>339</v>
      </c>
      <c r="G34" s="630"/>
      <c r="H34" s="630" t="s">
        <v>355</v>
      </c>
      <c r="I34" s="630"/>
      <c r="J34" s="630" t="s">
        <v>393</v>
      </c>
      <c r="K34" s="630"/>
      <c r="L34" s="9"/>
      <c r="M34" s="9"/>
      <c r="N34" s="145"/>
      <c r="O34" s="145"/>
      <c r="P34" s="145"/>
      <c r="Q34" s="145"/>
      <c r="R34" s="145"/>
    </row>
    <row r="35" spans="3:22" x14ac:dyDescent="0.35">
      <c r="C35" s="448" t="s">
        <v>300</v>
      </c>
      <c r="D35" s="210"/>
      <c r="E35" s="210"/>
      <c r="F35" s="628">
        <v>0.05</v>
      </c>
      <c r="G35" s="629"/>
      <c r="H35" s="628">
        <v>0.35</v>
      </c>
      <c r="I35" s="629"/>
      <c r="J35" s="628">
        <v>0.5</v>
      </c>
      <c r="K35" s="629"/>
      <c r="L35" s="449"/>
      <c r="M35" s="445"/>
    </row>
    <row r="36" spans="3:22" x14ac:dyDescent="0.35">
      <c r="F36" s="436" t="s">
        <v>2</v>
      </c>
      <c r="G36" s="437" t="s">
        <v>19</v>
      </c>
      <c r="H36" s="436" t="s">
        <v>2</v>
      </c>
      <c r="I36" s="437" t="s">
        <v>19</v>
      </c>
      <c r="J36" s="436" t="s">
        <v>2</v>
      </c>
      <c r="K36" s="437" t="s">
        <v>19</v>
      </c>
      <c r="L36" s="446"/>
      <c r="M36" s="446"/>
    </row>
    <row r="37" spans="3:22" ht="18.5" x14ac:dyDescent="0.45">
      <c r="C37" s="438" t="s">
        <v>166</v>
      </c>
      <c r="F37" s="431">
        <f>1405.41908675799-418.95</f>
        <v>986.46908675799</v>
      </c>
      <c r="G37" s="432">
        <f>585.312705479452-222.48</f>
        <v>362.83270547945199</v>
      </c>
      <c r="H37" s="431">
        <f>1423.79150217994-299.63</f>
        <v>1124.1615021799398</v>
      </c>
      <c r="I37" s="432">
        <f>656.868398731669-248.24</f>
        <v>408.62839873166899</v>
      </c>
      <c r="J37" s="581">
        <f ca="1">(SUMIFS(Sheet1!D$2:D$241,Sheet1!$A$2:$A$241,"="&amp;$B9,Sheet1!$B$2:$B$241,"&gt;="&amp;$Y$5)+SUMIFS(Sheet2!D$2:D$241,Sheet2!$A$2:$A$241,"="&amp;$B9,Sheet2!$B$2:$B$241,"&lt;="&amp;$Z$5)+((SUMIFS(Sheet1!$F$2:$F$241,Sheet1!$A$2:$A$241,"="&amp;$B9,Sheet1!$B$2:$B$241,"&gt;="&amp;$Y$5)+SUMIFS(Sheet2!$F$2:$F$241,Sheet2!$A$2:$A$241,"="&amp;$B9,Sheet2!$B$2:$B$241,"&lt;="&amp;$Z$5))*((SUMIFS(Sheet1!D$2:D$241,Sheet1!$A$2:$A$241,"="&amp;$B9,Sheet1!$B$2:$B$241,"&gt;="&amp;$Y$5)+SUMIFS(Sheet2!D$2:D$241,Sheet2!$A$2:$A$241,"="&amp;$B9,Sheet2!$B$2:$B$241,"&lt;="&amp;$Z$5))/(SUMIFS(Sheet1!$D$2:$D$241,Sheet1!$A$2:$A$241,"="&amp;$B9,Sheet1!$B$2:$B$241,"&gt;="&amp;$Y$5)+SUMIFS(Sheet1!$E$2:$E$241,Sheet1!$A$2:$A$241,"="&amp;$B9,Sheet1!$B$2:$B$241,"&gt;="&amp;$Y$5)+SUMIFS(Sheet2!$D$2:$D$241,Sheet2!$A$2:$A$241,"="&amp;$B9,Sheet2!$B$2:$B$241,"&lt;="&amp;$Z$5)+SUMIFS(Sheet2!$E$2:$E$241,Sheet2!$A$2:$A$241,"="&amp;$B9,Sheet2!$B$2:$B$241,"&lt;="&amp;$Z$5)))))/(SUMIFS(Sheet1!$C$2:$C$241,Sheet1!$A$2:$A$241,"="&amp;$B9,Sheet1!$B$2:$B$241,"&gt;="&amp;$Y$5)+SUMIFS(Sheet2!$C$2:$C$241,Sheet2!$A$2:$A$241,"="&amp;$B9,Sheet2!$B$2:$B$241,"&lt;="&amp;$Z$5))</f>
        <v>1057.1205427304833</v>
      </c>
      <c r="K37" s="580">
        <f ca="1">(SUMIFS(Sheet1!E$2:E$241,Sheet1!$A$2:$A$241,"="&amp;$B9,Sheet1!$B$2:$B$241,"&gt;="&amp;$Y$5)+SUMIFS(Sheet2!E$2:E$241,Sheet2!$A$2:$A$241,"="&amp;$B9,Sheet2!$B$2:$B$241,"&lt;="&amp;$Z$5)+SUMIFS(Sheet1!$G$2:$G$241,Sheet1!$A$2:$A$241,"="&amp;$B9,Sheet1!$B$2:$B$241,"&gt;="&amp;$Y$5)+SUMIFS(Sheet2!$G$2:$G$241,Sheet2!$A$2:$A$241,"="&amp;$B9,Sheet2!$B$2:$B$241,"&lt;="&amp;$Z$5)+((SUMIFS(Sheet1!$F$2:$F$241,Sheet1!$A$2:$A$241,"="&amp;$B9,Sheet1!$B$2:$B$241,"&gt;="&amp;$Y$5)+SUMIFS(Sheet2!$F$2:$F$241,Sheet2!$A$2:$A$241,"="&amp;$B9,Sheet2!$B$2:$B$241,"&lt;="&amp;$Z$5))*((SUMIFS(Sheet1!E$2:E$241,Sheet1!$A$2:$A$241,"="&amp;$B9,Sheet1!$B$2:$B$241,"&gt;="&amp;$Y$5)+SUMIFS(Sheet2!E$2:E$241,Sheet2!$A$2:$A$241,"="&amp;$B9,Sheet2!$B$2:$B$241,"&lt;="&amp;$Z$5))/(SUMIFS(Sheet1!$D$2:$D$241,Sheet1!$A$2:$A$241,"="&amp;$B9,Sheet1!$B$2:$B$241,"&gt;="&amp;$Y$5)+SUMIFS(Sheet1!$E$2:$E$241,Sheet1!$A$2:$A$241,"="&amp;$B9,Sheet1!$B$2:$B$241,"&gt;="&amp;$Y$5)+SUMIFS(Sheet2!$D$2:$D$241,Sheet2!$A$2:$A$241,"="&amp;$B9,Sheet2!$B$2:$B$241,"&lt;="&amp;$Z$5)+SUMIFS(Sheet2!$E$2:$E$241,Sheet2!$A$2:$A$241,"="&amp;$B9,Sheet2!$B$2:$B$241,"&lt;="&amp;$Z$5)))))/(SUMIFS(Sheet1!$C$2:$C$241,Sheet1!$A$2:$A$241,"="&amp;$B9,Sheet1!$B$2:$B$241,"&gt;="&amp;$Y$5)+SUMIFS(Sheet2!$C$2:$C$241,Sheet2!$A$2:$A$241,"="&amp;$B9,Sheet2!$B$2:$B$241,"&lt;="&amp;$Z$5))</f>
        <v>407.82154027656424</v>
      </c>
      <c r="L37" s="447"/>
      <c r="M37" s="447"/>
    </row>
    <row r="38" spans="3:22" ht="18.5" x14ac:dyDescent="0.45">
      <c r="C38" s="438" t="s">
        <v>167</v>
      </c>
      <c r="F38" s="429">
        <f>938.558943348186-195.69</f>
        <v>742.86894334818589</v>
      </c>
      <c r="G38" s="430">
        <f>438.792571610439-139.49</f>
        <v>299.30257161043897</v>
      </c>
      <c r="H38" s="429">
        <f>1166.53842426187-288.24</f>
        <v>878.29842426186997</v>
      </c>
      <c r="I38" s="447">
        <f>577.790500641848-252.76</f>
        <v>325.03050064184799</v>
      </c>
      <c r="J38" s="584">
        <f ca="1">(SUMIFS(Sheet1!D$2:D$241,Sheet1!$A$2:$A$241,"="&amp;$B10,Sheet1!$B$2:$B$241,"&gt;="&amp;$Y$5)+SUMIFS(Sheet2!D$2:D$241,Sheet2!$A$2:$A$241,"="&amp;$B10,Sheet2!$B$2:$B$241,"&lt;="&amp;$Z$5)+((SUMIFS(Sheet1!$F$2:$F$241,Sheet1!$A$2:$A$241,"="&amp;$B10,Sheet1!$B$2:$B$241,"&gt;="&amp;$Y$5)+SUMIFS(Sheet2!$F$2:$F$241,Sheet2!$A$2:$A$241,"="&amp;$B10,Sheet2!$B$2:$B$241,"&lt;="&amp;$Z$5))*((SUMIFS(Sheet1!D$2:D$241,Sheet1!$A$2:$A$241,"="&amp;$B10,Sheet1!$B$2:$B$241,"&gt;="&amp;$Y$5)+SUMIFS(Sheet2!D$2:D$241,Sheet2!$A$2:$A$241,"="&amp;$B10,Sheet2!$B$2:$B$241,"&lt;="&amp;$Z$5))/(SUMIFS(Sheet1!$D$2:$D$241,Sheet1!$A$2:$A$241,"="&amp;$B10,Sheet1!$B$2:$B$241,"&gt;="&amp;$Y$5)+SUMIFS(Sheet1!$E$2:$E$241,Sheet1!$A$2:$A$241,"="&amp;$B10,Sheet1!$B$2:$B$241,"&gt;="&amp;$Y$5)+SUMIFS(Sheet2!$D$2:$D$241,Sheet2!$A$2:$A$241,"="&amp;$B10,Sheet2!$B$2:$B$241,"&lt;="&amp;$Z$5)+SUMIFS(Sheet2!$E$2:$E$241,Sheet2!$A$2:$A$241,"="&amp;$B10,Sheet2!$B$2:$B$241,"&lt;="&amp;$Z$5)))))/(SUMIFS(Sheet1!$C$2:$C$241,Sheet1!$A$2:$A$241,"="&amp;$B10,Sheet1!$B$2:$B$241,"&gt;="&amp;$Y$5)+SUMIFS(Sheet2!$C$2:$C$241,Sheet2!$A$2:$A$241,"="&amp;$B10,Sheet2!$B$2:$B$241,"&lt;="&amp;$Z$5))</f>
        <v>969.5959720728714</v>
      </c>
      <c r="K38" s="585">
        <f ca="1">(SUMIFS(Sheet1!E$2:E$241,Sheet1!$A$2:$A$241,"="&amp;$B10,Sheet1!$B$2:$B$241,"&gt;="&amp;$Y$5)+SUMIFS(Sheet2!E$2:E$241,Sheet2!$A$2:$A$241,"="&amp;$B10,Sheet2!$B$2:$B$241,"&lt;="&amp;$Z$5)+SUMIFS(Sheet1!$G$2:$G$241,Sheet1!$A$2:$A$241,"="&amp;$B10,Sheet1!$B$2:$B$241,"&gt;="&amp;$Y$5)+SUMIFS(Sheet2!$G$2:$G$241,Sheet2!$A$2:$A$241,"="&amp;$B10,Sheet2!$B$2:$B$241,"&lt;="&amp;$Z$5)+((SUMIFS(Sheet1!$F$2:$F$241,Sheet1!$A$2:$A$241,"="&amp;$B10,Sheet1!$B$2:$B$241,"&gt;="&amp;$Y$5)+SUMIFS(Sheet2!$F$2:$F$241,Sheet2!$A$2:$A$241,"="&amp;$B10,Sheet2!$B$2:$B$241,"&lt;="&amp;$Z$5))*((SUMIFS(Sheet1!E$2:E$241,Sheet1!$A$2:$A$241,"="&amp;$B10,Sheet1!$B$2:$B$241,"&gt;="&amp;$Y$5)+SUMIFS(Sheet2!E$2:E$241,Sheet2!$A$2:$A$241,"="&amp;$B10,Sheet2!$B$2:$B$241,"&lt;="&amp;$Z$5))/(SUMIFS(Sheet1!$D$2:$D$241,Sheet1!$A$2:$A$241,"="&amp;$B10,Sheet1!$B$2:$B$241,"&gt;="&amp;$Y$5)+SUMIFS(Sheet1!$E$2:$E$241,Sheet1!$A$2:$A$241,"="&amp;$B10,Sheet1!$B$2:$B$241,"&gt;="&amp;$Y$5)+SUMIFS(Sheet2!$D$2:$D$241,Sheet2!$A$2:$A$241,"="&amp;$B10,Sheet2!$B$2:$B$241,"&lt;="&amp;$Z$5)+SUMIFS(Sheet2!$E$2:$E$241,Sheet2!$A$2:$A$241,"="&amp;$B10,Sheet2!$B$2:$B$241,"&lt;="&amp;$Z$5)))))/(SUMIFS(Sheet1!$C$2:$C$241,Sheet1!$A$2:$A$241,"="&amp;$B10,Sheet1!$B$2:$B$241,"&gt;="&amp;$Y$5)+SUMIFS(Sheet2!$C$2:$C$241,Sheet2!$A$2:$A$241,"="&amp;$B10,Sheet2!$B$2:$B$241,"&lt;="&amp;$Z$5))</f>
        <v>428.22832248561667</v>
      </c>
      <c r="L38" s="447"/>
      <c r="M38" s="447"/>
    </row>
    <row r="39" spans="3:22" ht="18.5" x14ac:dyDescent="0.45">
      <c r="C39" s="438" t="s">
        <v>168</v>
      </c>
      <c r="F39" s="429">
        <f>1248.37677148847-227.22</f>
        <v>1021.15677148847</v>
      </c>
      <c r="G39" s="430">
        <f>727.278825995807-180.37</f>
        <v>546.90882599580698</v>
      </c>
      <c r="H39" s="429">
        <f>1111.03879345603-28.47</f>
        <v>1082.5687934560299</v>
      </c>
      <c r="I39" s="447">
        <f>830.729304703476-131.29</f>
        <v>699.43930470347607</v>
      </c>
      <c r="J39" s="584">
        <f ca="1">(SUMIFS(Sheet1!D$2:D$241,Sheet1!$A$2:$A$241,"="&amp;$B11,Sheet1!$B$2:$B$241,"&gt;="&amp;$Y$5)+SUMIFS(Sheet2!D$2:D$241,Sheet2!$A$2:$A$241,"="&amp;$B11,Sheet2!$B$2:$B$241,"&lt;="&amp;$Z$5)+((SUMIFS(Sheet1!$F$2:$F$241,Sheet1!$A$2:$A$241,"="&amp;$B11,Sheet1!$B$2:$B$241,"&gt;="&amp;$Y$5)+SUMIFS(Sheet2!$F$2:$F$241,Sheet2!$A$2:$A$241,"="&amp;$B11,Sheet2!$B$2:$B$241,"&lt;="&amp;$Z$5))*((SUMIFS(Sheet1!D$2:D$241,Sheet1!$A$2:$A$241,"="&amp;$B11,Sheet1!$B$2:$B$241,"&gt;="&amp;$Y$5)+SUMIFS(Sheet2!D$2:D$241,Sheet2!$A$2:$A$241,"="&amp;$B11,Sheet2!$B$2:$B$241,"&lt;="&amp;$Z$5))/(SUMIFS(Sheet1!$D$2:$D$241,Sheet1!$A$2:$A$241,"="&amp;$B11,Sheet1!$B$2:$B$241,"&gt;="&amp;$Y$5)+SUMIFS(Sheet1!$E$2:$E$241,Sheet1!$A$2:$A$241,"="&amp;$B11,Sheet1!$B$2:$B$241,"&gt;="&amp;$Y$5)+SUMIFS(Sheet2!$D$2:$D$241,Sheet2!$A$2:$A$241,"="&amp;$B11,Sheet2!$B$2:$B$241,"&lt;="&amp;$Z$5)+SUMIFS(Sheet2!$E$2:$E$241,Sheet2!$A$2:$A$241,"="&amp;$B11,Sheet2!$B$2:$B$241,"&lt;="&amp;$Z$5)))))/(SUMIFS(Sheet1!$C$2:$C$241,Sheet1!$A$2:$A$241,"="&amp;$B11,Sheet1!$B$2:$B$241,"&gt;="&amp;$Y$5)+SUMIFS(Sheet2!$C$2:$C$241,Sheet2!$A$2:$A$241,"="&amp;$B11,Sheet2!$B$2:$B$241,"&lt;="&amp;$Z$5))</f>
        <v>983.28123757770447</v>
      </c>
      <c r="K39" s="585">
        <f ca="1">(SUMIFS(Sheet1!E$2:E$241,Sheet1!$A$2:$A$241,"="&amp;$B11,Sheet1!$B$2:$B$241,"&gt;="&amp;$Y$5)+SUMIFS(Sheet2!E$2:E$241,Sheet2!$A$2:$A$241,"="&amp;$B11,Sheet2!$B$2:$B$241,"&lt;="&amp;$Z$5)+SUMIFS(Sheet1!$G$2:$G$241,Sheet1!$A$2:$A$241,"="&amp;$B11,Sheet1!$B$2:$B$241,"&gt;="&amp;$Y$5)+SUMIFS(Sheet2!$G$2:$G$241,Sheet2!$A$2:$A$241,"="&amp;$B11,Sheet2!$B$2:$B$241,"&lt;="&amp;$Z$5)+((SUMIFS(Sheet1!$F$2:$F$241,Sheet1!$A$2:$A$241,"="&amp;$B11,Sheet1!$B$2:$B$241,"&gt;="&amp;$Y$5)+SUMIFS(Sheet2!$F$2:$F$241,Sheet2!$A$2:$A$241,"="&amp;$B11,Sheet2!$B$2:$B$241,"&lt;="&amp;$Z$5))*((SUMIFS(Sheet1!E$2:E$241,Sheet1!$A$2:$A$241,"="&amp;$B11,Sheet1!$B$2:$B$241,"&gt;="&amp;$Y$5)+SUMIFS(Sheet2!E$2:E$241,Sheet2!$A$2:$A$241,"="&amp;$B11,Sheet2!$B$2:$B$241,"&lt;="&amp;$Z$5))/(SUMIFS(Sheet1!$D$2:$D$241,Sheet1!$A$2:$A$241,"="&amp;$B11,Sheet1!$B$2:$B$241,"&gt;="&amp;$Y$5)+SUMIFS(Sheet1!$E$2:$E$241,Sheet1!$A$2:$A$241,"="&amp;$B11,Sheet1!$B$2:$B$241,"&gt;="&amp;$Y$5)+SUMIFS(Sheet2!$D$2:$D$241,Sheet2!$A$2:$A$241,"="&amp;$B11,Sheet2!$B$2:$B$241,"&lt;="&amp;$Z$5)+SUMIFS(Sheet2!$E$2:$E$241,Sheet2!$A$2:$A$241,"="&amp;$B11,Sheet2!$B$2:$B$241,"&lt;="&amp;$Z$5)))))/(SUMIFS(Sheet1!$C$2:$C$241,Sheet1!$A$2:$A$241,"="&amp;$B11,Sheet1!$B$2:$B$241,"&gt;="&amp;$Y$5)+SUMIFS(Sheet2!$C$2:$C$241,Sheet2!$A$2:$A$241,"="&amp;$B11,Sheet2!$B$2:$B$241,"&lt;="&amp;$Z$5))</f>
        <v>651.69855277868976</v>
      </c>
      <c r="L39" s="447"/>
      <c r="M39" s="447"/>
    </row>
    <row r="40" spans="3:22" ht="18.5" x14ac:dyDescent="0.45">
      <c r="C40" s="438" t="s">
        <v>169</v>
      </c>
      <c r="F40" s="429">
        <f>1027.47743267505-251.9</f>
        <v>775.57743267505009</v>
      </c>
      <c r="G40" s="430">
        <f>310.067666068223-124.02</f>
        <v>186.04766606822301</v>
      </c>
      <c r="H40" s="429">
        <f>652.036647619047-21.03</f>
        <v>631.00664761904704</v>
      </c>
      <c r="I40" s="447">
        <f>369.731104761905-121.92</f>
        <v>247.81110476190497</v>
      </c>
      <c r="J40" s="584">
        <f ca="1">(SUMIFS(Sheet1!D$2:D$241,Sheet1!$A$2:$A$241,"="&amp;$B12,Sheet1!$B$2:$B$241,"&gt;="&amp;$Y$5)+SUMIFS(Sheet2!D$2:D$241,Sheet2!$A$2:$A$241,"="&amp;$B12,Sheet2!$B$2:$B$241,"&lt;="&amp;$Z$5)+((SUMIFS(Sheet1!$F$2:$F$241,Sheet1!$A$2:$A$241,"="&amp;$B12,Sheet1!$B$2:$B$241,"&gt;="&amp;$Y$5)+SUMIFS(Sheet2!$F$2:$F$241,Sheet2!$A$2:$A$241,"="&amp;$B12,Sheet2!$B$2:$B$241,"&lt;="&amp;$Z$5))*((SUMIFS(Sheet1!D$2:D$241,Sheet1!$A$2:$A$241,"="&amp;$B12,Sheet1!$B$2:$B$241,"&gt;="&amp;$Y$5)+SUMIFS(Sheet2!D$2:D$241,Sheet2!$A$2:$A$241,"="&amp;$B12,Sheet2!$B$2:$B$241,"&lt;="&amp;$Z$5))/(SUMIFS(Sheet1!$D$2:$D$241,Sheet1!$A$2:$A$241,"="&amp;$B12,Sheet1!$B$2:$B$241,"&gt;="&amp;$Y$5)+SUMIFS(Sheet1!$E$2:$E$241,Sheet1!$A$2:$A$241,"="&amp;$B12,Sheet1!$B$2:$B$241,"&gt;="&amp;$Y$5)+SUMIFS(Sheet2!$D$2:$D$241,Sheet2!$A$2:$A$241,"="&amp;$B12,Sheet2!$B$2:$B$241,"&lt;="&amp;$Z$5)+SUMIFS(Sheet2!$E$2:$E$241,Sheet2!$A$2:$A$241,"="&amp;$B12,Sheet2!$B$2:$B$241,"&lt;="&amp;$Z$5)))))/(SUMIFS(Sheet1!$C$2:$C$241,Sheet1!$A$2:$A$241,"="&amp;$B12,Sheet1!$B$2:$B$241,"&gt;="&amp;$Y$5)+SUMIFS(Sheet2!$C$2:$C$241,Sheet2!$A$2:$A$241,"="&amp;$B12,Sheet2!$B$2:$B$241,"&lt;="&amp;$Z$5))</f>
        <v>778.2685944810612</v>
      </c>
      <c r="K40" s="585">
        <f ca="1">(SUMIFS(Sheet1!E$2:E$241,Sheet1!$A$2:$A$241,"="&amp;$B12,Sheet1!$B$2:$B$241,"&gt;="&amp;$Y$5)+SUMIFS(Sheet2!E$2:E$241,Sheet2!$A$2:$A$241,"="&amp;$B12,Sheet2!$B$2:$B$241,"&lt;="&amp;$Z$5)+SUMIFS(Sheet1!$G$2:$G$241,Sheet1!$A$2:$A$241,"="&amp;$B12,Sheet1!$B$2:$B$241,"&gt;="&amp;$Y$5)+SUMIFS(Sheet2!$G$2:$G$241,Sheet2!$A$2:$A$241,"="&amp;$B12,Sheet2!$B$2:$B$241,"&lt;="&amp;$Z$5)+((SUMIFS(Sheet1!$F$2:$F$241,Sheet1!$A$2:$A$241,"="&amp;$B12,Sheet1!$B$2:$B$241,"&gt;="&amp;$Y$5)+SUMIFS(Sheet2!$F$2:$F$241,Sheet2!$A$2:$A$241,"="&amp;$B12,Sheet2!$B$2:$B$241,"&lt;="&amp;$Z$5))*((SUMIFS(Sheet1!E$2:E$241,Sheet1!$A$2:$A$241,"="&amp;$B12,Sheet1!$B$2:$B$241,"&gt;="&amp;$Y$5)+SUMIFS(Sheet2!E$2:E$241,Sheet2!$A$2:$A$241,"="&amp;$B12,Sheet2!$B$2:$B$241,"&lt;="&amp;$Z$5))/(SUMIFS(Sheet1!$D$2:$D$241,Sheet1!$A$2:$A$241,"="&amp;$B12,Sheet1!$B$2:$B$241,"&gt;="&amp;$Y$5)+SUMIFS(Sheet1!$E$2:$E$241,Sheet1!$A$2:$A$241,"="&amp;$B12,Sheet1!$B$2:$B$241,"&gt;="&amp;$Y$5)+SUMIFS(Sheet2!$D$2:$D$241,Sheet2!$A$2:$A$241,"="&amp;$B12,Sheet2!$B$2:$B$241,"&lt;="&amp;$Z$5)+SUMIFS(Sheet2!$E$2:$E$241,Sheet2!$A$2:$A$241,"="&amp;$B12,Sheet2!$B$2:$B$241,"&lt;="&amp;$Z$5)))))/(SUMIFS(Sheet1!$C$2:$C$241,Sheet1!$A$2:$A$241,"="&amp;$B12,Sheet1!$B$2:$B$241,"&gt;="&amp;$Y$5)+SUMIFS(Sheet2!$C$2:$C$241,Sheet2!$A$2:$A$241,"="&amp;$B12,Sheet2!$B$2:$B$241,"&lt;="&amp;$Z$5))</f>
        <v>506.97571351114124</v>
      </c>
      <c r="L40" s="447"/>
      <c r="M40" s="447"/>
    </row>
    <row r="41" spans="3:22" ht="18.5" x14ac:dyDescent="0.45">
      <c r="C41" s="438" t="s">
        <v>170</v>
      </c>
      <c r="F41" s="429">
        <f>1581.96182159624-760.72</f>
        <v>821.24182159624002</v>
      </c>
      <c r="G41" s="430">
        <f>403.982248826291-242.26</f>
        <v>161.72224882629104</v>
      </c>
      <c r="H41" s="429">
        <f>1842.42240524099-676.91</f>
        <v>1165.5124052409901</v>
      </c>
      <c r="I41" s="447">
        <f>559.014487599438-315.38</f>
        <v>243.63448759943799</v>
      </c>
      <c r="J41" s="584">
        <f ca="1">(SUMIFS(Sheet1!D$2:D$241,Sheet1!$A$2:$A$241,"="&amp;$B13,Sheet1!$B$2:$B$241,"&gt;="&amp;$Y$5)+SUMIFS(Sheet2!D$2:D$241,Sheet2!$A$2:$A$241,"="&amp;$B13,Sheet2!$B$2:$B$241,"&lt;="&amp;$Z$5)+((SUMIFS(Sheet1!$F$2:$F$241,Sheet1!$A$2:$A$241,"="&amp;$B13,Sheet1!$B$2:$B$241,"&gt;="&amp;$Y$5)+SUMIFS(Sheet2!$F$2:$F$241,Sheet2!$A$2:$A$241,"="&amp;$B13,Sheet2!$B$2:$B$241,"&lt;="&amp;$Z$5))*((SUMIFS(Sheet1!D$2:D$241,Sheet1!$A$2:$A$241,"="&amp;$B13,Sheet1!$B$2:$B$241,"&gt;="&amp;$Y$5)+SUMIFS(Sheet2!D$2:D$241,Sheet2!$A$2:$A$241,"="&amp;$B13,Sheet2!$B$2:$B$241,"&lt;="&amp;$Z$5))/(SUMIFS(Sheet1!$D$2:$D$241,Sheet1!$A$2:$A$241,"="&amp;$B13,Sheet1!$B$2:$B$241,"&gt;="&amp;$Y$5)+SUMIFS(Sheet1!$E$2:$E$241,Sheet1!$A$2:$A$241,"="&amp;$B13,Sheet1!$B$2:$B$241,"&gt;="&amp;$Y$5)+SUMIFS(Sheet2!$D$2:$D$241,Sheet2!$A$2:$A$241,"="&amp;$B13,Sheet2!$B$2:$B$241,"&lt;="&amp;$Z$5)+SUMIFS(Sheet2!$E$2:$E$241,Sheet2!$A$2:$A$241,"="&amp;$B13,Sheet2!$B$2:$B$241,"&lt;="&amp;$Z$5)))))/(SUMIFS(Sheet1!$C$2:$C$241,Sheet1!$A$2:$A$241,"="&amp;$B13,Sheet1!$B$2:$B$241,"&gt;="&amp;$Y$5)+SUMIFS(Sheet2!$C$2:$C$241,Sheet2!$A$2:$A$241,"="&amp;$B13,Sheet2!$B$2:$B$241,"&lt;="&amp;$Z$5))</f>
        <v>1270.5559844972843</v>
      </c>
      <c r="K41" s="585">
        <f ca="1">(SUMIFS(Sheet1!E$2:E$241,Sheet1!$A$2:$A$241,"="&amp;$B13,Sheet1!$B$2:$B$241,"&gt;="&amp;$Y$5)+SUMIFS(Sheet2!E$2:E$241,Sheet2!$A$2:$A$241,"="&amp;$B13,Sheet2!$B$2:$B$241,"&lt;="&amp;$Z$5)+SUMIFS(Sheet1!$G$2:$G$241,Sheet1!$A$2:$A$241,"="&amp;$B13,Sheet1!$B$2:$B$241,"&gt;="&amp;$Y$5)+SUMIFS(Sheet2!$G$2:$G$241,Sheet2!$A$2:$A$241,"="&amp;$B13,Sheet2!$B$2:$B$241,"&lt;="&amp;$Z$5)+((SUMIFS(Sheet1!$F$2:$F$241,Sheet1!$A$2:$A$241,"="&amp;$B13,Sheet1!$B$2:$B$241,"&gt;="&amp;$Y$5)+SUMIFS(Sheet2!$F$2:$F$241,Sheet2!$A$2:$A$241,"="&amp;$B13,Sheet2!$B$2:$B$241,"&lt;="&amp;$Z$5))*((SUMIFS(Sheet1!E$2:E$241,Sheet1!$A$2:$A$241,"="&amp;$B13,Sheet1!$B$2:$B$241,"&gt;="&amp;$Y$5)+SUMIFS(Sheet2!E$2:E$241,Sheet2!$A$2:$A$241,"="&amp;$B13,Sheet2!$B$2:$B$241,"&lt;="&amp;$Z$5))/(SUMIFS(Sheet1!$D$2:$D$241,Sheet1!$A$2:$A$241,"="&amp;$B13,Sheet1!$B$2:$B$241,"&gt;="&amp;$Y$5)+SUMIFS(Sheet1!$E$2:$E$241,Sheet1!$A$2:$A$241,"="&amp;$B13,Sheet1!$B$2:$B$241,"&gt;="&amp;$Y$5)+SUMIFS(Sheet2!$D$2:$D$241,Sheet2!$A$2:$A$241,"="&amp;$B13,Sheet2!$B$2:$B$241,"&lt;="&amp;$Z$5)+SUMIFS(Sheet2!$E$2:$E$241,Sheet2!$A$2:$A$241,"="&amp;$B13,Sheet2!$B$2:$B$241,"&lt;="&amp;$Z$5)))))/(SUMIFS(Sheet1!$C$2:$C$241,Sheet1!$A$2:$A$241,"="&amp;$B13,Sheet1!$B$2:$B$241,"&gt;="&amp;$Y$5)+SUMIFS(Sheet2!$C$2:$C$241,Sheet2!$A$2:$A$241,"="&amp;$B13,Sheet2!$B$2:$B$241,"&lt;="&amp;$Z$5))</f>
        <v>398.87732284216526</v>
      </c>
      <c r="L41" s="447"/>
      <c r="M41" s="447"/>
    </row>
    <row r="42" spans="3:22" ht="18.5" x14ac:dyDescent="0.45">
      <c r="C42" s="438" t="s">
        <v>171</v>
      </c>
      <c r="F42" s="429">
        <f>1016.70008112981-306.53</f>
        <v>710.17008112981</v>
      </c>
      <c r="G42" s="430">
        <f>314.281820913462-142.76</f>
        <v>171.52182091346202</v>
      </c>
      <c r="H42" s="429">
        <f>1004.8223356144-187.88</f>
        <v>816.94233561440001</v>
      </c>
      <c r="I42" s="447">
        <f>395.586492115442-183.97</f>
        <v>211.61649211544201</v>
      </c>
      <c r="J42" s="584">
        <f ca="1">(SUMIFS(Sheet1!D$2:D$241,Sheet1!$A$2:$A$241,"="&amp;$B14,Sheet1!$B$2:$B$241,"&gt;="&amp;$Y$5)+SUMIFS(Sheet2!D$2:D$241,Sheet2!$A$2:$A$241,"="&amp;$B14,Sheet2!$B$2:$B$241,"&lt;="&amp;$Z$5)+((SUMIFS(Sheet1!$F$2:$F$241,Sheet1!$A$2:$A$241,"="&amp;$B14,Sheet1!$B$2:$B$241,"&gt;="&amp;$Y$5)+SUMIFS(Sheet2!$F$2:$F$241,Sheet2!$A$2:$A$241,"="&amp;$B14,Sheet2!$B$2:$B$241,"&lt;="&amp;$Z$5))*((SUMIFS(Sheet1!D$2:D$241,Sheet1!$A$2:$A$241,"="&amp;$B14,Sheet1!$B$2:$B$241,"&gt;="&amp;$Y$5)+SUMIFS(Sheet2!D$2:D$241,Sheet2!$A$2:$A$241,"="&amp;$B14,Sheet2!$B$2:$B$241,"&lt;="&amp;$Z$5))/(SUMIFS(Sheet1!$D$2:$D$241,Sheet1!$A$2:$A$241,"="&amp;$B14,Sheet1!$B$2:$B$241,"&gt;="&amp;$Y$5)+SUMIFS(Sheet1!$E$2:$E$241,Sheet1!$A$2:$A$241,"="&amp;$B14,Sheet1!$B$2:$B$241,"&gt;="&amp;$Y$5)+SUMIFS(Sheet2!$D$2:$D$241,Sheet2!$A$2:$A$241,"="&amp;$B14,Sheet2!$B$2:$B$241,"&lt;="&amp;$Z$5)+SUMIFS(Sheet2!$E$2:$E$241,Sheet2!$A$2:$A$241,"="&amp;$B14,Sheet2!$B$2:$B$241,"&lt;="&amp;$Z$5)))))/(SUMIFS(Sheet1!$C$2:$C$241,Sheet1!$A$2:$A$241,"="&amp;$B14,Sheet1!$B$2:$B$241,"&gt;="&amp;$Y$5)+SUMIFS(Sheet2!$C$2:$C$241,Sheet2!$A$2:$A$241,"="&amp;$B14,Sheet2!$B$2:$B$241,"&lt;="&amp;$Z$5))</f>
        <v>877.611929068927</v>
      </c>
      <c r="K42" s="585">
        <f ca="1">(SUMIFS(Sheet1!E$2:E$241,Sheet1!$A$2:$A$241,"="&amp;$B14,Sheet1!$B$2:$B$241,"&gt;="&amp;$Y$5)+SUMIFS(Sheet2!E$2:E$241,Sheet2!$A$2:$A$241,"="&amp;$B14,Sheet2!$B$2:$B$241,"&lt;="&amp;$Z$5)+SUMIFS(Sheet1!$G$2:$G$241,Sheet1!$A$2:$A$241,"="&amp;$B14,Sheet1!$B$2:$B$241,"&gt;="&amp;$Y$5)+SUMIFS(Sheet2!$G$2:$G$241,Sheet2!$A$2:$A$241,"="&amp;$B14,Sheet2!$B$2:$B$241,"&lt;="&amp;$Z$5)+((SUMIFS(Sheet1!$F$2:$F$241,Sheet1!$A$2:$A$241,"="&amp;$B14,Sheet1!$B$2:$B$241,"&gt;="&amp;$Y$5)+SUMIFS(Sheet2!$F$2:$F$241,Sheet2!$A$2:$A$241,"="&amp;$B14,Sheet2!$B$2:$B$241,"&lt;="&amp;$Z$5))*((SUMIFS(Sheet1!E$2:E$241,Sheet1!$A$2:$A$241,"="&amp;$B14,Sheet1!$B$2:$B$241,"&gt;="&amp;$Y$5)+SUMIFS(Sheet2!E$2:E$241,Sheet2!$A$2:$A$241,"="&amp;$B14,Sheet2!$B$2:$B$241,"&lt;="&amp;$Z$5))/(SUMIFS(Sheet1!$D$2:$D$241,Sheet1!$A$2:$A$241,"="&amp;$B14,Sheet1!$B$2:$B$241,"&gt;="&amp;$Y$5)+SUMIFS(Sheet1!$E$2:$E$241,Sheet1!$A$2:$A$241,"="&amp;$B14,Sheet1!$B$2:$B$241,"&gt;="&amp;$Y$5)+SUMIFS(Sheet2!$D$2:$D$241,Sheet2!$A$2:$A$241,"="&amp;$B14,Sheet2!$B$2:$B$241,"&lt;="&amp;$Z$5)+SUMIFS(Sheet2!$E$2:$E$241,Sheet2!$A$2:$A$241,"="&amp;$B14,Sheet2!$B$2:$B$241,"&lt;="&amp;$Z$5)))))/(SUMIFS(Sheet1!$C$2:$C$241,Sheet1!$A$2:$A$241,"="&amp;$B14,Sheet1!$B$2:$B$241,"&gt;="&amp;$Y$5)+SUMIFS(Sheet2!$C$2:$C$241,Sheet2!$A$2:$A$241,"="&amp;$B14,Sheet2!$B$2:$B$241,"&lt;="&amp;$Z$5))</f>
        <v>294.40833377809008</v>
      </c>
      <c r="L42" s="447"/>
      <c r="M42" s="447"/>
    </row>
    <row r="43" spans="3:22" ht="18.5" x14ac:dyDescent="0.45">
      <c r="C43" s="438" t="s">
        <v>215</v>
      </c>
      <c r="F43" s="429">
        <f>994.859166666667-197.38</f>
        <v>797.47916666666697</v>
      </c>
      <c r="G43" s="430">
        <f>337.746093544137-115.01</f>
        <v>222.73609354413702</v>
      </c>
      <c r="H43" s="429">
        <f>1185.13048666667-153.86</f>
        <v>1031.27048666667</v>
      </c>
      <c r="I43" s="447">
        <f>336.77838-153.72</f>
        <v>183.05838000000003</v>
      </c>
      <c r="J43" s="584">
        <f ca="1">(SUMIFS(Sheet1!D$2:D$241,Sheet1!$A$2:$A$241,"="&amp;$B15,Sheet1!$B$2:$B$241,"&gt;="&amp;$Y$5)+SUMIFS(Sheet2!D$2:D$241,Sheet2!$A$2:$A$241,"="&amp;$B15,Sheet2!$B$2:$B$241,"&lt;="&amp;$Z$5)+((SUMIFS(Sheet1!$F$2:$F$241,Sheet1!$A$2:$A$241,"="&amp;$B15,Sheet1!$B$2:$B$241,"&gt;="&amp;$Y$5)+SUMIFS(Sheet2!$F$2:$F$241,Sheet2!$A$2:$A$241,"="&amp;$B15,Sheet2!$B$2:$B$241,"&lt;="&amp;$Z$5))*((SUMIFS(Sheet1!D$2:D$241,Sheet1!$A$2:$A$241,"="&amp;$B15,Sheet1!$B$2:$B$241,"&gt;="&amp;$Y$5)+SUMIFS(Sheet2!D$2:D$241,Sheet2!$A$2:$A$241,"="&amp;$B15,Sheet2!$B$2:$B$241,"&lt;="&amp;$Z$5))/(SUMIFS(Sheet1!$D$2:$D$241,Sheet1!$A$2:$A$241,"="&amp;$B15,Sheet1!$B$2:$B$241,"&gt;="&amp;$Y$5)+SUMIFS(Sheet1!$E$2:$E$241,Sheet1!$A$2:$A$241,"="&amp;$B15,Sheet1!$B$2:$B$241,"&gt;="&amp;$Y$5)+SUMIFS(Sheet2!$D$2:$D$241,Sheet2!$A$2:$A$241,"="&amp;$B15,Sheet2!$B$2:$B$241,"&lt;="&amp;$Z$5)+SUMIFS(Sheet2!$E$2:$E$241,Sheet2!$A$2:$A$241,"="&amp;$B15,Sheet2!$B$2:$B$241,"&lt;="&amp;$Z$5)))))/(SUMIFS(Sheet1!$C$2:$C$241,Sheet1!$A$2:$A$241,"="&amp;$B15,Sheet1!$B$2:$B$241,"&gt;="&amp;$Y$5)+SUMIFS(Sheet2!$C$2:$C$241,Sheet2!$A$2:$A$241,"="&amp;$B15,Sheet2!$B$2:$B$241,"&lt;="&amp;$Z$5))</f>
        <v>985.39916696894659</v>
      </c>
      <c r="K43" s="585">
        <f ca="1">(SUMIFS(Sheet1!E$2:E$241,Sheet1!$A$2:$A$241,"="&amp;$B15,Sheet1!$B$2:$B$241,"&gt;="&amp;$Y$5)+SUMIFS(Sheet2!E$2:E$241,Sheet2!$A$2:$A$241,"="&amp;$B15,Sheet2!$B$2:$B$241,"&lt;="&amp;$Z$5)+SUMIFS(Sheet1!$G$2:$G$241,Sheet1!$A$2:$A$241,"="&amp;$B15,Sheet1!$B$2:$B$241,"&gt;="&amp;$Y$5)+SUMIFS(Sheet2!$G$2:$G$241,Sheet2!$A$2:$A$241,"="&amp;$B15,Sheet2!$B$2:$B$241,"&lt;="&amp;$Z$5)+((SUMIFS(Sheet1!$F$2:$F$241,Sheet1!$A$2:$A$241,"="&amp;$B15,Sheet1!$B$2:$B$241,"&gt;="&amp;$Y$5)+SUMIFS(Sheet2!$F$2:$F$241,Sheet2!$A$2:$A$241,"="&amp;$B15,Sheet2!$B$2:$B$241,"&lt;="&amp;$Z$5))*((SUMIFS(Sheet1!E$2:E$241,Sheet1!$A$2:$A$241,"="&amp;$B15,Sheet1!$B$2:$B$241,"&gt;="&amp;$Y$5)+SUMIFS(Sheet2!E$2:E$241,Sheet2!$A$2:$A$241,"="&amp;$B15,Sheet2!$B$2:$B$241,"&lt;="&amp;$Z$5))/(SUMIFS(Sheet1!$D$2:$D$241,Sheet1!$A$2:$A$241,"="&amp;$B15,Sheet1!$B$2:$B$241,"&gt;="&amp;$Y$5)+SUMIFS(Sheet1!$E$2:$E$241,Sheet1!$A$2:$A$241,"="&amp;$B15,Sheet1!$B$2:$B$241,"&gt;="&amp;$Y$5)+SUMIFS(Sheet2!$D$2:$D$241,Sheet2!$A$2:$A$241,"="&amp;$B15,Sheet2!$B$2:$B$241,"&lt;="&amp;$Z$5)+SUMIFS(Sheet2!$E$2:$E$241,Sheet2!$A$2:$A$241,"="&amp;$B15,Sheet2!$B$2:$B$241,"&lt;="&amp;$Z$5)))))/(SUMIFS(Sheet1!$C$2:$C$241,Sheet1!$A$2:$A$241,"="&amp;$B15,Sheet1!$B$2:$B$241,"&gt;="&amp;$Y$5)+SUMIFS(Sheet2!$C$2:$C$241,Sheet2!$A$2:$A$241,"="&amp;$B15,Sheet2!$B$2:$B$241,"&lt;="&amp;$Z$5))</f>
        <v>204.12674396222747</v>
      </c>
      <c r="L43" s="447"/>
      <c r="M43" s="447"/>
    </row>
    <row r="44" spans="3:22" ht="18.5" x14ac:dyDescent="0.45">
      <c r="C44" s="438" t="s">
        <v>172</v>
      </c>
      <c r="F44" s="429">
        <f>950.067717213115-223.49</f>
        <v>726.57771721311497</v>
      </c>
      <c r="G44" s="430">
        <f>481.479721311475-161.26</f>
        <v>320.21972131147498</v>
      </c>
      <c r="H44" s="429">
        <f>996.535493474714-117.93</f>
        <v>878.60549347471397</v>
      </c>
      <c r="I44" s="447">
        <f>453.601831158238-118.24</f>
        <v>335.36183115823798</v>
      </c>
      <c r="J44" s="584">
        <f ca="1">(SUMIFS(Sheet1!D$2:D$241,Sheet1!$A$2:$A$241,"="&amp;$B16,Sheet1!$B$2:$B$241,"&gt;="&amp;$Y$5)+SUMIFS(Sheet2!D$2:D$241,Sheet2!$A$2:$A$241,"="&amp;$B16,Sheet2!$B$2:$B$241,"&lt;="&amp;$Z$5)+((SUMIFS(Sheet1!$F$2:$F$241,Sheet1!$A$2:$A$241,"="&amp;$B16,Sheet1!$B$2:$B$241,"&gt;="&amp;$Y$5)+SUMIFS(Sheet2!$F$2:$F$241,Sheet2!$A$2:$A$241,"="&amp;$B16,Sheet2!$B$2:$B$241,"&lt;="&amp;$Z$5))*((SUMIFS(Sheet1!D$2:D$241,Sheet1!$A$2:$A$241,"="&amp;$B16,Sheet1!$B$2:$B$241,"&gt;="&amp;$Y$5)+SUMIFS(Sheet2!D$2:D$241,Sheet2!$A$2:$A$241,"="&amp;$B16,Sheet2!$B$2:$B$241,"&lt;="&amp;$Z$5))/(SUMIFS(Sheet1!$D$2:$D$241,Sheet1!$A$2:$A$241,"="&amp;$B16,Sheet1!$B$2:$B$241,"&gt;="&amp;$Y$5)+SUMIFS(Sheet1!$E$2:$E$241,Sheet1!$A$2:$A$241,"="&amp;$B16,Sheet1!$B$2:$B$241,"&gt;="&amp;$Y$5)+SUMIFS(Sheet2!$D$2:$D$241,Sheet2!$A$2:$A$241,"="&amp;$B16,Sheet2!$B$2:$B$241,"&lt;="&amp;$Z$5)+SUMIFS(Sheet2!$E$2:$E$241,Sheet2!$A$2:$A$241,"="&amp;$B16,Sheet2!$B$2:$B$241,"&lt;="&amp;$Z$5)))))/(SUMIFS(Sheet1!$C$2:$C$241,Sheet1!$A$2:$A$241,"="&amp;$B16,Sheet1!$B$2:$B$241,"&gt;="&amp;$Y$5)+SUMIFS(Sheet2!$C$2:$C$241,Sheet2!$A$2:$A$241,"="&amp;$B16,Sheet2!$B$2:$B$241,"&lt;="&amp;$Z$5))</f>
        <v>911.39116598833641</v>
      </c>
      <c r="K44" s="585">
        <f ca="1">(SUMIFS(Sheet1!E$2:E$241,Sheet1!$A$2:$A$241,"="&amp;$B16,Sheet1!$B$2:$B$241,"&gt;="&amp;$Y$5)+SUMIFS(Sheet2!E$2:E$241,Sheet2!$A$2:$A$241,"="&amp;$B16,Sheet2!$B$2:$B$241,"&lt;="&amp;$Z$5)+SUMIFS(Sheet1!$G$2:$G$241,Sheet1!$A$2:$A$241,"="&amp;$B16,Sheet1!$B$2:$B$241,"&gt;="&amp;$Y$5)+SUMIFS(Sheet2!$G$2:$G$241,Sheet2!$A$2:$A$241,"="&amp;$B16,Sheet2!$B$2:$B$241,"&lt;="&amp;$Z$5)+((SUMIFS(Sheet1!$F$2:$F$241,Sheet1!$A$2:$A$241,"="&amp;$B16,Sheet1!$B$2:$B$241,"&gt;="&amp;$Y$5)+SUMIFS(Sheet2!$F$2:$F$241,Sheet2!$A$2:$A$241,"="&amp;$B16,Sheet2!$B$2:$B$241,"&lt;="&amp;$Z$5))*((SUMIFS(Sheet1!E$2:E$241,Sheet1!$A$2:$A$241,"="&amp;$B16,Sheet1!$B$2:$B$241,"&gt;="&amp;$Y$5)+SUMIFS(Sheet2!E$2:E$241,Sheet2!$A$2:$A$241,"="&amp;$B16,Sheet2!$B$2:$B$241,"&lt;="&amp;$Z$5))/(SUMIFS(Sheet1!$D$2:$D$241,Sheet1!$A$2:$A$241,"="&amp;$B16,Sheet1!$B$2:$B$241,"&gt;="&amp;$Y$5)+SUMIFS(Sheet1!$E$2:$E$241,Sheet1!$A$2:$A$241,"="&amp;$B16,Sheet1!$B$2:$B$241,"&gt;="&amp;$Y$5)+SUMIFS(Sheet2!$D$2:$D$241,Sheet2!$A$2:$A$241,"="&amp;$B16,Sheet2!$B$2:$B$241,"&lt;="&amp;$Z$5)+SUMIFS(Sheet2!$E$2:$E$241,Sheet2!$A$2:$A$241,"="&amp;$B16,Sheet2!$B$2:$B$241,"&lt;="&amp;$Z$5)))))/(SUMIFS(Sheet1!$C$2:$C$241,Sheet1!$A$2:$A$241,"="&amp;$B16,Sheet1!$B$2:$B$241,"&gt;="&amp;$Y$5)+SUMIFS(Sheet2!$C$2:$C$241,Sheet2!$A$2:$A$241,"="&amp;$B16,Sheet2!$B$2:$B$241,"&lt;="&amp;$Z$5))</f>
        <v>332.08396597647288</v>
      </c>
      <c r="L44" s="447"/>
      <c r="M44" s="447"/>
    </row>
    <row r="45" spans="3:22" ht="18.5" x14ac:dyDescent="0.45">
      <c r="C45" s="438" t="s">
        <v>173</v>
      </c>
      <c r="F45" s="429">
        <f>1341.31624168948-381.06</f>
        <v>960.25624168948002</v>
      </c>
      <c r="G45" s="430">
        <f>607.375369573719-220.55</f>
        <v>386.825369573719</v>
      </c>
      <c r="H45" s="429">
        <f>1222.74350483559-170.99</f>
        <v>1051.7535048355901</v>
      </c>
      <c r="I45" s="447">
        <f>687.32900967118-169.76</f>
        <v>517.56900967117997</v>
      </c>
      <c r="J45" s="584">
        <f ca="1">(SUMIFS(Sheet1!D$2:D$241,Sheet1!$A$2:$A$241,"="&amp;$B17,Sheet1!$B$2:$B$241,"&gt;="&amp;$Y$5)+SUMIFS(Sheet2!D$2:D$241,Sheet2!$A$2:$A$241,"="&amp;$B17,Sheet2!$B$2:$B$241,"&lt;="&amp;$Z$5)+((SUMIFS(Sheet1!$F$2:$F$241,Sheet1!$A$2:$A$241,"="&amp;$B17,Sheet1!$B$2:$B$241,"&gt;="&amp;$Y$5)+SUMIFS(Sheet2!$F$2:$F$241,Sheet2!$A$2:$A$241,"="&amp;$B17,Sheet2!$B$2:$B$241,"&lt;="&amp;$Z$5))*((SUMIFS(Sheet1!D$2:D$241,Sheet1!$A$2:$A$241,"="&amp;$B17,Sheet1!$B$2:$B$241,"&gt;="&amp;$Y$5)+SUMIFS(Sheet2!D$2:D$241,Sheet2!$A$2:$A$241,"="&amp;$B17,Sheet2!$B$2:$B$241,"&lt;="&amp;$Z$5))/(SUMIFS(Sheet1!$D$2:$D$241,Sheet1!$A$2:$A$241,"="&amp;$B17,Sheet1!$B$2:$B$241,"&gt;="&amp;$Y$5)+SUMIFS(Sheet1!$E$2:$E$241,Sheet1!$A$2:$A$241,"="&amp;$B17,Sheet1!$B$2:$B$241,"&gt;="&amp;$Y$5)+SUMIFS(Sheet2!$D$2:$D$241,Sheet2!$A$2:$A$241,"="&amp;$B17,Sheet2!$B$2:$B$241,"&lt;="&amp;$Z$5)+SUMIFS(Sheet2!$E$2:$E$241,Sheet2!$A$2:$A$241,"="&amp;$B17,Sheet2!$B$2:$B$241,"&lt;="&amp;$Z$5)))))/(SUMIFS(Sheet1!$C$2:$C$241,Sheet1!$A$2:$A$241,"="&amp;$B17,Sheet1!$B$2:$B$241,"&gt;="&amp;$Y$5)+SUMIFS(Sheet2!$C$2:$C$241,Sheet2!$A$2:$A$241,"="&amp;$B17,Sheet2!$B$2:$B$241,"&lt;="&amp;$Z$5))</f>
        <v>1228.5484609231069</v>
      </c>
      <c r="K45" s="585">
        <f ca="1">(SUMIFS(Sheet1!E$2:E$241,Sheet1!$A$2:$A$241,"="&amp;$B17,Sheet1!$B$2:$B$241,"&gt;="&amp;$Y$5)+SUMIFS(Sheet2!E$2:E$241,Sheet2!$A$2:$A$241,"="&amp;$B17,Sheet2!$B$2:$B$241,"&lt;="&amp;$Z$5)+SUMIFS(Sheet1!$G$2:$G$241,Sheet1!$A$2:$A$241,"="&amp;$B17,Sheet1!$B$2:$B$241,"&gt;="&amp;$Y$5)+SUMIFS(Sheet2!$G$2:$G$241,Sheet2!$A$2:$A$241,"="&amp;$B17,Sheet2!$B$2:$B$241,"&lt;="&amp;$Z$5)+((SUMIFS(Sheet1!$F$2:$F$241,Sheet1!$A$2:$A$241,"="&amp;$B17,Sheet1!$B$2:$B$241,"&gt;="&amp;$Y$5)+SUMIFS(Sheet2!$F$2:$F$241,Sheet2!$A$2:$A$241,"="&amp;$B17,Sheet2!$B$2:$B$241,"&lt;="&amp;$Z$5))*((SUMIFS(Sheet1!E$2:E$241,Sheet1!$A$2:$A$241,"="&amp;$B17,Sheet1!$B$2:$B$241,"&gt;="&amp;$Y$5)+SUMIFS(Sheet2!E$2:E$241,Sheet2!$A$2:$A$241,"="&amp;$B17,Sheet2!$B$2:$B$241,"&lt;="&amp;$Z$5))/(SUMIFS(Sheet1!$D$2:$D$241,Sheet1!$A$2:$A$241,"="&amp;$B17,Sheet1!$B$2:$B$241,"&gt;="&amp;$Y$5)+SUMIFS(Sheet1!$E$2:$E$241,Sheet1!$A$2:$A$241,"="&amp;$B17,Sheet1!$B$2:$B$241,"&gt;="&amp;$Y$5)+SUMIFS(Sheet2!$D$2:$D$241,Sheet2!$A$2:$A$241,"="&amp;$B17,Sheet2!$B$2:$B$241,"&lt;="&amp;$Z$5)+SUMIFS(Sheet2!$E$2:$E$241,Sheet2!$A$2:$A$241,"="&amp;$B17,Sheet2!$B$2:$B$241,"&lt;="&amp;$Z$5)))))/(SUMIFS(Sheet1!$C$2:$C$241,Sheet1!$A$2:$A$241,"="&amp;$B17,Sheet1!$B$2:$B$241,"&gt;="&amp;$Y$5)+SUMIFS(Sheet2!$C$2:$C$241,Sheet2!$A$2:$A$241,"="&amp;$B17,Sheet2!$B$2:$B$241,"&lt;="&amp;$Z$5))</f>
        <v>414.21884382421302</v>
      </c>
      <c r="L45" s="447"/>
      <c r="M45" s="447"/>
    </row>
    <row r="46" spans="3:22" ht="18.5" x14ac:dyDescent="0.45">
      <c r="C46" s="438" t="s">
        <v>174</v>
      </c>
      <c r="F46" s="429">
        <f>748.622070759625-58.43</f>
        <v>690.19207075962504</v>
      </c>
      <c r="G46" s="430">
        <f>243.33186264308-49.86</f>
        <v>193.47186264307999</v>
      </c>
      <c r="H46" s="429">
        <f>921.631699895068-88.29</f>
        <v>833.34169989506802</v>
      </c>
      <c r="I46" s="447">
        <f>353.373861490032-105.01</f>
        <v>248.36386149003204</v>
      </c>
      <c r="J46" s="584">
        <f ca="1">(SUMIFS(Sheet1!D$2:D$241,Sheet1!$A$2:$A$241,"="&amp;$B18,Sheet1!$B$2:$B$241,"&gt;="&amp;$Y$5)+SUMIFS(Sheet2!D$2:D$241,Sheet2!$A$2:$A$241,"="&amp;$B18,Sheet2!$B$2:$B$241,"&lt;="&amp;$Z$5)+((SUMIFS(Sheet1!$F$2:$F$241,Sheet1!$A$2:$A$241,"="&amp;$B18,Sheet1!$B$2:$B$241,"&gt;="&amp;$Y$5)+SUMIFS(Sheet2!$F$2:$F$241,Sheet2!$A$2:$A$241,"="&amp;$B18,Sheet2!$B$2:$B$241,"&lt;="&amp;$Z$5))*((SUMIFS(Sheet1!D$2:D$241,Sheet1!$A$2:$A$241,"="&amp;$B18,Sheet1!$B$2:$B$241,"&gt;="&amp;$Y$5)+SUMIFS(Sheet2!D$2:D$241,Sheet2!$A$2:$A$241,"="&amp;$B18,Sheet2!$B$2:$B$241,"&lt;="&amp;$Z$5))/(SUMIFS(Sheet1!$D$2:$D$241,Sheet1!$A$2:$A$241,"="&amp;$B18,Sheet1!$B$2:$B$241,"&gt;="&amp;$Y$5)+SUMIFS(Sheet1!$E$2:$E$241,Sheet1!$A$2:$A$241,"="&amp;$B18,Sheet1!$B$2:$B$241,"&gt;="&amp;$Y$5)+SUMIFS(Sheet2!$D$2:$D$241,Sheet2!$A$2:$A$241,"="&amp;$B18,Sheet2!$B$2:$B$241,"&lt;="&amp;$Z$5)+SUMIFS(Sheet2!$E$2:$E$241,Sheet2!$A$2:$A$241,"="&amp;$B18,Sheet2!$B$2:$B$241,"&lt;="&amp;$Z$5)))))/(SUMIFS(Sheet1!$C$2:$C$241,Sheet1!$A$2:$A$241,"="&amp;$B18,Sheet1!$B$2:$B$241,"&gt;="&amp;$Y$5)+SUMIFS(Sheet2!$C$2:$C$241,Sheet2!$A$2:$A$241,"="&amp;$B18,Sheet2!$B$2:$B$241,"&lt;="&amp;$Z$5))</f>
        <v>930.19488743474392</v>
      </c>
      <c r="K46" s="585">
        <f ca="1">(SUMIFS(Sheet1!E$2:E$241,Sheet1!$A$2:$A$241,"="&amp;$B18,Sheet1!$B$2:$B$241,"&gt;="&amp;$Y$5)+SUMIFS(Sheet2!E$2:E$241,Sheet2!$A$2:$A$241,"="&amp;$B18,Sheet2!$B$2:$B$241,"&lt;="&amp;$Z$5)+SUMIFS(Sheet1!$G$2:$G$241,Sheet1!$A$2:$A$241,"="&amp;$B18,Sheet1!$B$2:$B$241,"&gt;="&amp;$Y$5)+SUMIFS(Sheet2!$G$2:$G$241,Sheet2!$A$2:$A$241,"="&amp;$B18,Sheet2!$B$2:$B$241,"&lt;="&amp;$Z$5)+((SUMIFS(Sheet1!$F$2:$F$241,Sheet1!$A$2:$A$241,"="&amp;$B18,Sheet1!$B$2:$B$241,"&gt;="&amp;$Y$5)+SUMIFS(Sheet2!$F$2:$F$241,Sheet2!$A$2:$A$241,"="&amp;$B18,Sheet2!$B$2:$B$241,"&lt;="&amp;$Z$5))*((SUMIFS(Sheet1!E$2:E$241,Sheet1!$A$2:$A$241,"="&amp;$B18,Sheet1!$B$2:$B$241,"&gt;="&amp;$Y$5)+SUMIFS(Sheet2!E$2:E$241,Sheet2!$A$2:$A$241,"="&amp;$B18,Sheet2!$B$2:$B$241,"&lt;="&amp;$Z$5))/(SUMIFS(Sheet1!$D$2:$D$241,Sheet1!$A$2:$A$241,"="&amp;$B18,Sheet1!$B$2:$B$241,"&gt;="&amp;$Y$5)+SUMIFS(Sheet1!$E$2:$E$241,Sheet1!$A$2:$A$241,"="&amp;$B18,Sheet1!$B$2:$B$241,"&gt;="&amp;$Y$5)+SUMIFS(Sheet2!$D$2:$D$241,Sheet2!$A$2:$A$241,"="&amp;$B18,Sheet2!$B$2:$B$241,"&lt;="&amp;$Z$5)+SUMIFS(Sheet2!$E$2:$E$241,Sheet2!$A$2:$A$241,"="&amp;$B18,Sheet2!$B$2:$B$241,"&lt;="&amp;$Z$5)))))/(SUMIFS(Sheet1!$C$2:$C$241,Sheet1!$A$2:$A$241,"="&amp;$B18,Sheet1!$B$2:$B$241,"&gt;="&amp;$Y$5)+SUMIFS(Sheet2!$C$2:$C$241,Sheet2!$A$2:$A$241,"="&amp;$B18,Sheet2!$B$2:$B$241,"&lt;="&amp;$Z$5))</f>
        <v>315.14162505861094</v>
      </c>
      <c r="L46" s="447"/>
      <c r="M46" s="447"/>
    </row>
    <row r="47" spans="3:22" ht="18.5" x14ac:dyDescent="0.45">
      <c r="C47" s="438" t="s">
        <v>175</v>
      </c>
      <c r="F47" s="429">
        <f>972.139564761405-202.19</f>
        <v>769.9495647614051</v>
      </c>
      <c r="G47" s="430">
        <f>293.772275825905-109.1</f>
        <v>184.67227582590502</v>
      </c>
      <c r="H47" s="429">
        <f>818.128545931758-71.68</f>
        <v>746.44854593175796</v>
      </c>
      <c r="I47" s="447">
        <f>312.636099737533-137.39</f>
        <v>175.24609973753303</v>
      </c>
      <c r="J47" s="584">
        <f ca="1">(SUMIFS(Sheet1!D$2:D$241,Sheet1!$A$2:$A$241,"="&amp;$B19,Sheet1!$B$2:$B$241,"&gt;="&amp;$Y$5)+SUMIFS(Sheet2!D$2:D$241,Sheet2!$A$2:$A$241,"="&amp;$B19,Sheet2!$B$2:$B$241,"&lt;="&amp;$Z$5)+((SUMIFS(Sheet1!$F$2:$F$241,Sheet1!$A$2:$A$241,"="&amp;$B19,Sheet1!$B$2:$B$241,"&gt;="&amp;$Y$5)+SUMIFS(Sheet2!$F$2:$F$241,Sheet2!$A$2:$A$241,"="&amp;$B19,Sheet2!$B$2:$B$241,"&lt;="&amp;$Z$5))*((SUMIFS(Sheet1!D$2:D$241,Sheet1!$A$2:$A$241,"="&amp;$B19,Sheet1!$B$2:$B$241,"&gt;="&amp;$Y$5)+SUMIFS(Sheet2!D$2:D$241,Sheet2!$A$2:$A$241,"="&amp;$B19,Sheet2!$B$2:$B$241,"&lt;="&amp;$Z$5))/(SUMIFS(Sheet1!$D$2:$D$241,Sheet1!$A$2:$A$241,"="&amp;$B19,Sheet1!$B$2:$B$241,"&gt;="&amp;$Y$5)+SUMIFS(Sheet1!$E$2:$E$241,Sheet1!$A$2:$A$241,"="&amp;$B19,Sheet1!$B$2:$B$241,"&gt;="&amp;$Y$5)+SUMIFS(Sheet2!$D$2:$D$241,Sheet2!$A$2:$A$241,"="&amp;$B19,Sheet2!$B$2:$B$241,"&lt;="&amp;$Z$5)+SUMIFS(Sheet2!$E$2:$E$241,Sheet2!$A$2:$A$241,"="&amp;$B19,Sheet2!$B$2:$B$241,"&lt;="&amp;$Z$5)))))/(SUMIFS(Sheet1!$C$2:$C$241,Sheet1!$A$2:$A$241,"="&amp;$B19,Sheet1!$B$2:$B$241,"&gt;="&amp;$Y$5)+SUMIFS(Sheet2!$C$2:$C$241,Sheet2!$A$2:$A$241,"="&amp;$B19,Sheet2!$B$2:$B$241,"&lt;="&amp;$Z$5))</f>
        <v>990.64989279447616</v>
      </c>
      <c r="K47" s="585">
        <f ca="1">(SUMIFS(Sheet1!E$2:E$241,Sheet1!$A$2:$A$241,"="&amp;$B19,Sheet1!$B$2:$B$241,"&gt;="&amp;$Y$5)+SUMIFS(Sheet2!E$2:E$241,Sheet2!$A$2:$A$241,"="&amp;$B19,Sheet2!$B$2:$B$241,"&lt;="&amp;$Z$5)+SUMIFS(Sheet1!$G$2:$G$241,Sheet1!$A$2:$A$241,"="&amp;$B19,Sheet1!$B$2:$B$241,"&gt;="&amp;$Y$5)+SUMIFS(Sheet2!$G$2:$G$241,Sheet2!$A$2:$A$241,"="&amp;$B19,Sheet2!$B$2:$B$241,"&lt;="&amp;$Z$5)+((SUMIFS(Sheet1!$F$2:$F$241,Sheet1!$A$2:$A$241,"="&amp;$B19,Sheet1!$B$2:$B$241,"&gt;="&amp;$Y$5)+SUMIFS(Sheet2!$F$2:$F$241,Sheet2!$A$2:$A$241,"="&amp;$B19,Sheet2!$B$2:$B$241,"&lt;="&amp;$Z$5))*((SUMIFS(Sheet1!E$2:E$241,Sheet1!$A$2:$A$241,"="&amp;$B19,Sheet1!$B$2:$B$241,"&gt;="&amp;$Y$5)+SUMIFS(Sheet2!E$2:E$241,Sheet2!$A$2:$A$241,"="&amp;$B19,Sheet2!$B$2:$B$241,"&lt;="&amp;$Z$5))/(SUMIFS(Sheet1!$D$2:$D$241,Sheet1!$A$2:$A$241,"="&amp;$B19,Sheet1!$B$2:$B$241,"&gt;="&amp;$Y$5)+SUMIFS(Sheet1!$E$2:$E$241,Sheet1!$A$2:$A$241,"="&amp;$B19,Sheet1!$B$2:$B$241,"&gt;="&amp;$Y$5)+SUMIFS(Sheet2!$D$2:$D$241,Sheet2!$A$2:$A$241,"="&amp;$B19,Sheet2!$B$2:$B$241,"&lt;="&amp;$Z$5)+SUMIFS(Sheet2!$E$2:$E$241,Sheet2!$A$2:$A$241,"="&amp;$B19,Sheet2!$B$2:$B$241,"&lt;="&amp;$Z$5)))))/(SUMIFS(Sheet1!$C$2:$C$241,Sheet1!$A$2:$A$241,"="&amp;$B19,Sheet1!$B$2:$B$241,"&gt;="&amp;$Y$5)+SUMIFS(Sheet2!$C$2:$C$241,Sheet2!$A$2:$A$241,"="&amp;$B19,Sheet2!$B$2:$B$241,"&lt;="&amp;$Z$5))</f>
        <v>199.69931662960764</v>
      </c>
      <c r="L47" s="447"/>
      <c r="M47" s="447"/>
    </row>
    <row r="48" spans="3:22" ht="18.5" x14ac:dyDescent="0.45">
      <c r="C48" s="438" t="s">
        <v>176</v>
      </c>
      <c r="F48" s="429">
        <f>1130.94768046709-406.81</f>
        <v>724.13768046709015</v>
      </c>
      <c r="G48" s="430">
        <f>540.731555201698-242.51</f>
        <v>298.22155520169804</v>
      </c>
      <c r="H48" s="429">
        <f>1589.09123756906-495.06</f>
        <v>1094.0312375690601</v>
      </c>
      <c r="I48" s="447">
        <f>555.738883977901-283.13</f>
        <v>272.60888397790097</v>
      </c>
      <c r="J48" s="584">
        <f ca="1">(SUMIFS(Sheet1!D$2:D$241,Sheet1!$A$2:$A$241,"="&amp;$B20,Sheet1!$B$2:$B$241,"&gt;="&amp;$Y$5)+SUMIFS(Sheet2!D$2:D$241,Sheet2!$A$2:$A$241,"="&amp;$B20,Sheet2!$B$2:$B$241,"&lt;="&amp;$Z$5)+((SUMIFS(Sheet1!$F$2:$F$241,Sheet1!$A$2:$A$241,"="&amp;$B20,Sheet1!$B$2:$B$241,"&gt;="&amp;$Y$5)+SUMIFS(Sheet2!$F$2:$F$241,Sheet2!$A$2:$A$241,"="&amp;$B20,Sheet2!$B$2:$B$241,"&lt;="&amp;$Z$5))*((SUMIFS(Sheet1!D$2:D$241,Sheet1!$A$2:$A$241,"="&amp;$B20,Sheet1!$B$2:$B$241,"&gt;="&amp;$Y$5)+SUMIFS(Sheet2!D$2:D$241,Sheet2!$A$2:$A$241,"="&amp;$B20,Sheet2!$B$2:$B$241,"&lt;="&amp;$Z$5))/(SUMIFS(Sheet1!$D$2:$D$241,Sheet1!$A$2:$A$241,"="&amp;$B20,Sheet1!$B$2:$B$241,"&gt;="&amp;$Y$5)+SUMIFS(Sheet1!$E$2:$E$241,Sheet1!$A$2:$A$241,"="&amp;$B20,Sheet1!$B$2:$B$241,"&gt;="&amp;$Y$5)+SUMIFS(Sheet2!$D$2:$D$241,Sheet2!$A$2:$A$241,"="&amp;$B20,Sheet2!$B$2:$B$241,"&lt;="&amp;$Z$5)+SUMIFS(Sheet2!$E$2:$E$241,Sheet2!$A$2:$A$241,"="&amp;$B20,Sheet2!$B$2:$B$241,"&lt;="&amp;$Z$5)))))/(SUMIFS(Sheet1!$C$2:$C$241,Sheet1!$A$2:$A$241,"="&amp;$B20,Sheet1!$B$2:$B$241,"&gt;="&amp;$Y$5)+SUMIFS(Sheet2!$C$2:$C$241,Sheet2!$A$2:$A$241,"="&amp;$B20,Sheet2!$B$2:$B$241,"&lt;="&amp;$Z$5))</f>
        <v>1244.6528851922878</v>
      </c>
      <c r="K48" s="585">
        <f ca="1">(SUMIFS(Sheet1!E$2:E$241,Sheet1!$A$2:$A$241,"="&amp;$B20,Sheet1!$B$2:$B$241,"&gt;="&amp;$Y$5)+SUMIFS(Sheet2!E$2:E$241,Sheet2!$A$2:$A$241,"="&amp;$B20,Sheet2!$B$2:$B$241,"&lt;="&amp;$Z$5)+SUMIFS(Sheet1!$G$2:$G$241,Sheet1!$A$2:$A$241,"="&amp;$B20,Sheet1!$B$2:$B$241,"&gt;="&amp;$Y$5)+SUMIFS(Sheet2!$G$2:$G$241,Sheet2!$A$2:$A$241,"="&amp;$B20,Sheet2!$B$2:$B$241,"&lt;="&amp;$Z$5)+((SUMIFS(Sheet1!$F$2:$F$241,Sheet1!$A$2:$A$241,"="&amp;$B20,Sheet1!$B$2:$B$241,"&gt;="&amp;$Y$5)+SUMIFS(Sheet2!$F$2:$F$241,Sheet2!$A$2:$A$241,"="&amp;$B20,Sheet2!$B$2:$B$241,"&lt;="&amp;$Z$5))*((SUMIFS(Sheet1!E$2:E$241,Sheet1!$A$2:$A$241,"="&amp;$B20,Sheet1!$B$2:$B$241,"&gt;="&amp;$Y$5)+SUMIFS(Sheet2!E$2:E$241,Sheet2!$A$2:$A$241,"="&amp;$B20,Sheet2!$B$2:$B$241,"&lt;="&amp;$Z$5))/(SUMIFS(Sheet1!$D$2:$D$241,Sheet1!$A$2:$A$241,"="&amp;$B20,Sheet1!$B$2:$B$241,"&gt;="&amp;$Y$5)+SUMIFS(Sheet1!$E$2:$E$241,Sheet1!$A$2:$A$241,"="&amp;$B20,Sheet1!$B$2:$B$241,"&gt;="&amp;$Y$5)+SUMIFS(Sheet2!$D$2:$D$241,Sheet2!$A$2:$A$241,"="&amp;$B20,Sheet2!$B$2:$B$241,"&lt;="&amp;$Z$5)+SUMIFS(Sheet2!$E$2:$E$241,Sheet2!$A$2:$A$241,"="&amp;$B20,Sheet2!$B$2:$B$241,"&lt;="&amp;$Z$5)))))/(SUMIFS(Sheet1!$C$2:$C$241,Sheet1!$A$2:$A$241,"="&amp;$B20,Sheet1!$B$2:$B$241,"&gt;="&amp;$Y$5)+SUMIFS(Sheet2!$C$2:$C$241,Sheet2!$A$2:$A$241,"="&amp;$B20,Sheet2!$B$2:$B$241,"&lt;="&amp;$Z$5))</f>
        <v>244.13687751957644</v>
      </c>
      <c r="L48" s="447"/>
      <c r="M48" s="447"/>
    </row>
    <row r="49" spans="3:13" ht="18.5" x14ac:dyDescent="0.45">
      <c r="C49" s="438" t="s">
        <v>183</v>
      </c>
      <c r="F49" s="429">
        <f>1327.07832951196-334.39</f>
        <v>992.68832951195998</v>
      </c>
      <c r="G49" s="430">
        <f>395.323196855552-147.61</f>
        <v>247.71319685555198</v>
      </c>
      <c r="H49" s="429">
        <f>1740.44891935484-280.64</f>
        <v>1459.8089193548399</v>
      </c>
      <c r="I49" s="447">
        <f>524.701774193548-194.61</f>
        <v>330.09177419354796</v>
      </c>
      <c r="J49" s="584">
        <f ca="1">(SUMIFS(Sheet1!D$2:D$241,Sheet1!$A$2:$A$241,"="&amp;$B21,Sheet1!$B$2:$B$241,"&gt;="&amp;$Y$5)+SUMIFS(Sheet2!D$2:D$241,Sheet2!$A$2:$A$241,"="&amp;$B21,Sheet2!$B$2:$B$241,"&lt;="&amp;$Z$5)+((SUMIFS(Sheet1!$F$2:$F$241,Sheet1!$A$2:$A$241,"="&amp;$B21,Sheet1!$B$2:$B$241,"&gt;="&amp;$Y$5)+SUMIFS(Sheet2!$F$2:$F$241,Sheet2!$A$2:$A$241,"="&amp;$B21,Sheet2!$B$2:$B$241,"&lt;="&amp;$Z$5))*((SUMIFS(Sheet1!D$2:D$241,Sheet1!$A$2:$A$241,"="&amp;$B21,Sheet1!$B$2:$B$241,"&gt;="&amp;$Y$5)+SUMIFS(Sheet2!D$2:D$241,Sheet2!$A$2:$A$241,"="&amp;$B21,Sheet2!$B$2:$B$241,"&lt;="&amp;$Z$5))/(SUMIFS(Sheet1!$D$2:$D$241,Sheet1!$A$2:$A$241,"="&amp;$B21,Sheet1!$B$2:$B$241,"&gt;="&amp;$Y$5)+SUMIFS(Sheet1!$E$2:$E$241,Sheet1!$A$2:$A$241,"="&amp;$B21,Sheet1!$B$2:$B$241,"&gt;="&amp;$Y$5)+SUMIFS(Sheet2!$D$2:$D$241,Sheet2!$A$2:$A$241,"="&amp;$B21,Sheet2!$B$2:$B$241,"&lt;="&amp;$Z$5)+SUMIFS(Sheet2!$E$2:$E$241,Sheet2!$A$2:$A$241,"="&amp;$B21,Sheet2!$B$2:$B$241,"&lt;="&amp;$Z$5)))))/(SUMIFS(Sheet1!$C$2:$C$241,Sheet1!$A$2:$A$241,"="&amp;$B21,Sheet1!$B$2:$B$241,"&gt;="&amp;$Y$5)+SUMIFS(Sheet2!$C$2:$C$241,Sheet2!$A$2:$A$241,"="&amp;$B21,Sheet2!$B$2:$B$241,"&lt;="&amp;$Z$5))</f>
        <v>1113.1128239103023</v>
      </c>
      <c r="K49" s="585">
        <f ca="1">(SUMIFS(Sheet1!E$2:E$241,Sheet1!$A$2:$A$241,"="&amp;$B21,Sheet1!$B$2:$B$241,"&gt;="&amp;$Y$5)+SUMIFS(Sheet2!E$2:E$241,Sheet2!$A$2:$A$241,"="&amp;$B21,Sheet2!$B$2:$B$241,"&lt;="&amp;$Z$5)+SUMIFS(Sheet1!$G$2:$G$241,Sheet1!$A$2:$A$241,"="&amp;$B21,Sheet1!$B$2:$B$241,"&gt;="&amp;$Y$5)+SUMIFS(Sheet2!$G$2:$G$241,Sheet2!$A$2:$A$241,"="&amp;$B21,Sheet2!$B$2:$B$241,"&lt;="&amp;$Z$5)+((SUMIFS(Sheet1!$F$2:$F$241,Sheet1!$A$2:$A$241,"="&amp;$B21,Sheet1!$B$2:$B$241,"&gt;="&amp;$Y$5)+SUMIFS(Sheet2!$F$2:$F$241,Sheet2!$A$2:$A$241,"="&amp;$B21,Sheet2!$B$2:$B$241,"&lt;="&amp;$Z$5))*((SUMIFS(Sheet1!E$2:E$241,Sheet1!$A$2:$A$241,"="&amp;$B21,Sheet1!$B$2:$B$241,"&gt;="&amp;$Y$5)+SUMIFS(Sheet2!E$2:E$241,Sheet2!$A$2:$A$241,"="&amp;$B21,Sheet2!$B$2:$B$241,"&lt;="&amp;$Z$5))/(SUMIFS(Sheet1!$D$2:$D$241,Sheet1!$A$2:$A$241,"="&amp;$B21,Sheet1!$B$2:$B$241,"&gt;="&amp;$Y$5)+SUMIFS(Sheet1!$E$2:$E$241,Sheet1!$A$2:$A$241,"="&amp;$B21,Sheet1!$B$2:$B$241,"&gt;="&amp;$Y$5)+SUMIFS(Sheet2!$D$2:$D$241,Sheet2!$A$2:$A$241,"="&amp;$B21,Sheet2!$B$2:$B$241,"&lt;="&amp;$Z$5)+SUMIFS(Sheet2!$E$2:$E$241,Sheet2!$A$2:$A$241,"="&amp;$B21,Sheet2!$B$2:$B$241,"&lt;="&amp;$Z$5)))))/(SUMIFS(Sheet1!$C$2:$C$241,Sheet1!$A$2:$A$241,"="&amp;$B21,Sheet1!$B$2:$B$241,"&gt;="&amp;$Y$5)+SUMIFS(Sheet2!$C$2:$C$241,Sheet2!$A$2:$A$241,"="&amp;$B21,Sheet2!$B$2:$B$241,"&lt;="&amp;$Z$5))</f>
        <v>254.80139075762361</v>
      </c>
      <c r="L49" s="447"/>
      <c r="M49" s="447"/>
    </row>
    <row r="50" spans="3:13" ht="18.5" x14ac:dyDescent="0.45">
      <c r="C50" s="438" t="s">
        <v>177</v>
      </c>
      <c r="F50" s="429">
        <f>1634.12939264328-457.23</f>
        <v>1176.89939264328</v>
      </c>
      <c r="G50" s="430">
        <f>330.957378100941-140.6</f>
        <v>190.35737810094102</v>
      </c>
      <c r="H50" s="429">
        <f>1836.017-625.26</f>
        <v>1210.7570000000001</v>
      </c>
      <c r="I50" s="447">
        <f>585.657510638298-309.45</f>
        <v>276.20751063829806</v>
      </c>
      <c r="J50" s="584">
        <f ca="1">(SUMIFS(Sheet1!D$2:D$241,Sheet1!$A$2:$A$241,"="&amp;$B22,Sheet1!$B$2:$B$241,"&gt;="&amp;$Y$5)+SUMIFS(Sheet2!D$2:D$241,Sheet2!$A$2:$A$241,"="&amp;$B22,Sheet2!$B$2:$B$241,"&lt;="&amp;$Z$5)+((SUMIFS(Sheet1!$F$2:$F$241,Sheet1!$A$2:$A$241,"="&amp;$B22,Sheet1!$B$2:$B$241,"&gt;="&amp;$Y$5)+SUMIFS(Sheet2!$F$2:$F$241,Sheet2!$A$2:$A$241,"="&amp;$B22,Sheet2!$B$2:$B$241,"&lt;="&amp;$Z$5))*((SUMIFS(Sheet1!D$2:D$241,Sheet1!$A$2:$A$241,"="&amp;$B22,Sheet1!$B$2:$B$241,"&gt;="&amp;$Y$5)+SUMIFS(Sheet2!D$2:D$241,Sheet2!$A$2:$A$241,"="&amp;$B22,Sheet2!$B$2:$B$241,"&lt;="&amp;$Z$5))/(SUMIFS(Sheet1!$D$2:$D$241,Sheet1!$A$2:$A$241,"="&amp;$B22,Sheet1!$B$2:$B$241,"&gt;="&amp;$Y$5)+SUMIFS(Sheet1!$E$2:$E$241,Sheet1!$A$2:$A$241,"="&amp;$B22,Sheet1!$B$2:$B$241,"&gt;="&amp;$Y$5)+SUMIFS(Sheet2!$D$2:$D$241,Sheet2!$A$2:$A$241,"="&amp;$B22,Sheet2!$B$2:$B$241,"&lt;="&amp;$Z$5)+SUMIFS(Sheet2!$E$2:$E$241,Sheet2!$A$2:$A$241,"="&amp;$B22,Sheet2!$B$2:$B$241,"&lt;="&amp;$Z$5)))))/(SUMIFS(Sheet1!$C$2:$C$241,Sheet1!$A$2:$A$241,"="&amp;$B22,Sheet1!$B$2:$B$241,"&gt;="&amp;$Y$5)+SUMIFS(Sheet2!$C$2:$C$241,Sheet2!$A$2:$A$241,"="&amp;$B22,Sheet2!$B$2:$B$241,"&lt;="&amp;$Z$5))</f>
        <v>1172.4420406783047</v>
      </c>
      <c r="K50" s="585">
        <f ca="1">(SUMIFS(Sheet1!E$2:E$241,Sheet1!$A$2:$A$241,"="&amp;$B22,Sheet1!$B$2:$B$241,"&gt;="&amp;$Y$5)+SUMIFS(Sheet2!E$2:E$241,Sheet2!$A$2:$A$241,"="&amp;$B22,Sheet2!$B$2:$B$241,"&lt;="&amp;$Z$5)+SUMIFS(Sheet1!$G$2:$G$241,Sheet1!$A$2:$A$241,"="&amp;$B22,Sheet1!$B$2:$B$241,"&gt;="&amp;$Y$5)+SUMIFS(Sheet2!$G$2:$G$241,Sheet2!$A$2:$A$241,"="&amp;$B22,Sheet2!$B$2:$B$241,"&lt;="&amp;$Z$5)+((SUMIFS(Sheet1!$F$2:$F$241,Sheet1!$A$2:$A$241,"="&amp;$B22,Sheet1!$B$2:$B$241,"&gt;="&amp;$Y$5)+SUMIFS(Sheet2!$F$2:$F$241,Sheet2!$A$2:$A$241,"="&amp;$B22,Sheet2!$B$2:$B$241,"&lt;="&amp;$Z$5))*((SUMIFS(Sheet1!E$2:E$241,Sheet1!$A$2:$A$241,"="&amp;$B22,Sheet1!$B$2:$B$241,"&gt;="&amp;$Y$5)+SUMIFS(Sheet2!E$2:E$241,Sheet2!$A$2:$A$241,"="&amp;$B22,Sheet2!$B$2:$B$241,"&lt;="&amp;$Z$5))/(SUMIFS(Sheet1!$D$2:$D$241,Sheet1!$A$2:$A$241,"="&amp;$B22,Sheet1!$B$2:$B$241,"&gt;="&amp;$Y$5)+SUMIFS(Sheet1!$E$2:$E$241,Sheet1!$A$2:$A$241,"="&amp;$B22,Sheet1!$B$2:$B$241,"&gt;="&amp;$Y$5)+SUMIFS(Sheet2!$D$2:$D$241,Sheet2!$A$2:$A$241,"="&amp;$B22,Sheet2!$B$2:$B$241,"&lt;="&amp;$Z$5)+SUMIFS(Sheet2!$E$2:$E$241,Sheet2!$A$2:$A$241,"="&amp;$B22,Sheet2!$B$2:$B$241,"&lt;="&amp;$Z$5)))))/(SUMIFS(Sheet1!$C$2:$C$241,Sheet1!$A$2:$A$241,"="&amp;$B22,Sheet1!$B$2:$B$241,"&gt;="&amp;$Y$5)+SUMIFS(Sheet2!$C$2:$C$241,Sheet2!$A$2:$A$241,"="&amp;$B22,Sheet2!$B$2:$B$241,"&lt;="&amp;$Z$5))</f>
        <v>359.41114716936323</v>
      </c>
      <c r="L50" s="447"/>
      <c r="M50" s="447"/>
    </row>
    <row r="51" spans="3:13" ht="18.5" x14ac:dyDescent="0.45">
      <c r="C51" s="438" t="s">
        <v>178</v>
      </c>
      <c r="F51" s="429">
        <f>1466.1293019874-273.1</f>
        <v>1193.0293019873998</v>
      </c>
      <c r="G51" s="430">
        <f>517.28415899176-144.36</f>
        <v>372.92415899176001</v>
      </c>
      <c r="H51" s="429">
        <f>2341.93778002018-903.58</f>
        <v>1438.3577800201801</v>
      </c>
      <c r="I51" s="447">
        <f>674.734717457114-370.33</f>
        <v>304.40471745711403</v>
      </c>
      <c r="J51" s="584">
        <f ca="1">(SUMIFS(Sheet1!D$2:D$241,Sheet1!$A$2:$A$241,"="&amp;$B23,Sheet1!$B$2:$B$241,"&gt;="&amp;$Y$5)+SUMIFS(Sheet2!D$2:D$241,Sheet2!$A$2:$A$241,"="&amp;$B23,Sheet2!$B$2:$B$241,"&lt;="&amp;$Z$5)+((SUMIFS(Sheet1!$F$2:$F$241,Sheet1!$A$2:$A$241,"="&amp;$B23,Sheet1!$B$2:$B$241,"&gt;="&amp;$Y$5)+SUMIFS(Sheet2!$F$2:$F$241,Sheet2!$A$2:$A$241,"="&amp;$B23,Sheet2!$B$2:$B$241,"&lt;="&amp;$Z$5))*((SUMIFS(Sheet1!D$2:D$241,Sheet1!$A$2:$A$241,"="&amp;$B23,Sheet1!$B$2:$B$241,"&gt;="&amp;$Y$5)+SUMIFS(Sheet2!D$2:D$241,Sheet2!$A$2:$A$241,"="&amp;$B23,Sheet2!$B$2:$B$241,"&lt;="&amp;$Z$5))/(SUMIFS(Sheet1!$D$2:$D$241,Sheet1!$A$2:$A$241,"="&amp;$B23,Sheet1!$B$2:$B$241,"&gt;="&amp;$Y$5)+SUMIFS(Sheet1!$E$2:$E$241,Sheet1!$A$2:$A$241,"="&amp;$B23,Sheet1!$B$2:$B$241,"&gt;="&amp;$Y$5)+SUMIFS(Sheet2!$D$2:$D$241,Sheet2!$A$2:$A$241,"="&amp;$B23,Sheet2!$B$2:$B$241,"&lt;="&amp;$Z$5)+SUMIFS(Sheet2!$E$2:$E$241,Sheet2!$A$2:$A$241,"="&amp;$B23,Sheet2!$B$2:$B$241,"&lt;="&amp;$Z$5)))))/(SUMIFS(Sheet1!$C$2:$C$241,Sheet1!$A$2:$A$241,"="&amp;$B23,Sheet1!$B$2:$B$241,"&gt;="&amp;$Y$5)+SUMIFS(Sheet2!$C$2:$C$241,Sheet2!$A$2:$A$241,"="&amp;$B23,Sheet2!$B$2:$B$241,"&lt;="&amp;$Z$5))</f>
        <v>1217.528989569244</v>
      </c>
      <c r="K51" s="585">
        <f ca="1">(SUMIFS(Sheet1!E$2:E$241,Sheet1!$A$2:$A$241,"="&amp;$B23,Sheet1!$B$2:$B$241,"&gt;="&amp;$Y$5)+SUMIFS(Sheet2!E$2:E$241,Sheet2!$A$2:$A$241,"="&amp;$B23,Sheet2!$B$2:$B$241,"&lt;="&amp;$Z$5)+SUMIFS(Sheet1!$G$2:$G$241,Sheet1!$A$2:$A$241,"="&amp;$B23,Sheet1!$B$2:$B$241,"&gt;="&amp;$Y$5)+SUMIFS(Sheet2!$G$2:$G$241,Sheet2!$A$2:$A$241,"="&amp;$B23,Sheet2!$B$2:$B$241,"&lt;="&amp;$Z$5)+((SUMIFS(Sheet1!$F$2:$F$241,Sheet1!$A$2:$A$241,"="&amp;$B23,Sheet1!$B$2:$B$241,"&gt;="&amp;$Y$5)+SUMIFS(Sheet2!$F$2:$F$241,Sheet2!$A$2:$A$241,"="&amp;$B23,Sheet2!$B$2:$B$241,"&lt;="&amp;$Z$5))*((SUMIFS(Sheet1!E$2:E$241,Sheet1!$A$2:$A$241,"="&amp;$B23,Sheet1!$B$2:$B$241,"&gt;="&amp;$Y$5)+SUMIFS(Sheet2!E$2:E$241,Sheet2!$A$2:$A$241,"="&amp;$B23,Sheet2!$B$2:$B$241,"&lt;="&amp;$Z$5))/(SUMIFS(Sheet1!$D$2:$D$241,Sheet1!$A$2:$A$241,"="&amp;$B23,Sheet1!$B$2:$B$241,"&gt;="&amp;$Y$5)+SUMIFS(Sheet1!$E$2:$E$241,Sheet1!$A$2:$A$241,"="&amp;$B23,Sheet1!$B$2:$B$241,"&gt;="&amp;$Y$5)+SUMIFS(Sheet2!$D$2:$D$241,Sheet2!$A$2:$A$241,"="&amp;$B23,Sheet2!$B$2:$B$241,"&lt;="&amp;$Z$5)+SUMIFS(Sheet2!$E$2:$E$241,Sheet2!$A$2:$A$241,"="&amp;$B23,Sheet2!$B$2:$B$241,"&lt;="&amp;$Z$5)))))/(SUMIFS(Sheet1!$C$2:$C$241,Sheet1!$A$2:$A$241,"="&amp;$B23,Sheet1!$B$2:$B$241,"&gt;="&amp;$Y$5)+SUMIFS(Sheet2!$C$2:$C$241,Sheet2!$A$2:$A$241,"="&amp;$B23,Sheet2!$B$2:$B$241,"&lt;="&amp;$Z$5))</f>
        <v>565.29570344788374</v>
      </c>
      <c r="L51" s="447"/>
      <c r="M51" s="447"/>
    </row>
    <row r="52" spans="3:13" ht="18.5" x14ac:dyDescent="0.45">
      <c r="C52" s="438" t="s">
        <v>179</v>
      </c>
      <c r="F52" s="429">
        <f>962.050697095436-133.68</f>
        <v>828.37069709543607</v>
      </c>
      <c r="G52" s="430">
        <f>505.98977593361-118.31</f>
        <v>387.67977593361002</v>
      </c>
      <c r="H52" s="429">
        <f>1078.39096054889-118.92</f>
        <v>959.47096054889005</v>
      </c>
      <c r="I52" s="447">
        <f>502.04385077187-165.36</f>
        <v>336.68385077186997</v>
      </c>
      <c r="J52" s="584">
        <f ca="1">(SUMIFS(Sheet1!D$2:D$241,Sheet1!$A$2:$A$241,"="&amp;$B24,Sheet1!$B$2:$B$241,"&gt;="&amp;$Y$5)+SUMIFS(Sheet2!D$2:D$241,Sheet2!$A$2:$A$241,"="&amp;$B24,Sheet2!$B$2:$B$241,"&lt;="&amp;$Z$5)+((SUMIFS(Sheet1!$F$2:$F$241,Sheet1!$A$2:$A$241,"="&amp;$B24,Sheet1!$B$2:$B$241,"&gt;="&amp;$Y$5)+SUMIFS(Sheet2!$F$2:$F$241,Sheet2!$A$2:$A$241,"="&amp;$B24,Sheet2!$B$2:$B$241,"&lt;="&amp;$Z$5))*((SUMIFS(Sheet1!D$2:D$241,Sheet1!$A$2:$A$241,"="&amp;$B24,Sheet1!$B$2:$B$241,"&gt;="&amp;$Y$5)+SUMIFS(Sheet2!D$2:D$241,Sheet2!$A$2:$A$241,"="&amp;$B24,Sheet2!$B$2:$B$241,"&lt;="&amp;$Z$5))/(SUMIFS(Sheet1!$D$2:$D$241,Sheet1!$A$2:$A$241,"="&amp;$B24,Sheet1!$B$2:$B$241,"&gt;="&amp;$Y$5)+SUMIFS(Sheet1!$E$2:$E$241,Sheet1!$A$2:$A$241,"="&amp;$B24,Sheet1!$B$2:$B$241,"&gt;="&amp;$Y$5)+SUMIFS(Sheet2!$D$2:$D$241,Sheet2!$A$2:$A$241,"="&amp;$B24,Sheet2!$B$2:$B$241,"&lt;="&amp;$Z$5)+SUMIFS(Sheet2!$E$2:$E$241,Sheet2!$A$2:$A$241,"="&amp;$B24,Sheet2!$B$2:$B$241,"&lt;="&amp;$Z$5)))))/(SUMIFS(Sheet1!$C$2:$C$241,Sheet1!$A$2:$A$241,"="&amp;$B24,Sheet1!$B$2:$B$241,"&gt;="&amp;$Y$5)+SUMIFS(Sheet2!$C$2:$C$241,Sheet2!$A$2:$A$241,"="&amp;$B24,Sheet2!$B$2:$B$241,"&lt;="&amp;$Z$5))</f>
        <v>1179.2317060773682</v>
      </c>
      <c r="K52" s="585">
        <f ca="1">(SUMIFS(Sheet1!E$2:E$241,Sheet1!$A$2:$A$241,"="&amp;$B24,Sheet1!$B$2:$B$241,"&gt;="&amp;$Y$5)+SUMIFS(Sheet2!E$2:E$241,Sheet2!$A$2:$A$241,"="&amp;$B24,Sheet2!$B$2:$B$241,"&lt;="&amp;$Z$5)+SUMIFS(Sheet1!$G$2:$G$241,Sheet1!$A$2:$A$241,"="&amp;$B24,Sheet1!$B$2:$B$241,"&gt;="&amp;$Y$5)+SUMIFS(Sheet2!$G$2:$G$241,Sheet2!$A$2:$A$241,"="&amp;$B24,Sheet2!$B$2:$B$241,"&lt;="&amp;$Z$5)+((SUMIFS(Sheet1!$F$2:$F$241,Sheet1!$A$2:$A$241,"="&amp;$B24,Sheet1!$B$2:$B$241,"&gt;="&amp;$Y$5)+SUMIFS(Sheet2!$F$2:$F$241,Sheet2!$A$2:$A$241,"="&amp;$B24,Sheet2!$B$2:$B$241,"&lt;="&amp;$Z$5))*((SUMIFS(Sheet1!E$2:E$241,Sheet1!$A$2:$A$241,"="&amp;$B24,Sheet1!$B$2:$B$241,"&gt;="&amp;$Y$5)+SUMIFS(Sheet2!E$2:E$241,Sheet2!$A$2:$A$241,"="&amp;$B24,Sheet2!$B$2:$B$241,"&lt;="&amp;$Z$5))/(SUMIFS(Sheet1!$D$2:$D$241,Sheet1!$A$2:$A$241,"="&amp;$B24,Sheet1!$B$2:$B$241,"&gt;="&amp;$Y$5)+SUMIFS(Sheet1!$E$2:$E$241,Sheet1!$A$2:$A$241,"="&amp;$B24,Sheet1!$B$2:$B$241,"&gt;="&amp;$Y$5)+SUMIFS(Sheet2!$D$2:$D$241,Sheet2!$A$2:$A$241,"="&amp;$B24,Sheet2!$B$2:$B$241,"&lt;="&amp;$Z$5)+SUMIFS(Sheet2!$E$2:$E$241,Sheet2!$A$2:$A$241,"="&amp;$B24,Sheet2!$B$2:$B$241,"&lt;="&amp;$Z$5)))))/(SUMIFS(Sheet1!$C$2:$C$241,Sheet1!$A$2:$A$241,"="&amp;$B24,Sheet1!$B$2:$B$241,"&gt;="&amp;$Y$5)+SUMIFS(Sheet2!$C$2:$C$241,Sheet2!$A$2:$A$241,"="&amp;$B24,Sheet2!$B$2:$B$241,"&lt;="&amp;$Z$5))</f>
        <v>388.24507573286365</v>
      </c>
      <c r="L52" s="447"/>
      <c r="M52" s="447"/>
    </row>
    <row r="53" spans="3:13" ht="18.5" x14ac:dyDescent="0.45">
      <c r="C53" s="438" t="s">
        <v>180</v>
      </c>
      <c r="F53" s="429">
        <f>803.502789165446-117.03</f>
        <v>686.47278916544599</v>
      </c>
      <c r="G53" s="430">
        <f>389.095710102489-104.67</f>
        <v>284.42571010248901</v>
      </c>
      <c r="H53" s="429">
        <f>843.90745933385-34.36</f>
        <v>809.54745933385004</v>
      </c>
      <c r="I53" s="447">
        <f>459.72057319907-128.72</f>
        <v>331.00057319907</v>
      </c>
      <c r="J53" s="584">
        <f ca="1">(SUMIFS(Sheet1!D$2:D$241,Sheet1!$A$2:$A$241,"="&amp;$B25,Sheet1!$B$2:$B$241,"&gt;="&amp;$Y$5)+SUMIFS(Sheet2!D$2:D$241,Sheet2!$A$2:$A$241,"="&amp;$B25,Sheet2!$B$2:$B$241,"&lt;="&amp;$Z$5)+((SUMIFS(Sheet1!$F$2:$F$241,Sheet1!$A$2:$A$241,"="&amp;$B25,Sheet1!$B$2:$B$241,"&gt;="&amp;$Y$5)+SUMIFS(Sheet2!$F$2:$F$241,Sheet2!$A$2:$A$241,"="&amp;$B25,Sheet2!$B$2:$B$241,"&lt;="&amp;$Z$5))*((SUMIFS(Sheet1!D$2:D$241,Sheet1!$A$2:$A$241,"="&amp;$B25,Sheet1!$B$2:$B$241,"&gt;="&amp;$Y$5)+SUMIFS(Sheet2!D$2:D$241,Sheet2!$A$2:$A$241,"="&amp;$B25,Sheet2!$B$2:$B$241,"&lt;="&amp;$Z$5))/(SUMIFS(Sheet1!$D$2:$D$241,Sheet1!$A$2:$A$241,"="&amp;$B25,Sheet1!$B$2:$B$241,"&gt;="&amp;$Y$5)+SUMIFS(Sheet1!$E$2:$E$241,Sheet1!$A$2:$A$241,"="&amp;$B25,Sheet1!$B$2:$B$241,"&gt;="&amp;$Y$5)+SUMIFS(Sheet2!$D$2:$D$241,Sheet2!$A$2:$A$241,"="&amp;$B25,Sheet2!$B$2:$B$241,"&lt;="&amp;$Z$5)+SUMIFS(Sheet2!$E$2:$E$241,Sheet2!$A$2:$A$241,"="&amp;$B25,Sheet2!$B$2:$B$241,"&lt;="&amp;$Z$5)))))/(SUMIFS(Sheet1!$C$2:$C$241,Sheet1!$A$2:$A$241,"="&amp;$B25,Sheet1!$B$2:$B$241,"&gt;="&amp;$Y$5)+SUMIFS(Sheet2!$C$2:$C$241,Sheet2!$A$2:$A$241,"="&amp;$B25,Sheet2!$B$2:$B$241,"&lt;="&amp;$Z$5))</f>
        <v>1029.8440661328532</v>
      </c>
      <c r="K53" s="585">
        <f ca="1">(SUMIFS(Sheet1!E$2:E$241,Sheet1!$A$2:$A$241,"="&amp;$B25,Sheet1!$B$2:$B$241,"&gt;="&amp;$Y$5)+SUMIFS(Sheet2!E$2:E$241,Sheet2!$A$2:$A$241,"="&amp;$B25,Sheet2!$B$2:$B$241,"&lt;="&amp;$Z$5)+SUMIFS(Sheet1!$G$2:$G$241,Sheet1!$A$2:$A$241,"="&amp;$B25,Sheet1!$B$2:$B$241,"&gt;="&amp;$Y$5)+SUMIFS(Sheet2!$G$2:$G$241,Sheet2!$A$2:$A$241,"="&amp;$B25,Sheet2!$B$2:$B$241,"&lt;="&amp;$Z$5)+((SUMIFS(Sheet1!$F$2:$F$241,Sheet1!$A$2:$A$241,"="&amp;$B25,Sheet1!$B$2:$B$241,"&gt;="&amp;$Y$5)+SUMIFS(Sheet2!$F$2:$F$241,Sheet2!$A$2:$A$241,"="&amp;$B25,Sheet2!$B$2:$B$241,"&lt;="&amp;$Z$5))*((SUMIFS(Sheet1!E$2:E$241,Sheet1!$A$2:$A$241,"="&amp;$B25,Sheet1!$B$2:$B$241,"&gt;="&amp;$Y$5)+SUMIFS(Sheet2!E$2:E$241,Sheet2!$A$2:$A$241,"="&amp;$B25,Sheet2!$B$2:$B$241,"&lt;="&amp;$Z$5))/(SUMIFS(Sheet1!$D$2:$D$241,Sheet1!$A$2:$A$241,"="&amp;$B25,Sheet1!$B$2:$B$241,"&gt;="&amp;$Y$5)+SUMIFS(Sheet1!$E$2:$E$241,Sheet1!$A$2:$A$241,"="&amp;$B25,Sheet1!$B$2:$B$241,"&gt;="&amp;$Y$5)+SUMIFS(Sheet2!$D$2:$D$241,Sheet2!$A$2:$A$241,"="&amp;$B25,Sheet2!$B$2:$B$241,"&lt;="&amp;$Z$5)+SUMIFS(Sheet2!$E$2:$E$241,Sheet2!$A$2:$A$241,"="&amp;$B25,Sheet2!$B$2:$B$241,"&lt;="&amp;$Z$5)))))/(SUMIFS(Sheet1!$C$2:$C$241,Sheet1!$A$2:$A$241,"="&amp;$B25,Sheet1!$B$2:$B$241,"&gt;="&amp;$Y$5)+SUMIFS(Sheet2!$C$2:$C$241,Sheet2!$A$2:$A$241,"="&amp;$B25,Sheet2!$B$2:$B$241,"&lt;="&amp;$Z$5))</f>
        <v>302.0163051342978</v>
      </c>
      <c r="L53" s="447"/>
      <c r="M53" s="447"/>
    </row>
    <row r="54" spans="3:13" ht="18.5" x14ac:dyDescent="0.45">
      <c r="C54" s="438" t="s">
        <v>181</v>
      </c>
      <c r="F54" s="429">
        <f>957.126553323029-123.32</f>
        <v>833.80655332302899</v>
      </c>
      <c r="G54" s="430">
        <f>288.456816074189-85.16</f>
        <v>203.29681607418902</v>
      </c>
      <c r="H54" s="429">
        <f>874.529360730594-43.65</f>
        <v>830.87936073059404</v>
      </c>
      <c r="I54" s="447">
        <f>412.952785388128-130.61</f>
        <v>282.34278538812799</v>
      </c>
      <c r="J54" s="584">
        <f ca="1">(SUMIFS(Sheet1!D$2:D$241,Sheet1!$A$2:$A$241,"="&amp;$B26,Sheet1!$B$2:$B$241,"&gt;="&amp;$Y$5)+SUMIFS(Sheet2!D$2:D$241,Sheet2!$A$2:$A$241,"="&amp;$B26,Sheet2!$B$2:$B$241,"&lt;="&amp;$Z$5)+((SUMIFS(Sheet1!$F$2:$F$241,Sheet1!$A$2:$A$241,"="&amp;$B26,Sheet1!$B$2:$B$241,"&gt;="&amp;$Y$5)+SUMIFS(Sheet2!$F$2:$F$241,Sheet2!$A$2:$A$241,"="&amp;$B26,Sheet2!$B$2:$B$241,"&lt;="&amp;$Z$5))*((SUMIFS(Sheet1!D$2:D$241,Sheet1!$A$2:$A$241,"="&amp;$B26,Sheet1!$B$2:$B$241,"&gt;="&amp;$Y$5)+SUMIFS(Sheet2!D$2:D$241,Sheet2!$A$2:$A$241,"="&amp;$B26,Sheet2!$B$2:$B$241,"&lt;="&amp;$Z$5))/(SUMIFS(Sheet1!$D$2:$D$241,Sheet1!$A$2:$A$241,"="&amp;$B26,Sheet1!$B$2:$B$241,"&gt;="&amp;$Y$5)+SUMIFS(Sheet1!$E$2:$E$241,Sheet1!$A$2:$A$241,"="&amp;$B26,Sheet1!$B$2:$B$241,"&gt;="&amp;$Y$5)+SUMIFS(Sheet2!$D$2:$D$241,Sheet2!$A$2:$A$241,"="&amp;$B26,Sheet2!$B$2:$B$241,"&lt;="&amp;$Z$5)+SUMIFS(Sheet2!$E$2:$E$241,Sheet2!$A$2:$A$241,"="&amp;$B26,Sheet2!$B$2:$B$241,"&lt;="&amp;$Z$5)))))/(SUMIFS(Sheet1!$C$2:$C$241,Sheet1!$A$2:$A$241,"="&amp;$B26,Sheet1!$B$2:$B$241,"&gt;="&amp;$Y$5)+SUMIFS(Sheet2!$C$2:$C$241,Sheet2!$A$2:$A$241,"="&amp;$B26,Sheet2!$B$2:$B$241,"&lt;="&amp;$Z$5))</f>
        <v>1042.4689753615</v>
      </c>
      <c r="K54" s="585">
        <f ca="1">(SUMIFS(Sheet1!E$2:E$241,Sheet1!$A$2:$A$241,"="&amp;$B26,Sheet1!$B$2:$B$241,"&gt;="&amp;$Y$5)+SUMIFS(Sheet2!E$2:E$241,Sheet2!$A$2:$A$241,"="&amp;$B26,Sheet2!$B$2:$B$241,"&lt;="&amp;$Z$5)+SUMIFS(Sheet1!$G$2:$G$241,Sheet1!$A$2:$A$241,"="&amp;$B26,Sheet1!$B$2:$B$241,"&gt;="&amp;$Y$5)+SUMIFS(Sheet2!$G$2:$G$241,Sheet2!$A$2:$A$241,"="&amp;$B26,Sheet2!$B$2:$B$241,"&lt;="&amp;$Z$5)+((SUMIFS(Sheet1!$F$2:$F$241,Sheet1!$A$2:$A$241,"="&amp;$B26,Sheet1!$B$2:$B$241,"&gt;="&amp;$Y$5)+SUMIFS(Sheet2!$F$2:$F$241,Sheet2!$A$2:$A$241,"="&amp;$B26,Sheet2!$B$2:$B$241,"&lt;="&amp;$Z$5))*((SUMIFS(Sheet1!E$2:E$241,Sheet1!$A$2:$A$241,"="&amp;$B26,Sheet1!$B$2:$B$241,"&gt;="&amp;$Y$5)+SUMIFS(Sheet2!E$2:E$241,Sheet2!$A$2:$A$241,"="&amp;$B26,Sheet2!$B$2:$B$241,"&lt;="&amp;$Z$5))/(SUMIFS(Sheet1!$D$2:$D$241,Sheet1!$A$2:$A$241,"="&amp;$B26,Sheet1!$B$2:$B$241,"&gt;="&amp;$Y$5)+SUMIFS(Sheet1!$E$2:$E$241,Sheet1!$A$2:$A$241,"="&amp;$B26,Sheet1!$B$2:$B$241,"&gt;="&amp;$Y$5)+SUMIFS(Sheet2!$D$2:$D$241,Sheet2!$A$2:$A$241,"="&amp;$B26,Sheet2!$B$2:$B$241,"&lt;="&amp;$Z$5)+SUMIFS(Sheet2!$E$2:$E$241,Sheet2!$A$2:$A$241,"="&amp;$B26,Sheet2!$B$2:$B$241,"&lt;="&amp;$Z$5)))))/(SUMIFS(Sheet1!$C$2:$C$241,Sheet1!$A$2:$A$241,"="&amp;$B26,Sheet1!$B$2:$B$241,"&gt;="&amp;$Y$5)+SUMIFS(Sheet2!$C$2:$C$241,Sheet2!$A$2:$A$241,"="&amp;$B26,Sheet2!$B$2:$B$241,"&lt;="&amp;$Z$5))</f>
        <v>421.62527270051544</v>
      </c>
      <c r="L54" s="447"/>
      <c r="M54" s="447"/>
    </row>
    <row r="55" spans="3:13" ht="18.5" x14ac:dyDescent="0.45">
      <c r="C55" s="438" t="s">
        <v>182</v>
      </c>
      <c r="F55" s="433">
        <f>823.662509464575-229.45</f>
        <v>594.21250946457508</v>
      </c>
      <c r="G55" s="434">
        <f>621.488810167658-221.13</f>
        <v>400.35881016765802</v>
      </c>
      <c r="H55" s="433">
        <f>1046.83573369565-224.6</f>
        <v>822.23573369565008</v>
      </c>
      <c r="I55" s="434">
        <f>741.274619565217-269.04</f>
        <v>472.23461956521697</v>
      </c>
      <c r="J55" s="582">
        <f ca="1">(SUMIFS(Sheet1!D$2:D$241,Sheet1!$A$2:$A$241,"="&amp;$B27,Sheet1!$B$2:$B$241,"&gt;="&amp;$Y$5)+SUMIFS(Sheet2!D$2:D$241,Sheet2!$A$2:$A$241,"="&amp;$B27,Sheet2!$B$2:$B$241,"&lt;="&amp;$Z$5)+((SUMIFS(Sheet1!$F$2:$F$241,Sheet1!$A$2:$A$241,"="&amp;$B27,Sheet1!$B$2:$B$241,"&gt;="&amp;$Y$5)+SUMIFS(Sheet2!$F$2:$F$241,Sheet2!$A$2:$A$241,"="&amp;$B27,Sheet2!$B$2:$B$241,"&lt;="&amp;$Z$5))*((SUMIFS(Sheet1!D$2:D$241,Sheet1!$A$2:$A$241,"="&amp;$B27,Sheet1!$B$2:$B$241,"&gt;="&amp;$Y$5)+SUMIFS(Sheet2!D$2:D$241,Sheet2!$A$2:$A$241,"="&amp;$B27,Sheet2!$B$2:$B$241,"&lt;="&amp;$Z$5))/(SUMIFS(Sheet1!$D$2:$D$241,Sheet1!$A$2:$A$241,"="&amp;$B27,Sheet1!$B$2:$B$241,"&gt;="&amp;$Y$5)+SUMIFS(Sheet1!$E$2:$E$241,Sheet1!$A$2:$A$241,"="&amp;$B27,Sheet1!$B$2:$B$241,"&gt;="&amp;$Y$5)+SUMIFS(Sheet2!$D$2:$D$241,Sheet2!$A$2:$A$241,"="&amp;$B27,Sheet2!$B$2:$B$241,"&lt;="&amp;$Z$5)+SUMIFS(Sheet2!$E$2:$E$241,Sheet2!$A$2:$A$241,"="&amp;$B27,Sheet2!$B$2:$B$241,"&lt;="&amp;$Z$5)))))/(SUMIFS(Sheet1!$C$2:$C$241,Sheet1!$A$2:$A$241,"="&amp;$B27,Sheet1!$B$2:$B$241,"&gt;="&amp;$Y$5)+SUMIFS(Sheet2!$C$2:$C$241,Sheet2!$A$2:$A$241,"="&amp;$B27,Sheet2!$B$2:$B$241,"&lt;="&amp;$Z$5))</f>
        <v>994.13123664196371</v>
      </c>
      <c r="K55" s="583">
        <f ca="1">(SUMIFS(Sheet1!E$2:E$241,Sheet1!$A$2:$A$241,"="&amp;$B27,Sheet1!$B$2:$B$241,"&gt;="&amp;$Y$5)+SUMIFS(Sheet2!E$2:E$241,Sheet2!$A$2:$A$241,"="&amp;$B27,Sheet2!$B$2:$B$241,"&lt;="&amp;$Z$5)+SUMIFS(Sheet1!$G$2:$G$241,Sheet1!$A$2:$A$241,"="&amp;$B27,Sheet1!$B$2:$B$241,"&gt;="&amp;$Y$5)+SUMIFS(Sheet2!$G$2:$G$241,Sheet2!$A$2:$A$241,"="&amp;$B27,Sheet2!$B$2:$B$241,"&lt;="&amp;$Z$5)+((SUMIFS(Sheet1!$F$2:$F$241,Sheet1!$A$2:$A$241,"="&amp;$B27,Sheet1!$B$2:$B$241,"&gt;="&amp;$Y$5)+SUMIFS(Sheet2!$F$2:$F$241,Sheet2!$A$2:$A$241,"="&amp;$B27,Sheet2!$B$2:$B$241,"&lt;="&amp;$Z$5))*((SUMIFS(Sheet1!E$2:E$241,Sheet1!$A$2:$A$241,"="&amp;$B27,Sheet1!$B$2:$B$241,"&gt;="&amp;$Y$5)+SUMIFS(Sheet2!E$2:E$241,Sheet2!$A$2:$A$241,"="&amp;$B27,Sheet2!$B$2:$B$241,"&lt;="&amp;$Z$5))/(SUMIFS(Sheet1!$D$2:$D$241,Sheet1!$A$2:$A$241,"="&amp;$B27,Sheet1!$B$2:$B$241,"&gt;="&amp;$Y$5)+SUMIFS(Sheet1!$E$2:$E$241,Sheet1!$A$2:$A$241,"="&amp;$B27,Sheet1!$B$2:$B$241,"&gt;="&amp;$Y$5)+SUMIFS(Sheet2!$D$2:$D$241,Sheet2!$A$2:$A$241,"="&amp;$B27,Sheet2!$B$2:$B$241,"&lt;="&amp;$Z$5)+SUMIFS(Sheet2!$E$2:$E$241,Sheet2!$A$2:$A$241,"="&amp;$B27,Sheet2!$B$2:$B$241,"&lt;="&amp;$Z$5)))))/(SUMIFS(Sheet1!$C$2:$C$241,Sheet1!$A$2:$A$241,"="&amp;$B27,Sheet1!$B$2:$B$241,"&gt;="&amp;$Y$5)+SUMIFS(Sheet2!$C$2:$C$241,Sheet2!$A$2:$A$241,"="&amp;$B27,Sheet2!$B$2:$B$241,"&lt;="&amp;$Z$5))</f>
        <v>585.02626607247737</v>
      </c>
      <c r="L55" s="447"/>
      <c r="M55" s="447"/>
    </row>
    <row r="56" spans="3:13" ht="18.5" x14ac:dyDescent="0.45">
      <c r="C56" s="312" t="s">
        <v>241</v>
      </c>
      <c r="D56" s="210"/>
      <c r="E56" s="210"/>
      <c r="F56" s="435">
        <f>1154.02577362012-289.83</f>
        <v>864.19577362012001</v>
      </c>
      <c r="G56" s="435">
        <f>438.896358829581-195.67</f>
        <v>243.22635882958102</v>
      </c>
      <c r="H56" s="435">
        <f>1351.54339767313-74.05</f>
        <v>1277.4933976731299</v>
      </c>
      <c r="I56" s="435">
        <f>528.107096969257-222.93</f>
        <v>305.17709696925698</v>
      </c>
      <c r="J56" s="586">
        <f ca="1">(SUMIFS(Sheet1!D$2:D$241,Sheet1!$A$2:$A$241,"="&amp;$B28,Sheet1!$B$2:$B$241,"&gt;="&amp;$Y$5)+SUMIFS(Sheet2!D$2:D$241,Sheet2!$A$2:$A$241,"="&amp;$B28,Sheet2!$B$2:$B$241,"&lt;="&amp;$Z$5)+((SUMIFS(Sheet1!$F$2:$F$241,Sheet1!$A$2:$A$241,"="&amp;$B28,Sheet1!$B$2:$B$241,"&gt;="&amp;$Y$5)+SUMIFS(Sheet2!$F$2:$F$241,Sheet2!$A$2:$A$241,"="&amp;$B28,Sheet2!$B$2:$B$241,"&lt;="&amp;$Z$5))*((SUMIFS(Sheet1!D$2:D$241,Sheet1!$A$2:$A$241,"="&amp;$B28,Sheet1!$B$2:$B$241,"&gt;="&amp;$Y$5)+SUMIFS(Sheet2!D$2:D$241,Sheet2!$A$2:$A$241,"="&amp;$B28,Sheet2!$B$2:$B$241,"&lt;="&amp;$Z$5))/(SUMIFS(Sheet1!$D$2:$D$241,Sheet1!$A$2:$A$241,"="&amp;$B28,Sheet1!$B$2:$B$241,"&gt;="&amp;$Y$5)+SUMIFS(Sheet1!$E$2:$E$241,Sheet1!$A$2:$A$241,"="&amp;$B28,Sheet1!$B$2:$B$241,"&gt;="&amp;$Y$5)+SUMIFS(Sheet2!$D$2:$D$241,Sheet2!$A$2:$A$241,"="&amp;$B28,Sheet2!$B$2:$B$241,"&lt;="&amp;$Z$5)+SUMIFS(Sheet2!$E$2:$E$241,Sheet2!$A$2:$A$241,"="&amp;$B28,Sheet2!$B$2:$B$241,"&lt;="&amp;$Z$5)))))/(SUMIFS(Sheet1!$C$2:$C$241,Sheet1!$A$2:$A$241,"="&amp;$B28,Sheet1!$B$2:$B$241,"&gt;="&amp;$Y$5)+SUMIFS(Sheet2!$C$2:$C$241,Sheet2!$A$2:$A$241,"="&amp;$B28,Sheet2!$B$2:$B$241,"&lt;="&amp;$Z$5))</f>
        <v>1073.6675551324697</v>
      </c>
      <c r="K56" s="586">
        <f ca="1">(SUMIFS(Sheet1!E$2:E$241,Sheet1!$A$2:$A$241,"="&amp;$B28,Sheet1!$B$2:$B$241,"&gt;="&amp;$Y$5)+SUMIFS(Sheet2!E$2:E$241,Sheet2!$A$2:$A$241,"="&amp;$B28,Sheet2!$B$2:$B$241,"&lt;="&amp;$Z$5)+SUMIFS(Sheet1!$G$2:$G$241,Sheet1!$A$2:$A$241,"="&amp;$B28,Sheet1!$B$2:$B$241,"&gt;="&amp;$Y$5)+SUMIFS(Sheet2!$G$2:$G$241,Sheet2!$A$2:$A$241,"="&amp;$B28,Sheet2!$B$2:$B$241,"&lt;="&amp;$Z$5)+((SUMIFS(Sheet1!$F$2:$F$241,Sheet1!$A$2:$A$241,"="&amp;$B28,Sheet1!$B$2:$B$241,"&gt;="&amp;$Y$5)+SUMIFS(Sheet2!$F$2:$F$241,Sheet2!$A$2:$A$241,"="&amp;$B28,Sheet2!$B$2:$B$241,"&lt;="&amp;$Z$5))*((SUMIFS(Sheet1!E$2:E$241,Sheet1!$A$2:$A$241,"="&amp;$B28,Sheet1!$B$2:$B$241,"&gt;="&amp;$Y$5)+SUMIFS(Sheet2!E$2:E$241,Sheet2!$A$2:$A$241,"="&amp;$B28,Sheet2!$B$2:$B$241,"&lt;="&amp;$Z$5))/(SUMIFS(Sheet1!$D$2:$D$241,Sheet1!$A$2:$A$241,"="&amp;$B28,Sheet1!$B$2:$B$241,"&gt;="&amp;$Y$5)+SUMIFS(Sheet1!$E$2:$E$241,Sheet1!$A$2:$A$241,"="&amp;$B28,Sheet1!$B$2:$B$241,"&gt;="&amp;$Y$5)+SUMIFS(Sheet2!$D$2:$D$241,Sheet2!$A$2:$A$241,"="&amp;$B28,Sheet2!$B$2:$B$241,"&lt;="&amp;$Z$5)+SUMIFS(Sheet2!$E$2:$E$241,Sheet2!$A$2:$A$241,"="&amp;$B28,Sheet2!$B$2:$B$241,"&lt;="&amp;$Z$5)))))/(SUMIFS(Sheet1!$C$2:$C$241,Sheet1!$A$2:$A$241,"="&amp;$B28,Sheet1!$B$2:$B$241,"&gt;="&amp;$Y$5)+SUMIFS(Sheet2!$C$2:$C$241,Sheet2!$A$2:$A$241,"="&amp;$B28,Sheet2!$B$2:$B$241,"&lt;="&amp;$Z$5))</f>
        <v>361.901832314209</v>
      </c>
      <c r="L56" s="435"/>
      <c r="M56" s="435"/>
    </row>
    <row r="57" spans="3:13" ht="18.5" x14ac:dyDescent="0.45">
      <c r="K57" s="435"/>
    </row>
    <row r="59" spans="3:13" x14ac:dyDescent="0.35">
      <c r="F59" s="453">
        <f>F56*1.2</f>
        <v>1037.034928344144</v>
      </c>
    </row>
    <row r="60" spans="3:13" x14ac:dyDescent="0.35">
      <c r="F60" s="453">
        <f>F59*1.2</f>
        <v>1244.4419140129728</v>
      </c>
    </row>
  </sheetData>
  <mergeCells count="26">
    <mergeCell ref="C2:V2"/>
    <mergeCell ref="C3:V3"/>
    <mergeCell ref="C5:V5"/>
    <mergeCell ref="C7:C8"/>
    <mergeCell ref="D7:D8"/>
    <mergeCell ref="F7:G7"/>
    <mergeCell ref="J7:K7"/>
    <mergeCell ref="Q7:R7"/>
    <mergeCell ref="T7:T8"/>
    <mergeCell ref="N7:P7"/>
    <mergeCell ref="E7:E8"/>
    <mergeCell ref="U7:U8"/>
    <mergeCell ref="V7:V8"/>
    <mergeCell ref="S7:S8"/>
    <mergeCell ref="L7:M7"/>
    <mergeCell ref="H7:I7"/>
    <mergeCell ref="N29:O29"/>
    <mergeCell ref="N30:O30"/>
    <mergeCell ref="N31:O31"/>
    <mergeCell ref="F35:G35"/>
    <mergeCell ref="H35:I35"/>
    <mergeCell ref="H34:I34"/>
    <mergeCell ref="F34:G34"/>
    <mergeCell ref="J34:K34"/>
    <mergeCell ref="J35:K35"/>
    <mergeCell ref="H29:I32"/>
  </mergeCells>
  <phoneticPr fontId="50" type="noConversion"/>
  <printOptions horizontalCentered="1"/>
  <pageMargins left="0.7" right="0.7" top="0.75" bottom="0.75" header="0.3" footer="0.3"/>
  <pageSetup scale="33" fitToHeight="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72FE6-FC98-49CA-A2F8-005BAE4CB15D}">
  <sheetPr codeName="Sheet5">
    <tabColor theme="4" tint="-0.499984740745262"/>
    <pageSetUpPr fitToPage="1"/>
  </sheetPr>
  <dimension ref="B1:L31"/>
  <sheetViews>
    <sheetView view="pageBreakPreview" zoomScale="80" zoomScaleNormal="80" zoomScaleSheetLayoutView="80" workbookViewId="0">
      <selection activeCell="I9" sqref="I9"/>
    </sheetView>
  </sheetViews>
  <sheetFormatPr defaultColWidth="9.1796875" defaultRowHeight="18.5" x14ac:dyDescent="0.45"/>
  <cols>
    <col min="1" max="1" width="1" customWidth="1"/>
    <col min="2" max="2" width="50.54296875" bestFit="1" customWidth="1"/>
    <col min="3" max="3" width="16.453125" bestFit="1" customWidth="1"/>
    <col min="4" max="4" width="12.26953125" bestFit="1" customWidth="1"/>
    <col min="5" max="5" width="25.453125" bestFit="1" customWidth="1"/>
    <col min="6" max="6" width="24.54296875" bestFit="1" customWidth="1"/>
    <col min="7" max="7" width="19.7265625" bestFit="1" customWidth="1"/>
    <col min="8" max="8" width="20" bestFit="1" customWidth="1"/>
    <col min="9" max="9" width="20.81640625" customWidth="1"/>
    <col min="10" max="10" width="33.1796875" bestFit="1" customWidth="1"/>
    <col min="11" max="11" width="21.7265625" style="244" hidden="1" customWidth="1"/>
    <col min="12" max="12" width="22.81640625" style="244" hidden="1" customWidth="1"/>
  </cols>
  <sheetData>
    <row r="1" spans="2:12" ht="5.25" customHeight="1" x14ac:dyDescent="0.45"/>
    <row r="2" spans="2:12" ht="23.5" x14ac:dyDescent="0.55000000000000004">
      <c r="B2" s="603" t="str">
        <f>Narrative!H5</f>
        <v>NOREBT</v>
      </c>
      <c r="C2" s="603"/>
      <c r="D2" s="603"/>
      <c r="E2" s="603"/>
      <c r="F2" s="603"/>
      <c r="G2" s="603"/>
      <c r="H2" s="603"/>
      <c r="I2" s="603"/>
      <c r="J2" s="603"/>
      <c r="K2" s="603"/>
      <c r="L2" s="603"/>
    </row>
    <row r="3" spans="2:12" x14ac:dyDescent="0.45">
      <c r="B3" s="604" t="s">
        <v>162</v>
      </c>
      <c r="C3" s="604"/>
      <c r="D3" s="604"/>
      <c r="E3" s="604"/>
      <c r="F3" s="604"/>
      <c r="G3" s="604"/>
      <c r="H3" s="604"/>
      <c r="I3" s="604"/>
      <c r="J3" s="604"/>
      <c r="K3" s="604"/>
      <c r="L3" s="604"/>
    </row>
    <row r="4" spans="2:12" x14ac:dyDescent="0.45"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</row>
    <row r="5" spans="2:12" x14ac:dyDescent="0.45">
      <c r="B5" s="619" t="str">
        <f>'HCC Detail'!B5</f>
        <v>Claims &gt;$25,000, Mini-Pool Threshold $300,000</v>
      </c>
      <c r="C5" s="619"/>
      <c r="D5" s="619"/>
      <c r="E5" s="619"/>
      <c r="F5" s="619"/>
      <c r="G5" s="619"/>
      <c r="H5" s="619"/>
      <c r="I5" s="619"/>
      <c r="J5" s="619"/>
      <c r="K5" s="619"/>
      <c r="L5" s="619"/>
    </row>
    <row r="6" spans="2:12" x14ac:dyDescent="0.45">
      <c r="B6" s="618" t="str">
        <f>Addendum!E6</f>
        <v>Claims Paid July 2024 through February 2025</v>
      </c>
      <c r="C6" s="618"/>
      <c r="D6" s="618"/>
      <c r="E6" s="618"/>
      <c r="F6" s="618"/>
      <c r="G6" s="618"/>
      <c r="H6" s="618"/>
      <c r="I6" s="618"/>
      <c r="J6" s="618"/>
      <c r="K6" s="618"/>
      <c r="L6" s="618"/>
    </row>
    <row r="7" spans="2:12" x14ac:dyDescent="0.45"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</row>
    <row r="8" spans="2:12" x14ac:dyDescent="0.45">
      <c r="B8" s="227" t="s">
        <v>152</v>
      </c>
      <c r="C8" s="227" t="s">
        <v>156</v>
      </c>
      <c r="D8" s="228" t="s">
        <v>187</v>
      </c>
      <c r="E8" s="227" t="s">
        <v>188</v>
      </c>
      <c r="F8" s="229" t="s">
        <v>239</v>
      </c>
      <c r="G8" s="227" t="s">
        <v>155</v>
      </c>
      <c r="H8" s="227" t="s">
        <v>157</v>
      </c>
      <c r="I8" s="227" t="s">
        <v>158</v>
      </c>
      <c r="J8" s="227" t="s">
        <v>240</v>
      </c>
      <c r="K8" s="227" t="s">
        <v>159</v>
      </c>
      <c r="L8" s="227" t="s">
        <v>160</v>
      </c>
    </row>
    <row r="9" spans="2:12" x14ac:dyDescent="0.45">
      <c r="B9" s="161" t="str">
        <f>'HCC Data Entry'!I4</f>
        <v>Conneaut School District</v>
      </c>
      <c r="C9" s="230">
        <f>'HCC Data Entry'!J4</f>
        <v>68000</v>
      </c>
      <c r="D9" s="231">
        <f>COUNTIF('HCC Detail'!$B$9:$B$500,'HCC Summary'!$B9)</f>
        <v>24</v>
      </c>
      <c r="E9" s="232">
        <f>COUNTIFS('HCC Detail'!$B$9:$B$500,'HCC Summary'!$B9,'HCC Detail'!$H$9:$H$500,"&gt;0")</f>
        <v>9</v>
      </c>
      <c r="F9" s="233">
        <f>IFERROR(G9/D9,0)</f>
        <v>73321.184166666659</v>
      </c>
      <c r="G9" s="234">
        <f>SUMIF('HCC Detail'!$B$9:$B$500,'HCC Summary'!$B9,'HCC Detail'!$F$9:$F$500)</f>
        <v>1759708.4199999997</v>
      </c>
      <c r="H9" s="234">
        <f>SUMIF('HCC Detail'!$B$9:$B$500,'HCC Summary'!$B9,'HCC Detail'!$H$9:$H$500)</f>
        <v>531070.79</v>
      </c>
      <c r="I9" s="234">
        <f>SUMIF('HCC Detail'!$B$9:$B$500,'HCC Summary'!$B9,'HCC Detail'!$I$9:$I$500)</f>
        <v>531070.79</v>
      </c>
      <c r="J9" s="234">
        <f>SUMIF('HCC Detail'!$B$9:$B$500,'HCC Summary'!$B9,'HCC Detail'!$J$9:$J$500)</f>
        <v>0</v>
      </c>
      <c r="K9" s="234">
        <f>SUMIF('HCC Detail'!$B$9:$B$200,'HCC Summary'!$B9,'HCC Detail'!$K$9:$K$200)</f>
        <v>0</v>
      </c>
      <c r="L9" s="234">
        <f>SUMIF('HCC Detail'!$B$9:$B$200,'HCC Summary'!$B9,'HCC Detail'!$L$9:$L$200)</f>
        <v>0</v>
      </c>
    </row>
    <row r="10" spans="2:12" x14ac:dyDescent="0.45">
      <c r="B10" s="235" t="str">
        <f>'HCC Data Entry'!I5</f>
        <v>Corry Area School District</v>
      </c>
      <c r="C10" s="236">
        <f>'HCC Data Entry'!J5</f>
        <v>68000</v>
      </c>
      <c r="D10" s="237">
        <f>COUNTIF('HCC Detail'!$B$9:$B$500,'HCC Summary'!$B10)</f>
        <v>24</v>
      </c>
      <c r="E10" s="238">
        <f>COUNTIFS('HCC Detail'!$B$9:$B$500,'HCC Summary'!$B10,'HCC Detail'!$H$9:$H$500,"&gt;0")</f>
        <v>8</v>
      </c>
      <c r="F10" s="239">
        <f t="shared" ref="F10:F27" si="0">IFERROR(G10/D10,0)</f>
        <v>66210.476249999992</v>
      </c>
      <c r="G10" s="240">
        <f>SUMIF('HCC Detail'!$B$9:$B$500,'HCC Summary'!$B10,'HCC Detail'!$F$9:$F$500)</f>
        <v>1589051.43</v>
      </c>
      <c r="H10" s="240">
        <f>SUMIF('HCC Detail'!$B$9:$B$500,'HCC Summary'!$B10,'HCC Detail'!$H$9:$H$500)</f>
        <v>382353.82999999996</v>
      </c>
      <c r="I10" s="240">
        <f>SUMIF('HCC Detail'!$B$9:$B$500,'HCC Summary'!$B10,'HCC Detail'!$I$9:$I$500)</f>
        <v>382353.82999999996</v>
      </c>
      <c r="J10" s="240">
        <f>SUMIF('HCC Detail'!$B$9:$B$500,'HCC Summary'!$B10,'HCC Detail'!$J$9:$J$500)</f>
        <v>0</v>
      </c>
      <c r="K10" s="234">
        <f>SUMIF('HCC Detail'!$B$9:$B$200,'HCC Summary'!$B10,'HCC Detail'!$K$9:$K$200)</f>
        <v>0</v>
      </c>
      <c r="L10" s="234">
        <f>SUMIF('HCC Detail'!$B$9:$B$200,'HCC Summary'!$B10,'HCC Detail'!$L$9:$L$200)</f>
        <v>0</v>
      </c>
    </row>
    <row r="11" spans="2:12" x14ac:dyDescent="0.45">
      <c r="B11" s="161" t="str">
        <f>'HCC Data Entry'!I6</f>
        <v>Crawford County Career &amp; Technical Center</v>
      </c>
      <c r="C11" s="230">
        <f>'HCC Data Entry'!J6</f>
        <v>50000</v>
      </c>
      <c r="D11" s="231">
        <f>COUNTIF('HCC Detail'!$B$9:$B$500,'HCC Summary'!$B11)</f>
        <v>6</v>
      </c>
      <c r="E11" s="232">
        <f>COUNTIFS('HCC Detail'!$B$9:$B$500,'HCC Summary'!$B11,'HCC Detail'!$H$9:$H$500,"&gt;0")</f>
        <v>1</v>
      </c>
      <c r="F11" s="233">
        <f t="shared" si="0"/>
        <v>40416.033333333326</v>
      </c>
      <c r="G11" s="234">
        <f>SUMIF('HCC Detail'!$B$9:$B$500,'HCC Summary'!$B11,'HCC Detail'!$F$9:$F$500)</f>
        <v>242496.19999999995</v>
      </c>
      <c r="H11" s="234">
        <f>SUMIF('HCC Detail'!$B$9:$B$500,'HCC Summary'!$B11,'HCC Detail'!$H$9:$H$500)</f>
        <v>28063.619999999995</v>
      </c>
      <c r="I11" s="234">
        <f>SUMIF('HCC Detail'!$B$9:$B$500,'HCC Summary'!$B11,'HCC Detail'!$I$9:$I$500)</f>
        <v>28063.619999999995</v>
      </c>
      <c r="J11" s="234">
        <f>SUMIF('HCC Detail'!$B$9:$B$500,'HCC Summary'!$B11,'HCC Detail'!$J$9:$J$500)</f>
        <v>0</v>
      </c>
      <c r="K11" s="234">
        <f>SUMIF('HCC Detail'!$B$9:$B$200,'HCC Summary'!$B11,'HCC Detail'!$K$9:$K$200)</f>
        <v>0</v>
      </c>
      <c r="L11" s="234">
        <f>SUMIF('HCC Detail'!$B$9:$B$200,'HCC Summary'!$B11,'HCC Detail'!$L$9:$L$200)</f>
        <v>0</v>
      </c>
    </row>
    <row r="12" spans="2:12" x14ac:dyDescent="0.45">
      <c r="B12" s="235" t="str">
        <f>'HCC Data Entry'!I7</f>
        <v>Erie County Technical School</v>
      </c>
      <c r="C12" s="236">
        <f>'HCC Data Entry'!J7</f>
        <v>50000</v>
      </c>
      <c r="D12" s="237">
        <f>COUNTIF('HCC Detail'!$B$9:$B$500,'HCC Summary'!$B12)</f>
        <v>5</v>
      </c>
      <c r="E12" s="238">
        <f>COUNTIFS('HCC Detail'!$B$9:$B$500,'HCC Summary'!$B12,'HCC Detail'!$H$9:$H$500,"&gt;0")</f>
        <v>3</v>
      </c>
      <c r="F12" s="239">
        <f t="shared" si="0"/>
        <v>69401.182000000001</v>
      </c>
      <c r="G12" s="240">
        <f>SUMIF('HCC Detail'!$B$9:$B$500,'HCC Summary'!$B12,'HCC Detail'!$F$9:$F$500)</f>
        <v>347005.91000000003</v>
      </c>
      <c r="H12" s="240">
        <f>SUMIF('HCC Detail'!$B$9:$B$500,'HCC Summary'!$B12,'HCC Detail'!$H$9:$H$500)</f>
        <v>110956.54000000001</v>
      </c>
      <c r="I12" s="240">
        <f>SUMIF('HCC Detail'!$B$9:$B$500,'HCC Summary'!$B12,'HCC Detail'!$I$9:$I$500)</f>
        <v>110956.54000000001</v>
      </c>
      <c r="J12" s="240">
        <f>SUMIF('HCC Detail'!$B$9:$B$500,'HCC Summary'!$B12,'HCC Detail'!$J$9:$J$500)</f>
        <v>0</v>
      </c>
      <c r="K12" s="234">
        <f>SUMIF('HCC Detail'!$B$9:$B$200,'HCC Summary'!$B12,'HCC Detail'!$K$9:$K$200)</f>
        <v>0</v>
      </c>
      <c r="L12" s="234">
        <f>SUMIF('HCC Detail'!$B$9:$B$200,'HCC Summary'!$B12,'HCC Detail'!$L$9:$L$200)</f>
        <v>0</v>
      </c>
    </row>
    <row r="13" spans="2:12" x14ac:dyDescent="0.45">
      <c r="B13" s="161" t="str">
        <f>'HCC Data Entry'!I8</f>
        <v>Fairview School District</v>
      </c>
      <c r="C13" s="230">
        <f>'HCC Data Entry'!J8</f>
        <v>68000</v>
      </c>
      <c r="D13" s="231">
        <f>COUNTIF('HCC Detail'!$B$9:$B$500,'HCC Summary'!$B13)</f>
        <v>24</v>
      </c>
      <c r="E13" s="232">
        <f>COUNTIFS('HCC Detail'!$B$9:$B$500,'HCC Summary'!$B13,'HCC Detail'!$H$9:$H$500,"&gt;0")</f>
        <v>12</v>
      </c>
      <c r="F13" s="233">
        <f t="shared" si="0"/>
        <v>134510.47666666665</v>
      </c>
      <c r="G13" s="234">
        <f>SUMIF('HCC Detail'!$B$9:$B$500,'HCC Summary'!$B13,'HCC Detail'!$F$9:$F$500)</f>
        <v>3228251.44</v>
      </c>
      <c r="H13" s="234">
        <f>SUMIF('HCC Detail'!$B$9:$B$500,'HCC Summary'!$B13,'HCC Detail'!$H$9:$H$500)</f>
        <v>1875229.3399999999</v>
      </c>
      <c r="I13" s="234">
        <f>SUMIF('HCC Detail'!$B$9:$B$500,'HCC Summary'!$B13,'HCC Detail'!$I$9:$I$500)</f>
        <v>1053855.3499999999</v>
      </c>
      <c r="J13" s="234">
        <f>SUMIF('HCC Detail'!$B$9:$B$500,'HCC Summary'!$B13,'HCC Detail'!$J$9:$J$500)</f>
        <v>821373.99</v>
      </c>
      <c r="K13" s="234">
        <f>SUMIF('HCC Detail'!$B$9:$B$200,'HCC Summary'!$B13,'HCC Detail'!$K$9:$K$200)</f>
        <v>0</v>
      </c>
      <c r="L13" s="234">
        <f>SUMIF('HCC Detail'!$B$9:$B$200,'HCC Summary'!$B13,'HCC Detail'!$L$9:$L$200)</f>
        <v>0</v>
      </c>
    </row>
    <row r="14" spans="2:12" x14ac:dyDescent="0.45">
      <c r="B14" s="235" t="str">
        <f>'HCC Data Entry'!I9</f>
        <v>Ft LeBoeuf School District</v>
      </c>
      <c r="C14" s="236">
        <f>'HCC Data Entry'!J9</f>
        <v>85000</v>
      </c>
      <c r="D14" s="237">
        <f>COUNTIF('HCC Detail'!$B$9:$B$500,'HCC Summary'!$B14)</f>
        <v>18</v>
      </c>
      <c r="E14" s="238">
        <f>COUNTIFS('HCC Detail'!$B$9:$B$500,'HCC Summary'!$B14,'HCC Detail'!$H$9:$H$500,"&gt;0")</f>
        <v>6</v>
      </c>
      <c r="F14" s="239">
        <f t="shared" si="0"/>
        <v>104209.90388888889</v>
      </c>
      <c r="G14" s="240">
        <f>SUMIF('HCC Detail'!$B$9:$B$500,'HCC Summary'!$B14,'HCC Detail'!$F$9:$F$500)</f>
        <v>1875778.27</v>
      </c>
      <c r="H14" s="240">
        <f>SUMIF('HCC Detail'!$B$9:$B$500,'HCC Summary'!$B14,'HCC Detail'!$H$9:$H$500)</f>
        <v>762730.32000000007</v>
      </c>
      <c r="I14" s="240">
        <f>SUMIF('HCC Detail'!$B$9:$B$500,'HCC Summary'!$B14,'HCC Detail'!$I$9:$I$500)</f>
        <v>465617.89</v>
      </c>
      <c r="J14" s="240">
        <f>SUMIF('HCC Detail'!$B$9:$B$500,'HCC Summary'!$B14,'HCC Detail'!$J$9:$J$500)</f>
        <v>297112.43000000005</v>
      </c>
      <c r="K14" s="234">
        <f>SUMIF('HCC Detail'!$B$9:$B$200,'HCC Summary'!$B14,'HCC Detail'!$K$9:$K$200)</f>
        <v>0</v>
      </c>
      <c r="L14" s="234">
        <f>SUMIF('HCC Detail'!$B$9:$B$200,'HCC Summary'!$B14,'HCC Detail'!$L$9:$L$200)</f>
        <v>0</v>
      </c>
    </row>
    <row r="15" spans="2:12" x14ac:dyDescent="0.45">
      <c r="B15" s="161" t="str">
        <f>'HCC Data Entry'!I10</f>
        <v>Franklin Area School District</v>
      </c>
      <c r="C15" s="230">
        <f>'HCC Data Entry'!J10</f>
        <v>85000</v>
      </c>
      <c r="D15" s="231">
        <f>COUNTIF('HCC Detail'!$B$9:$B$500,'HCC Summary'!$B15)</f>
        <v>13</v>
      </c>
      <c r="E15" s="232">
        <f>COUNTIFS('HCC Detail'!$B$9:$B$500,'HCC Summary'!$B15,'HCC Detail'!$H$9:$H$500,"&gt;0")</f>
        <v>5</v>
      </c>
      <c r="F15" s="233">
        <f t="shared" si="0"/>
        <v>89940.199230769213</v>
      </c>
      <c r="G15" s="234">
        <f>SUMIF('HCC Detail'!$B$9:$B$500,'HCC Summary'!$B15,'HCC Detail'!$F$9:$F$500)</f>
        <v>1169222.5899999999</v>
      </c>
      <c r="H15" s="234">
        <f>SUMIF('HCC Detail'!$B$9:$B$500,'HCC Summary'!$B15,'HCC Detail'!$H$9:$H$500)</f>
        <v>373100.03</v>
      </c>
      <c r="I15" s="234">
        <f>SUMIF('HCC Detail'!$B$9:$B$500,'HCC Summary'!$B15,'HCC Detail'!$I$9:$I$500)</f>
        <v>324117.77999999997</v>
      </c>
      <c r="J15" s="234">
        <f>SUMIF('HCC Detail'!$B$9:$B$500,'HCC Summary'!$B15,'HCC Detail'!$J$9:$J$500)</f>
        <v>48982.25</v>
      </c>
      <c r="K15" s="234">
        <f>SUMIF('HCC Detail'!$B$9:$B$200,'HCC Summary'!$B15,'HCC Detail'!$K$9:$K$200)</f>
        <v>0</v>
      </c>
      <c r="L15" s="234">
        <f>SUMIF('HCC Detail'!$B$9:$B$200,'HCC Summary'!$B15,'HCC Detail'!$L$9:$L$200)</f>
        <v>0</v>
      </c>
    </row>
    <row r="16" spans="2:12" x14ac:dyDescent="0.45">
      <c r="B16" s="235" t="str">
        <f>'HCC Data Entry'!I11</f>
        <v>Girard School District</v>
      </c>
      <c r="C16" s="236">
        <f>'HCC Data Entry'!J11</f>
        <v>68000</v>
      </c>
      <c r="D16" s="237">
        <f>COUNTIF('HCC Detail'!$B$9:$B$500,'HCC Summary'!$B16)</f>
        <v>17</v>
      </c>
      <c r="E16" s="238">
        <f>COUNTIFS('HCC Detail'!$B$9:$B$500,'HCC Summary'!$B16,'HCC Detail'!$H$9:$H$500,"&gt;0")</f>
        <v>4</v>
      </c>
      <c r="F16" s="239">
        <f t="shared" si="0"/>
        <v>56185.511176470587</v>
      </c>
      <c r="G16" s="240">
        <f>SUMIF('HCC Detail'!$B$9:$B$500,'HCC Summary'!$B16,'HCC Detail'!$F$9:$F$500)</f>
        <v>955153.69</v>
      </c>
      <c r="H16" s="240">
        <f>SUMIF('HCC Detail'!$B$9:$B$500,'HCC Summary'!$B16,'HCC Detail'!$H$9:$H$500)</f>
        <v>139749.03</v>
      </c>
      <c r="I16" s="240">
        <f>SUMIF('HCC Detail'!$B$9:$B$500,'HCC Summary'!$B16,'HCC Detail'!$I$9:$I$500)</f>
        <v>139749.03</v>
      </c>
      <c r="J16" s="240">
        <f>SUMIF('HCC Detail'!$B$9:$B$500,'HCC Summary'!$B16,'HCC Detail'!$J$9:$J$500)</f>
        <v>0</v>
      </c>
      <c r="K16" s="234">
        <f>SUMIF('HCC Detail'!$B$9:$B$200,'HCC Summary'!$B16,'HCC Detail'!$K$9:$K$200)</f>
        <v>0</v>
      </c>
      <c r="L16" s="234">
        <f>SUMIF('HCC Detail'!$B$9:$B$200,'HCC Summary'!$B16,'HCC Detail'!$L$9:$L$200)</f>
        <v>0</v>
      </c>
    </row>
    <row r="17" spans="2:12" x14ac:dyDescent="0.45">
      <c r="B17" s="161" t="str">
        <f>'HCC Data Entry'!I12</f>
        <v>Harborcreek School District</v>
      </c>
      <c r="C17" s="230">
        <f>'HCC Data Entry'!J12</f>
        <v>68000</v>
      </c>
      <c r="D17" s="231">
        <f>COUNTIF('HCC Detail'!$B$9:$B$500,'HCC Summary'!$B17)</f>
        <v>25</v>
      </c>
      <c r="E17" s="232">
        <f>COUNTIFS('HCC Detail'!$B$9:$B$500,'HCC Summary'!$B17,'HCC Detail'!$H$9:$H$500,"&gt;0")</f>
        <v>11</v>
      </c>
      <c r="F17" s="233">
        <f t="shared" si="0"/>
        <v>91228.345200000011</v>
      </c>
      <c r="G17" s="234">
        <f>SUMIF('HCC Detail'!$B$9:$B$500,'HCC Summary'!$B17,'HCC Detail'!$F$9:$F$500)</f>
        <v>2280708.6300000004</v>
      </c>
      <c r="H17" s="234">
        <f>SUMIF('HCC Detail'!$B$9:$B$500,'HCC Summary'!$B17,'HCC Detail'!$H$9:$H$500)</f>
        <v>960796.91</v>
      </c>
      <c r="I17" s="234">
        <f>SUMIF('HCC Detail'!$B$9:$B$500,'HCC Summary'!$B17,'HCC Detail'!$I$9:$I$500)</f>
        <v>811352.75999999989</v>
      </c>
      <c r="J17" s="234">
        <f>SUMIF('HCC Detail'!$B$9:$B$500,'HCC Summary'!$B17,'HCC Detail'!$J$9:$J$500)</f>
        <v>149444.15000000002</v>
      </c>
      <c r="K17" s="234">
        <f>SUMIF('HCC Detail'!$B$9:$B$200,'HCC Summary'!$B17,'HCC Detail'!$K$9:$K$200)</f>
        <v>0</v>
      </c>
      <c r="L17" s="234">
        <f>SUMIF('HCC Detail'!$B$9:$B$200,'HCC Summary'!$B17,'HCC Detail'!$L$9:$L$200)</f>
        <v>0</v>
      </c>
    </row>
    <row r="18" spans="2:12" x14ac:dyDescent="0.45">
      <c r="B18" s="235" t="str">
        <f>'HCC Data Entry'!I13</f>
        <v>Iroquois School District</v>
      </c>
      <c r="C18" s="236">
        <f>'HCC Data Entry'!J13</f>
        <v>68000</v>
      </c>
      <c r="D18" s="237">
        <f>COUNTIF('HCC Detail'!$B$9:$B$500,'HCC Summary'!$B18)</f>
        <v>11</v>
      </c>
      <c r="E18" s="238">
        <f>COUNTIFS('HCC Detail'!$B$9:$B$500,'HCC Summary'!$B18,'HCC Detail'!$H$9:$H$500,"&gt;0")</f>
        <v>2</v>
      </c>
      <c r="F18" s="239">
        <f t="shared" si="0"/>
        <v>81521.08</v>
      </c>
      <c r="G18" s="240">
        <f>SUMIF('HCC Detail'!$B$9:$B$500,'HCC Summary'!$B18,'HCC Detail'!$F$9:$F$500)</f>
        <v>896731.88</v>
      </c>
      <c r="H18" s="240">
        <f>SUMIF('HCC Detail'!$B$9:$B$500,'HCC Summary'!$B18,'HCC Detail'!$H$9:$H$500)</f>
        <v>361958.54</v>
      </c>
      <c r="I18" s="240">
        <f>SUMIF('HCC Detail'!$B$9:$B$500,'HCC Summary'!$B18,'HCC Detail'!$I$9:$I$500)</f>
        <v>261056.38</v>
      </c>
      <c r="J18" s="240">
        <f>SUMIF('HCC Detail'!$B$9:$B$500,'HCC Summary'!$B18,'HCC Detail'!$J$9:$J$500)</f>
        <v>100902.15999999997</v>
      </c>
      <c r="K18" s="234">
        <f>SUMIF('HCC Detail'!$B$9:$B$200,'HCC Summary'!$B18,'HCC Detail'!$K$9:$K$200)</f>
        <v>0</v>
      </c>
      <c r="L18" s="234">
        <f>SUMIF('HCC Detail'!$B$9:$B$200,'HCC Summary'!$B18,'HCC Detail'!$L$9:$L$200)</f>
        <v>0</v>
      </c>
    </row>
    <row r="19" spans="2:12" x14ac:dyDescent="0.45">
      <c r="B19" s="161" t="str">
        <f>'HCC Data Entry'!I14</f>
        <v>North East School District</v>
      </c>
      <c r="C19" s="230">
        <f>'HCC Data Entry'!J14</f>
        <v>85000</v>
      </c>
      <c r="D19" s="231">
        <f>COUNTIF('HCC Detail'!$B$9:$B$500,'HCC Summary'!$B19)</f>
        <v>8</v>
      </c>
      <c r="E19" s="232">
        <f>COUNTIFS('HCC Detail'!$B$9:$B$500,'HCC Summary'!$B19,'HCC Detail'!$H$9:$H$500,"&gt;0")</f>
        <v>4</v>
      </c>
      <c r="F19" s="233">
        <f t="shared" si="0"/>
        <v>97958.196250000008</v>
      </c>
      <c r="G19" s="234">
        <f>SUMIF('HCC Detail'!$B$9:$B$500,'HCC Summary'!$B19,'HCC Detail'!$F$9:$F$500)</f>
        <v>783665.57000000007</v>
      </c>
      <c r="H19" s="234">
        <f>SUMIF('HCC Detail'!$B$9:$B$500,'HCC Summary'!$B19,'HCC Detail'!$H$9:$H$500)</f>
        <v>277621.23</v>
      </c>
      <c r="I19" s="234">
        <f>SUMIF('HCC Detail'!$B$9:$B$500,'HCC Summary'!$B19,'HCC Detail'!$I$9:$I$500)</f>
        <v>277621.23</v>
      </c>
      <c r="J19" s="234">
        <f>SUMIF('HCC Detail'!$B$9:$B$500,'HCC Summary'!$B19,'HCC Detail'!$J$9:$J$500)</f>
        <v>0</v>
      </c>
      <c r="K19" s="234">
        <f>SUMIF('HCC Detail'!$B$9:$B$200,'HCC Summary'!$B19,'HCC Detail'!$K$9:$K$200)</f>
        <v>0</v>
      </c>
      <c r="L19" s="234">
        <f>SUMIF('HCC Detail'!$B$9:$B$200,'HCC Summary'!$B19,'HCC Detail'!$L$9:$L$200)</f>
        <v>0</v>
      </c>
    </row>
    <row r="20" spans="2:12" x14ac:dyDescent="0.45">
      <c r="B20" s="235" t="str">
        <f>'HCC Data Entry'!I15</f>
        <v>Northwestern School District</v>
      </c>
      <c r="C20" s="236">
        <f>'HCC Data Entry'!J15</f>
        <v>75000</v>
      </c>
      <c r="D20" s="237">
        <f>COUNTIF('HCC Detail'!$B$9:$B$500,'HCC Summary'!$B20)</f>
        <v>16</v>
      </c>
      <c r="E20" s="238">
        <f>COUNTIFS('HCC Detail'!$B$9:$B$500,'HCC Summary'!$B20,'HCC Detail'!$H$9:$H$500,"&gt;0")</f>
        <v>7</v>
      </c>
      <c r="F20" s="239">
        <f t="shared" si="0"/>
        <v>145633.236875</v>
      </c>
      <c r="G20" s="240">
        <f>SUMIF('HCC Detail'!$B$9:$B$500,'HCC Summary'!$B20,'HCC Detail'!$F$9:$F$500)</f>
        <v>2330131.79</v>
      </c>
      <c r="H20" s="240">
        <f>SUMIF('HCC Detail'!$B$9:$B$500,'HCC Summary'!$B20,'HCC Detail'!$H$9:$H$500)</f>
        <v>1375523.7299999997</v>
      </c>
      <c r="I20" s="240">
        <f>SUMIF('HCC Detail'!$B$9:$B$500,'HCC Summary'!$B20,'HCC Detail'!$I$9:$I$500)</f>
        <v>1011197.94</v>
      </c>
      <c r="J20" s="240">
        <f>SUMIF('HCC Detail'!$B$9:$B$500,'HCC Summary'!$B20,'HCC Detail'!$J$9:$J$500)</f>
        <v>364325.79</v>
      </c>
      <c r="K20" s="234">
        <f>SUMIF('HCC Detail'!$B$9:$B$200,'HCC Summary'!$B20,'HCC Detail'!$K$9:$K$200)</f>
        <v>0</v>
      </c>
      <c r="L20" s="234">
        <f>SUMIF('HCC Detail'!$B$9:$B$200,'HCC Summary'!$B20,'HCC Detail'!$L$9:$L$200)</f>
        <v>0</v>
      </c>
    </row>
    <row r="21" spans="2:12" x14ac:dyDescent="0.45">
      <c r="B21" s="161" t="str">
        <f>'HCC Data Entry'!I16</f>
        <v>Northwest Tri-County Intermediate Unit #5</v>
      </c>
      <c r="C21" s="230">
        <f>'HCC Data Entry'!J16</f>
        <v>95000</v>
      </c>
      <c r="D21" s="231">
        <f>COUNTIF('HCC Detail'!$B$9:$B$500,'HCC Summary'!$B21)</f>
        <v>26</v>
      </c>
      <c r="E21" s="232">
        <f>COUNTIFS('HCC Detail'!$B$9:$B$500,'HCC Summary'!$B21,'HCC Detail'!$H$9:$H$500,"&gt;0")</f>
        <v>5</v>
      </c>
      <c r="F21" s="233">
        <f t="shared" si="0"/>
        <v>97328.501538461554</v>
      </c>
      <c r="G21" s="234">
        <f>SUMIF('HCC Detail'!$B$9:$B$500,'HCC Summary'!$B21,'HCC Detail'!$F$9:$F$500)</f>
        <v>2530541.0400000005</v>
      </c>
      <c r="H21" s="234">
        <f>SUMIF('HCC Detail'!$B$9:$B$500,'HCC Summary'!$B21,'HCC Detail'!$H$9:$H$500)</f>
        <v>1227436.96</v>
      </c>
      <c r="I21" s="234">
        <f>SUMIF('HCC Detail'!$B$9:$B$500,'HCC Summary'!$B21,'HCC Detail'!$I$9:$I$500)</f>
        <v>554806.53999999992</v>
      </c>
      <c r="J21" s="234">
        <f>SUMIF('HCC Detail'!$B$9:$B$500,'HCC Summary'!$B21,'HCC Detail'!$J$9:$J$500)</f>
        <v>672630.42</v>
      </c>
      <c r="K21" s="234">
        <f>SUMIF('HCC Detail'!$B$9:$B$200,'HCC Summary'!$B21,'HCC Detail'!$K$9:$K$200)</f>
        <v>0</v>
      </c>
      <c r="L21" s="234">
        <f>SUMIF('HCC Detail'!$B$9:$B$200,'HCC Summary'!$B21,'HCC Detail'!$L$9:$L$200)</f>
        <v>0</v>
      </c>
    </row>
    <row r="22" spans="2:12" x14ac:dyDescent="0.45">
      <c r="B22" s="235" t="str">
        <f>'HCC Data Entry'!I17</f>
        <v>Oil City Area School District</v>
      </c>
      <c r="C22" s="236">
        <f>'HCC Data Entry'!J17</f>
        <v>85000</v>
      </c>
      <c r="D22" s="237">
        <f>COUNTIF('HCC Detail'!$B$9:$B$500,'HCC Summary'!$B22)</f>
        <v>23</v>
      </c>
      <c r="E22" s="238">
        <f>COUNTIFS('HCC Detail'!$B$9:$B$500,'HCC Summary'!$B22,'HCC Detail'!$H$9:$H$500,"&gt;0")</f>
        <v>6</v>
      </c>
      <c r="F22" s="239">
        <f t="shared" si="0"/>
        <v>68635.455652173914</v>
      </c>
      <c r="G22" s="240">
        <f>SUMIF('HCC Detail'!$B$9:$B$500,'HCC Summary'!$B22,'HCC Detail'!$F$9:$F$500)</f>
        <v>1578615.48</v>
      </c>
      <c r="H22" s="240">
        <f>SUMIF('HCC Detail'!$B$9:$B$500,'HCC Summary'!$B22,'HCC Detail'!$H$9:$H$500)</f>
        <v>423329.46</v>
      </c>
      <c r="I22" s="240">
        <f>SUMIF('HCC Detail'!$B$9:$B$500,'HCC Summary'!$B22,'HCC Detail'!$I$9:$I$500)</f>
        <v>367966.18</v>
      </c>
      <c r="J22" s="240">
        <f>SUMIF('HCC Detail'!$B$9:$B$500,'HCC Summary'!$B22,'HCC Detail'!$J$9:$J$500)</f>
        <v>55363.280000000028</v>
      </c>
      <c r="K22" s="234">
        <f>SUMIF('HCC Detail'!$B$9:$B$200,'HCC Summary'!$B22,'HCC Detail'!$K$9:$K$200)</f>
        <v>0</v>
      </c>
      <c r="L22" s="234">
        <f>SUMIF('HCC Detail'!$B$9:$B$200,'HCC Summary'!$B22,'HCC Detail'!$L$9:$L$200)</f>
        <v>0</v>
      </c>
    </row>
    <row r="23" spans="2:12" x14ac:dyDescent="0.45">
      <c r="B23" s="161" t="str">
        <f>'HCC Data Entry'!I18</f>
        <v>Penncrest School District</v>
      </c>
      <c r="C23" s="230">
        <f>'HCC Data Entry'!J18</f>
        <v>110000</v>
      </c>
      <c r="D23" s="231">
        <f>COUNTIF('HCC Detail'!$B$9:$B$500,'HCC Summary'!$B23)</f>
        <v>34</v>
      </c>
      <c r="E23" s="232">
        <f>COUNTIFS('HCC Detail'!$B$9:$B$500,'HCC Summary'!$B23,'HCC Detail'!$H$9:$H$500,"&gt;0")</f>
        <v>7</v>
      </c>
      <c r="F23" s="233">
        <f t="shared" si="0"/>
        <v>92068.170882352948</v>
      </c>
      <c r="G23" s="234">
        <f>SUMIF('HCC Detail'!$B$9:$B$500,'HCC Summary'!$B23,'HCC Detail'!$F$9:$F$500)</f>
        <v>3130317.81</v>
      </c>
      <c r="H23" s="234">
        <f>SUMIF('HCC Detail'!$B$9:$B$500,'HCC Summary'!$B23,'HCC Detail'!$H$9:$H$500)</f>
        <v>1047329.41</v>
      </c>
      <c r="I23" s="234">
        <f>SUMIF('HCC Detail'!$B$9:$B$500,'HCC Summary'!$B23,'HCC Detail'!$I$9:$I$500)</f>
        <v>849064.68</v>
      </c>
      <c r="J23" s="234">
        <f>SUMIF('HCC Detail'!$B$9:$B$500,'HCC Summary'!$B23,'HCC Detail'!$J$9:$J$500)</f>
        <v>198264.72999999998</v>
      </c>
      <c r="K23" s="234">
        <f>SUMIF('HCC Detail'!$B$9:$B$200,'HCC Summary'!$B23,'HCC Detail'!$K$9:$K$200)</f>
        <v>0</v>
      </c>
      <c r="L23" s="234">
        <f>SUMIF('HCC Detail'!$B$9:$B$200,'HCC Summary'!$B23,'HCC Detail'!$L$9:$L$200)</f>
        <v>0</v>
      </c>
    </row>
    <row r="24" spans="2:12" x14ac:dyDescent="0.45">
      <c r="B24" s="235" t="str">
        <f>'HCC Data Entry'!I19</f>
        <v>St Marys Area School District</v>
      </c>
      <c r="C24" s="236">
        <f>'HCC Data Entry'!J19</f>
        <v>85000</v>
      </c>
      <c r="D24" s="237">
        <f>COUNTIF('HCC Detail'!$B$9:$B$500,'HCC Summary'!$B24)</f>
        <v>21</v>
      </c>
      <c r="E24" s="238">
        <f>COUNTIFS('HCC Detail'!$B$9:$B$500,'HCC Summary'!$B24,'HCC Detail'!$H$9:$H$500,"&gt;0")</f>
        <v>3</v>
      </c>
      <c r="F24" s="239">
        <f t="shared" si="0"/>
        <v>60787.486666666657</v>
      </c>
      <c r="G24" s="240">
        <f>SUMIF('HCC Detail'!$B$9:$B$500,'HCC Summary'!$B24,'HCC Detail'!$F$9:$F$500)</f>
        <v>1276537.2199999997</v>
      </c>
      <c r="H24" s="240">
        <f>SUMIF('HCC Detail'!$B$9:$B$500,'HCC Summary'!$B24,'HCC Detail'!$H$9:$H$500)</f>
        <v>148149.02000000002</v>
      </c>
      <c r="I24" s="240">
        <f>SUMIF('HCC Detail'!$B$9:$B$500,'HCC Summary'!$B24,'HCC Detail'!$I$9:$I$500)</f>
        <v>148149.02000000002</v>
      </c>
      <c r="J24" s="240">
        <f>SUMIF('HCC Detail'!$B$9:$B$500,'HCC Summary'!$B24,'HCC Detail'!$J$9:$J$500)</f>
        <v>0</v>
      </c>
      <c r="K24" s="234">
        <f>SUMIF('HCC Detail'!$B$9:$B$200,'HCC Summary'!$B24,'HCC Detail'!$K$9:$K$200)</f>
        <v>0</v>
      </c>
      <c r="L24" s="234">
        <f>SUMIF('HCC Detail'!$B$9:$B$200,'HCC Summary'!$B24,'HCC Detail'!$L$9:$L$200)</f>
        <v>0</v>
      </c>
    </row>
    <row r="25" spans="2:12" x14ac:dyDescent="0.45">
      <c r="B25" s="161" t="str">
        <f>'HCC Data Entry'!I20</f>
        <v>Valley Grove School District</v>
      </c>
      <c r="C25" s="230">
        <f>'HCC Data Entry'!J20</f>
        <v>68000</v>
      </c>
      <c r="D25" s="231">
        <f>COUNTIF('HCC Detail'!$B$9:$B$500,'HCC Summary'!$B25)</f>
        <v>9</v>
      </c>
      <c r="E25" s="232">
        <f>COUNTIFS('HCC Detail'!$B$9:$B$500,'HCC Summary'!$B25,'HCC Detail'!$H$9:$H$500,"&gt;0")</f>
        <v>4</v>
      </c>
      <c r="F25" s="233">
        <f t="shared" si="0"/>
        <v>72848.842222222214</v>
      </c>
      <c r="G25" s="234">
        <f>SUMIF('HCC Detail'!$B$9:$B$500,'HCC Summary'!$B25,'HCC Detail'!$F$9:$F$500)</f>
        <v>655639.57999999996</v>
      </c>
      <c r="H25" s="234">
        <f>SUMIF('HCC Detail'!$B$9:$B$500,'HCC Summary'!$B25,'HCC Detail'!$H$9:$H$500)</f>
        <v>192656.02</v>
      </c>
      <c r="I25" s="234">
        <f>SUMIF('HCC Detail'!$B$9:$B$500,'HCC Summary'!$B25,'HCC Detail'!$I$9:$I$500)</f>
        <v>192656.02</v>
      </c>
      <c r="J25" s="234">
        <f>SUMIF('HCC Detail'!$B$9:$B$500,'HCC Summary'!$B25,'HCC Detail'!$J$9:$J$500)</f>
        <v>0</v>
      </c>
      <c r="K25" s="234">
        <f>SUMIF('HCC Detail'!$B$9:$B$200,'HCC Summary'!$B25,'HCC Detail'!$K$9:$K$200)</f>
        <v>0</v>
      </c>
      <c r="L25" s="234">
        <f>SUMIF('HCC Detail'!$B$9:$B$200,'HCC Summary'!$B25,'HCC Detail'!$L$9:$L$200)</f>
        <v>0</v>
      </c>
    </row>
    <row r="26" spans="2:12" x14ac:dyDescent="0.45">
      <c r="B26" s="235" t="str">
        <f>'HCC Data Entry'!I21</f>
        <v>Venango Technology Center</v>
      </c>
      <c r="C26" s="236">
        <f>'HCC Data Entry'!J21</f>
        <v>50000</v>
      </c>
      <c r="D26" s="237">
        <f>COUNTIF('HCC Detail'!$B$9:$B$500,'HCC Summary'!$B26)</f>
        <v>4</v>
      </c>
      <c r="E26" s="238">
        <f>COUNTIFS('HCC Detail'!$B$9:$B$500,'HCC Summary'!$B26,'HCC Detail'!$H$9:$H$500,"&gt;0")</f>
        <v>0</v>
      </c>
      <c r="F26" s="239">
        <f t="shared" si="0"/>
        <v>31454.564999999995</v>
      </c>
      <c r="G26" s="240">
        <f>SUMIF('HCC Detail'!$B$9:$B$500,'HCC Summary'!$B26,'HCC Detail'!$F$9:$F$500)</f>
        <v>125818.25999999998</v>
      </c>
      <c r="H26" s="240">
        <f>SUMIF('HCC Detail'!$B$9:$B$500,'HCC Summary'!$B26,'HCC Detail'!$H$9:$H$500)</f>
        <v>0</v>
      </c>
      <c r="I26" s="240">
        <f>SUMIF('HCC Detail'!$B$9:$B$500,'HCC Summary'!$B26,'HCC Detail'!$I$9:$I$500)</f>
        <v>0</v>
      </c>
      <c r="J26" s="240">
        <f>SUMIF('HCC Detail'!$B$9:$B$500,'HCC Summary'!$B26,'HCC Detail'!$J$9:$J$500)</f>
        <v>0</v>
      </c>
      <c r="K26" s="234">
        <f>SUMIF('HCC Detail'!$B$9:$B$200,'HCC Summary'!$B26,'HCC Detail'!$K$9:$K$200)</f>
        <v>0</v>
      </c>
      <c r="L26" s="234">
        <f>SUMIF('HCC Detail'!$B$9:$B$200,'HCC Summary'!$B26,'HCC Detail'!$L$9:$L$200)</f>
        <v>0</v>
      </c>
    </row>
    <row r="27" spans="2:12" x14ac:dyDescent="0.45">
      <c r="B27" s="161" t="str">
        <f>'HCC Data Entry'!I22</f>
        <v>Wattsburg Area School District</v>
      </c>
      <c r="C27" s="230">
        <f>'HCC Data Entry'!J22</f>
        <v>68000</v>
      </c>
      <c r="D27" s="231">
        <f>COUNTIF('HCC Detail'!$B$9:$B$500,'HCC Summary'!$B27)</f>
        <v>23</v>
      </c>
      <c r="E27" s="232">
        <f>COUNTIFS('HCC Detail'!$B$9:$B$500,'HCC Summary'!$B27,'HCC Detail'!$H$9:$H$500,"&gt;0")</f>
        <v>6</v>
      </c>
      <c r="F27" s="233">
        <f t="shared" si="0"/>
        <v>64538.648260869559</v>
      </c>
      <c r="G27" s="234">
        <f>SUMIF('HCC Detail'!$B$9:$B$500,'HCC Summary'!$B27,'HCC Detail'!$F$9:$F$500)</f>
        <v>1484388.91</v>
      </c>
      <c r="H27" s="234">
        <f>SUMIF('HCC Detail'!$B$9:$B$500,'HCC Summary'!$B27,'HCC Detail'!$H$9:$H$500)</f>
        <v>332238.20999999996</v>
      </c>
      <c r="I27" s="234">
        <f>SUMIF('HCC Detail'!$B$9:$B$500,'HCC Summary'!$B27,'HCC Detail'!$I$9:$I$500)</f>
        <v>282802.75</v>
      </c>
      <c r="J27" s="234">
        <f>SUMIF('HCC Detail'!$B$9:$B$500,'HCC Summary'!$B27,'HCC Detail'!$J$9:$J$500)</f>
        <v>49435.460000000021</v>
      </c>
      <c r="K27" s="234">
        <f>SUMIF('HCC Detail'!$B$9:$B$200,'HCC Summary'!$B27,'HCC Detail'!$K$9:$K$200)</f>
        <v>0</v>
      </c>
      <c r="L27" s="234">
        <f>SUMIF('HCC Detail'!$B$9:$B$200,'HCC Summary'!$B27,'HCC Detail'!$L$9:$L$200)</f>
        <v>0</v>
      </c>
    </row>
    <row r="28" spans="2:12" s="210" customFormat="1" x14ac:dyDescent="0.45">
      <c r="B28" s="241"/>
      <c r="C28" s="242"/>
      <c r="D28" s="228">
        <f>SUM(D9:D27)</f>
        <v>331</v>
      </c>
      <c r="E28" s="227">
        <f>SUM(E9:E27)</f>
        <v>103</v>
      </c>
      <c r="F28" s="243">
        <f>G28/D28</f>
        <v>85316.507915407841</v>
      </c>
      <c r="G28" s="242">
        <f t="shared" ref="G28:L28" si="1">SUM(G9:G27)</f>
        <v>28239764.119999997</v>
      </c>
      <c r="H28" s="242">
        <f t="shared" si="1"/>
        <v>10550292.990000002</v>
      </c>
      <c r="I28" s="242">
        <f t="shared" si="1"/>
        <v>7792458.3299999982</v>
      </c>
      <c r="J28" s="242">
        <f t="shared" si="1"/>
        <v>2757834.6599999997</v>
      </c>
      <c r="K28" s="242">
        <f t="shared" si="1"/>
        <v>0</v>
      </c>
      <c r="L28" s="242">
        <f t="shared" si="1"/>
        <v>0</v>
      </c>
    </row>
    <row r="29" spans="2:12" x14ac:dyDescent="0.45">
      <c r="B29" s="145"/>
      <c r="C29" s="145"/>
      <c r="D29" s="145"/>
      <c r="E29" s="145"/>
      <c r="F29" s="145"/>
      <c r="G29" s="145"/>
      <c r="H29" s="145"/>
      <c r="I29" s="145"/>
      <c r="J29" s="145"/>
      <c r="K29" s="161"/>
      <c r="L29" s="161"/>
    </row>
    <row r="30" spans="2:12" x14ac:dyDescent="0.45">
      <c r="B30" s="145"/>
      <c r="C30" s="145"/>
      <c r="D30" s="145"/>
      <c r="E30" s="145"/>
      <c r="F30" s="145"/>
      <c r="G30" s="145"/>
      <c r="H30" s="145"/>
      <c r="I30" s="145"/>
      <c r="J30" s="145"/>
      <c r="K30" s="161"/>
      <c r="L30" s="161"/>
    </row>
    <row r="31" spans="2:12" x14ac:dyDescent="0.45">
      <c r="B31" s="145"/>
      <c r="C31" s="145"/>
      <c r="D31" s="145"/>
      <c r="E31" s="145"/>
      <c r="F31" s="145"/>
      <c r="G31" s="145"/>
      <c r="H31" s="145"/>
      <c r="I31" s="145"/>
      <c r="J31" s="145"/>
      <c r="K31" s="161"/>
      <c r="L31" s="161"/>
    </row>
  </sheetData>
  <mergeCells count="4">
    <mergeCell ref="B2:L2"/>
    <mergeCell ref="B3:L3"/>
    <mergeCell ref="B5:L5"/>
    <mergeCell ref="B6:L6"/>
  </mergeCells>
  <printOptions horizontalCentered="1"/>
  <pageMargins left="0.7" right="0.7" top="0.75" bottom="0.75" header="0.3" footer="0.3"/>
  <pageSetup scale="54" fitToHeight="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8F2F8-CBD6-47F4-8B0B-850A306C7293}">
  <sheetPr codeName="Sheet6">
    <tabColor theme="4" tint="0.39997558519241921"/>
    <pageSetUpPr fitToPage="1"/>
  </sheetPr>
  <dimension ref="A1:O500"/>
  <sheetViews>
    <sheetView view="pageBreakPreview" zoomScale="80" zoomScaleNormal="80" zoomScaleSheetLayoutView="80" workbookViewId="0">
      <selection activeCell="B249" sqref="B249:F249"/>
    </sheetView>
  </sheetViews>
  <sheetFormatPr defaultRowHeight="14.5" x14ac:dyDescent="0.35"/>
  <cols>
    <col min="1" max="1" width="1" customWidth="1"/>
    <col min="2" max="2" width="50.54296875" bestFit="1" customWidth="1"/>
    <col min="3" max="3" width="14.26953125" bestFit="1" customWidth="1"/>
    <col min="4" max="4" width="10.54296875" bestFit="1" customWidth="1"/>
    <col min="5" max="5" width="15.7265625" bestFit="1" customWidth="1"/>
    <col min="6" max="6" width="17.54296875" style="11" bestFit="1" customWidth="1"/>
    <col min="7" max="7" width="18.26953125" style="11" bestFit="1" customWidth="1"/>
    <col min="8" max="8" width="21.81640625" style="11" bestFit="1" customWidth="1"/>
    <col min="9" max="9" width="17.54296875" style="11" bestFit="1" customWidth="1"/>
    <col min="10" max="10" width="35" style="11" bestFit="1" customWidth="1"/>
    <col min="11" max="11" width="23.453125" style="11" hidden="1" customWidth="1"/>
    <col min="12" max="12" width="24.54296875" style="11" hidden="1" customWidth="1"/>
    <col min="14" max="14" width="24.1796875" bestFit="1" customWidth="1"/>
    <col min="15" max="15" width="10.7265625" bestFit="1" customWidth="1"/>
  </cols>
  <sheetData>
    <row r="1" spans="2:15" ht="5.25" customHeight="1" x14ac:dyDescent="0.35"/>
    <row r="2" spans="2:15" ht="23.5" x14ac:dyDescent="0.55000000000000004">
      <c r="B2" s="603" t="str">
        <f>Narrative!H5</f>
        <v>NOREBT</v>
      </c>
      <c r="C2" s="603"/>
      <c r="D2" s="603"/>
      <c r="E2" s="603"/>
      <c r="F2" s="603"/>
      <c r="G2" s="603"/>
      <c r="H2" s="603"/>
      <c r="I2" s="603"/>
      <c r="J2" s="603"/>
      <c r="K2" s="603"/>
      <c r="L2" s="603"/>
    </row>
    <row r="3" spans="2:15" ht="18.5" x14ac:dyDescent="0.45">
      <c r="B3" s="604" t="s">
        <v>161</v>
      </c>
      <c r="C3" s="604"/>
      <c r="D3" s="604"/>
      <c r="E3" s="604"/>
      <c r="F3" s="604"/>
      <c r="G3" s="604"/>
      <c r="H3" s="604"/>
      <c r="I3" s="604"/>
      <c r="J3" s="604"/>
      <c r="K3" s="604"/>
      <c r="L3" s="604"/>
      <c r="N3" s="99" t="s">
        <v>184</v>
      </c>
      <c r="O3" s="211">
        <v>25000</v>
      </c>
    </row>
    <row r="4" spans="2:15" ht="18.5" x14ac:dyDescent="0.45">
      <c r="B4" s="203"/>
      <c r="C4" s="203"/>
      <c r="D4" s="203"/>
      <c r="E4" s="203"/>
      <c r="F4" s="208"/>
      <c r="G4" s="208"/>
      <c r="H4" s="208"/>
      <c r="I4" s="208"/>
      <c r="J4" s="208"/>
      <c r="K4" s="208"/>
      <c r="L4" s="208"/>
      <c r="N4" s="99" t="s">
        <v>185</v>
      </c>
      <c r="O4" s="211">
        <v>300000</v>
      </c>
    </row>
    <row r="5" spans="2:15" ht="18.5" x14ac:dyDescent="0.45">
      <c r="B5" s="619" t="str">
        <f>"Claims &gt;"&amp;DOLLAR($O$3,0)&amp;", Mini-Pool Threshold "&amp;DOLLAR($O$4,0)</f>
        <v>Claims &gt;$25,000, Mini-Pool Threshold $300,000</v>
      </c>
      <c r="C5" s="619"/>
      <c r="D5" s="619"/>
      <c r="E5" s="619"/>
      <c r="F5" s="619"/>
      <c r="G5" s="619"/>
      <c r="H5" s="619"/>
      <c r="I5" s="619"/>
      <c r="J5" s="619"/>
      <c r="K5" s="619"/>
      <c r="L5" s="619"/>
    </row>
    <row r="6" spans="2:15" ht="18.5" x14ac:dyDescent="0.45">
      <c r="B6" s="618" t="str">
        <f>Addendum!E6</f>
        <v>Claims Paid July 2024 through February 2025</v>
      </c>
      <c r="C6" s="618"/>
      <c r="D6" s="618"/>
      <c r="E6" s="618"/>
      <c r="F6" s="618"/>
      <c r="G6" s="618"/>
      <c r="H6" s="618"/>
      <c r="I6" s="618"/>
      <c r="J6" s="618"/>
      <c r="K6" s="618"/>
      <c r="L6" s="618"/>
    </row>
    <row r="7" spans="2:15" ht="18.5" x14ac:dyDescent="0.45">
      <c r="B7" s="204"/>
      <c r="C7" s="204"/>
      <c r="D7" s="204"/>
      <c r="E7" s="204"/>
      <c r="F7" s="209"/>
      <c r="G7" s="209"/>
      <c r="H7" s="209"/>
      <c r="I7" s="209"/>
      <c r="J7" s="209"/>
      <c r="K7" s="209"/>
      <c r="L7" s="209"/>
    </row>
    <row r="8" spans="2:15" ht="18.5" x14ac:dyDescent="0.45">
      <c r="B8" s="227" t="s">
        <v>152</v>
      </c>
      <c r="C8" s="227" t="s">
        <v>153</v>
      </c>
      <c r="D8" s="227" t="s">
        <v>154</v>
      </c>
      <c r="E8" s="227" t="s">
        <v>186</v>
      </c>
      <c r="F8" s="245" t="s">
        <v>155</v>
      </c>
      <c r="G8" s="245" t="s">
        <v>156</v>
      </c>
      <c r="H8" s="245" t="s">
        <v>157</v>
      </c>
      <c r="I8" s="245" t="s">
        <v>158</v>
      </c>
      <c r="J8" s="245" t="s">
        <v>240</v>
      </c>
      <c r="K8" s="245" t="s">
        <v>159</v>
      </c>
      <c r="L8" s="245" t="s">
        <v>160</v>
      </c>
      <c r="M8" s="244"/>
    </row>
    <row r="9" spans="2:15" ht="18.5" x14ac:dyDescent="0.45">
      <c r="B9" s="244" t="str">
        <f>IF('HCC Data Entry'!B4="","",'HCC Data Entry'!B4)</f>
        <v>Conneaut School District</v>
      </c>
      <c r="C9" s="244">
        <f>IF('HCC Data Entry'!C4="","",'HCC Data Entry'!C4)</f>
        <v>13579127</v>
      </c>
      <c r="D9" s="244" t="str">
        <f>IF('HCC Data Entry'!D4="","",'HCC Data Entry'!D4)</f>
        <v>Active</v>
      </c>
      <c r="E9" s="244" t="str">
        <f>IF('HCC Data Entry'!E4="","",'HCC Data Entry'!E4)</f>
        <v>Self</v>
      </c>
      <c r="F9" s="246">
        <f>IF('HCC Data Entry'!F4="","",'HCC Data Entry'!F4)</f>
        <v>191499.65</v>
      </c>
      <c r="G9" s="246">
        <f>IFERROR(INDEX('HCC Data Entry'!$J$4:$J$22, MATCH('HCC Detail'!$B9,'HCC Data Entry'!$I$4:$I$22,0)),"")</f>
        <v>68000</v>
      </c>
      <c r="H9" s="246">
        <f>IF(B9="","",IF(G9="Unknown", "", IF(F9&gt;G9,F9-G9,0)))</f>
        <v>123499.65</v>
      </c>
      <c r="I9" s="247">
        <f>IF(H9="","",IF(H9=0,0, IF(F9&gt;$O$4,($O$4-G9),H9)))</f>
        <v>123499.65</v>
      </c>
      <c r="J9" s="246">
        <f>IF(I9="","",IF(I9=0,0,IF(F9&gt;$O$4,F9-$O$4,0)))</f>
        <v>0</v>
      </c>
      <c r="K9" s="246"/>
      <c r="L9" s="246" t="str">
        <f>IF(K9="","",IF(K9=0,0,J9-K9))</f>
        <v/>
      </c>
      <c r="M9" s="244"/>
      <c r="N9" s="207"/>
    </row>
    <row r="10" spans="2:15" ht="18.5" x14ac:dyDescent="0.45">
      <c r="B10" s="244" t="str">
        <f>IF('HCC Data Entry'!B5="","",'HCC Data Entry'!B5)</f>
        <v>Conneaut School District</v>
      </c>
      <c r="C10" s="244">
        <f>IF('HCC Data Entry'!C5="","",'HCC Data Entry'!C5)</f>
        <v>13576849</v>
      </c>
      <c r="D10" s="244" t="str">
        <f>IF('HCC Data Entry'!D5="","",'HCC Data Entry'!D5)</f>
        <v>Retirees</v>
      </c>
      <c r="E10" s="244" t="str">
        <f>IF('HCC Data Entry'!E5="","",'HCC Data Entry'!E5)</f>
        <v>Spouse</v>
      </c>
      <c r="F10" s="246">
        <f>IF('HCC Data Entry'!F5="","",'HCC Data Entry'!F5)</f>
        <v>164348.35999999999</v>
      </c>
      <c r="G10" s="246">
        <f>IFERROR(INDEX('HCC Data Entry'!$J$4:$J$22, MATCH('HCC Detail'!$B10,'HCC Data Entry'!$I$4:$I$22,0)),"")</f>
        <v>68000</v>
      </c>
      <c r="H10" s="246">
        <f t="shared" ref="H10:H73" si="0">IF(B10="","",IF(G10="Unknown", "", IF(F10&gt;G10,F10-G10,0)))</f>
        <v>96348.359999999986</v>
      </c>
      <c r="I10" s="247">
        <f t="shared" ref="I10:I73" si="1">IF(H10="","",IF(H10=0,0, IF(F10&gt;$O$4,($O$4-G10),H10)))</f>
        <v>96348.359999999986</v>
      </c>
      <c r="J10" s="246">
        <f>IF(I10="","",IF(I10=0,0,IF(F10&gt;$O$4,F10-$O$4,0)))</f>
        <v>0</v>
      </c>
      <c r="K10" s="246"/>
      <c r="L10" s="246" t="str">
        <f t="shared" ref="L10:L73" si="2">IF(K10="","",IF(K10=0,0,J10-K10))</f>
        <v/>
      </c>
      <c r="M10" s="244"/>
      <c r="N10" s="207"/>
    </row>
    <row r="11" spans="2:15" ht="18.5" x14ac:dyDescent="0.45">
      <c r="B11" s="244" t="str">
        <f>IF('HCC Data Entry'!B6="","",'HCC Data Entry'!B6)</f>
        <v>Conneaut School District</v>
      </c>
      <c r="C11" s="244">
        <f>IF('HCC Data Entry'!C6="","",'HCC Data Entry'!C6)</f>
        <v>13579127</v>
      </c>
      <c r="D11" s="244" t="str">
        <f>IF('HCC Data Entry'!D6="","",'HCC Data Entry'!D6)</f>
        <v>Retirees</v>
      </c>
      <c r="E11" s="244" t="str">
        <f>IF('HCC Data Entry'!E6="","",'HCC Data Entry'!E6)</f>
        <v>Self</v>
      </c>
      <c r="F11" s="246">
        <f>IF('HCC Data Entry'!F6="","",'HCC Data Entry'!F6)</f>
        <v>163590.32</v>
      </c>
      <c r="G11" s="246">
        <f>IFERROR(INDEX('HCC Data Entry'!$J$4:$J$22, MATCH('HCC Detail'!$B11,'HCC Data Entry'!$I$4:$I$22,0)),"")</f>
        <v>68000</v>
      </c>
      <c r="H11" s="246">
        <f t="shared" si="0"/>
        <v>95590.32</v>
      </c>
      <c r="I11" s="247">
        <f t="shared" si="1"/>
        <v>95590.32</v>
      </c>
      <c r="J11" s="246">
        <f t="shared" ref="J11:J73" si="3">IF(I11="","",IF(I11=0,0,IF(F11&gt;$O$4,F11-$O$4,0)))</f>
        <v>0</v>
      </c>
      <c r="K11" s="246"/>
      <c r="L11" s="246" t="str">
        <f t="shared" si="2"/>
        <v/>
      </c>
      <c r="M11" s="244"/>
      <c r="N11" s="207"/>
    </row>
    <row r="12" spans="2:15" ht="18.5" x14ac:dyDescent="0.45">
      <c r="B12" s="244" t="str">
        <f>IF('HCC Data Entry'!B7="","",'HCC Data Entry'!B7)</f>
        <v>Conneaut School District</v>
      </c>
      <c r="C12" s="244">
        <f>IF('HCC Data Entry'!C7="","",'HCC Data Entry'!C7)</f>
        <v>13572964</v>
      </c>
      <c r="D12" s="244" t="str">
        <f>IF('HCC Data Entry'!D7="","",'HCC Data Entry'!D7)</f>
        <v>Retirees</v>
      </c>
      <c r="E12" s="244" t="str">
        <f>IF('HCC Data Entry'!E7="","",'HCC Data Entry'!E7)</f>
        <v>Self</v>
      </c>
      <c r="F12" s="246">
        <f>IF('HCC Data Entry'!F7="","",'HCC Data Entry'!F7)</f>
        <v>154314.76999999999</v>
      </c>
      <c r="G12" s="246">
        <f>IFERROR(INDEX('HCC Data Entry'!$J$4:$J$22, MATCH('HCC Detail'!$B12,'HCC Data Entry'!$I$4:$I$22,0)),"")</f>
        <v>68000</v>
      </c>
      <c r="H12" s="246">
        <f t="shared" si="0"/>
        <v>86314.76999999999</v>
      </c>
      <c r="I12" s="247">
        <f t="shared" si="1"/>
        <v>86314.76999999999</v>
      </c>
      <c r="J12" s="246">
        <f t="shared" si="3"/>
        <v>0</v>
      </c>
      <c r="K12" s="246"/>
      <c r="L12" s="246" t="str">
        <f t="shared" si="2"/>
        <v/>
      </c>
      <c r="M12" s="244"/>
      <c r="N12" s="207"/>
    </row>
    <row r="13" spans="2:15" ht="18.5" x14ac:dyDescent="0.45">
      <c r="B13" s="244" t="str">
        <f>IF('HCC Data Entry'!B8="","",'HCC Data Entry'!B8)</f>
        <v>Conneaut School District</v>
      </c>
      <c r="C13" s="244">
        <f>IF('HCC Data Entry'!C8="","",'HCC Data Entry'!C8)</f>
        <v>13574218</v>
      </c>
      <c r="D13" s="244" t="str">
        <f>IF('HCC Data Entry'!D8="","",'HCC Data Entry'!D8)</f>
        <v>Active</v>
      </c>
      <c r="E13" s="244" t="str">
        <f>IF('HCC Data Entry'!E8="","",'HCC Data Entry'!E8)</f>
        <v>Spouse</v>
      </c>
      <c r="F13" s="246">
        <f>IF('HCC Data Entry'!F8="","",'HCC Data Entry'!F8)</f>
        <v>112057.83</v>
      </c>
      <c r="G13" s="246">
        <f>IFERROR(INDEX('HCC Data Entry'!$J$4:$J$22, MATCH('HCC Detail'!$B13,'HCC Data Entry'!$I$4:$I$22,0)),"")</f>
        <v>68000</v>
      </c>
      <c r="H13" s="246">
        <f t="shared" si="0"/>
        <v>44057.83</v>
      </c>
      <c r="I13" s="247">
        <f t="shared" si="1"/>
        <v>44057.83</v>
      </c>
      <c r="J13" s="246">
        <f t="shared" si="3"/>
        <v>0</v>
      </c>
      <c r="K13" s="246"/>
      <c r="L13" s="246" t="str">
        <f t="shared" si="2"/>
        <v/>
      </c>
      <c r="M13" s="244"/>
      <c r="N13" s="207"/>
    </row>
    <row r="14" spans="2:15" ht="18.5" x14ac:dyDescent="0.45">
      <c r="B14" s="244" t="str">
        <f>IF('HCC Data Entry'!B9="","",'HCC Data Entry'!B9)</f>
        <v>Conneaut School District</v>
      </c>
      <c r="C14" s="244">
        <f>IF('HCC Data Entry'!C9="","",'HCC Data Entry'!C9)</f>
        <v>26682617</v>
      </c>
      <c r="D14" s="244" t="str">
        <f>IF('HCC Data Entry'!D9="","",'HCC Data Entry'!D9)</f>
        <v>Active</v>
      </c>
      <c r="E14" s="244" t="str">
        <f>IF('HCC Data Entry'!E9="","",'HCC Data Entry'!E9)</f>
        <v>Spouse</v>
      </c>
      <c r="F14" s="246">
        <f>IF('HCC Data Entry'!F9="","",'HCC Data Entry'!F9)</f>
        <v>106184.1</v>
      </c>
      <c r="G14" s="246">
        <f>IFERROR(INDEX('HCC Data Entry'!$J$4:$J$22, MATCH('HCC Detail'!$B14,'HCC Data Entry'!$I$4:$I$22,0)),"")</f>
        <v>68000</v>
      </c>
      <c r="H14" s="246">
        <f t="shared" si="0"/>
        <v>38184.100000000006</v>
      </c>
      <c r="I14" s="247">
        <f t="shared" si="1"/>
        <v>38184.100000000006</v>
      </c>
      <c r="J14" s="246">
        <f t="shared" si="3"/>
        <v>0</v>
      </c>
      <c r="K14" s="246"/>
      <c r="L14" s="246" t="str">
        <f t="shared" si="2"/>
        <v/>
      </c>
      <c r="M14" s="244"/>
      <c r="N14" s="207"/>
    </row>
    <row r="15" spans="2:15" ht="18.5" x14ac:dyDescent="0.45">
      <c r="B15" s="244" t="str">
        <f>IF('HCC Data Entry'!B10="","",'HCC Data Entry'!B10)</f>
        <v>Conneaut School District</v>
      </c>
      <c r="C15" s="244">
        <f>IF('HCC Data Entry'!C10="","",'HCC Data Entry'!C10)</f>
        <v>13578467</v>
      </c>
      <c r="D15" s="244" t="str">
        <f>IF('HCC Data Entry'!D10="","",'HCC Data Entry'!D10)</f>
        <v>Retirees</v>
      </c>
      <c r="E15" s="244" t="str">
        <f>IF('HCC Data Entry'!E10="","",'HCC Data Entry'!E10)</f>
        <v>Self</v>
      </c>
      <c r="F15" s="246">
        <f>IF('HCC Data Entry'!F10="","",'HCC Data Entry'!F10)</f>
        <v>104682.97</v>
      </c>
      <c r="G15" s="246">
        <f>IFERROR(INDEX('HCC Data Entry'!$J$4:$J$22, MATCH('HCC Detail'!$B15,'HCC Data Entry'!$I$4:$I$22,0)),"")</f>
        <v>68000</v>
      </c>
      <c r="H15" s="246">
        <f t="shared" si="0"/>
        <v>36682.97</v>
      </c>
      <c r="I15" s="247">
        <f t="shared" si="1"/>
        <v>36682.97</v>
      </c>
      <c r="J15" s="246">
        <f t="shared" si="3"/>
        <v>0</v>
      </c>
      <c r="K15" s="246"/>
      <c r="L15" s="246" t="str">
        <f t="shared" si="2"/>
        <v/>
      </c>
      <c r="M15" s="244"/>
      <c r="N15" s="207"/>
    </row>
    <row r="16" spans="2:15" ht="18.5" x14ac:dyDescent="0.45">
      <c r="B16" s="244" t="str">
        <f>IF('HCC Data Entry'!B11="","",'HCC Data Entry'!B11)</f>
        <v>Conneaut School District</v>
      </c>
      <c r="C16" s="244">
        <f>IF('HCC Data Entry'!C11="","",'HCC Data Entry'!C11)</f>
        <v>13578467</v>
      </c>
      <c r="D16" s="244" t="str">
        <f>IF('HCC Data Entry'!D11="","",'HCC Data Entry'!D11)</f>
        <v>Active</v>
      </c>
      <c r="E16" s="244" t="str">
        <f>IF('HCC Data Entry'!E11="","",'HCC Data Entry'!E11)</f>
        <v>Self</v>
      </c>
      <c r="F16" s="246">
        <f>IF('HCC Data Entry'!F11="","",'HCC Data Entry'!F11)</f>
        <v>75823.61</v>
      </c>
      <c r="G16" s="246">
        <f>IFERROR(INDEX('HCC Data Entry'!$J$4:$J$22, MATCH('HCC Detail'!$B16,'HCC Data Entry'!$I$4:$I$22,0)),"")</f>
        <v>68000</v>
      </c>
      <c r="H16" s="246">
        <f t="shared" si="0"/>
        <v>7823.6100000000006</v>
      </c>
      <c r="I16" s="247">
        <f t="shared" si="1"/>
        <v>7823.6100000000006</v>
      </c>
      <c r="J16" s="246">
        <f t="shared" si="3"/>
        <v>0</v>
      </c>
      <c r="K16" s="246"/>
      <c r="L16" s="246" t="str">
        <f t="shared" si="2"/>
        <v/>
      </c>
      <c r="M16" s="244"/>
      <c r="N16" s="207"/>
    </row>
    <row r="17" spans="2:14" ht="18.5" x14ac:dyDescent="0.45">
      <c r="B17" s="244" t="str">
        <f>IF('HCC Data Entry'!B12="","",'HCC Data Entry'!B12)</f>
        <v>Conneaut School District</v>
      </c>
      <c r="C17" s="244">
        <f>IF('HCC Data Entry'!C12="","",'HCC Data Entry'!C12)</f>
        <v>13569141</v>
      </c>
      <c r="D17" s="244" t="str">
        <f>IF('HCC Data Entry'!D12="","",'HCC Data Entry'!D12)</f>
        <v>Active</v>
      </c>
      <c r="E17" s="244" t="str">
        <f>IF('HCC Data Entry'!E12="","",'HCC Data Entry'!E12)</f>
        <v>Self</v>
      </c>
      <c r="F17" s="246">
        <f>IF('HCC Data Entry'!F12="","",'HCC Data Entry'!F12)</f>
        <v>70569.179999999993</v>
      </c>
      <c r="G17" s="246">
        <f>IFERROR(INDEX('HCC Data Entry'!$J$4:$J$22, MATCH('HCC Detail'!$B17,'HCC Data Entry'!$I$4:$I$22,0)),"")</f>
        <v>68000</v>
      </c>
      <c r="H17" s="246">
        <f t="shared" si="0"/>
        <v>2569.179999999993</v>
      </c>
      <c r="I17" s="247">
        <f t="shared" si="1"/>
        <v>2569.179999999993</v>
      </c>
      <c r="J17" s="246">
        <f t="shared" si="3"/>
        <v>0</v>
      </c>
      <c r="K17" s="246"/>
      <c r="L17" s="246" t="str">
        <f t="shared" si="2"/>
        <v/>
      </c>
      <c r="M17" s="244"/>
      <c r="N17" s="207"/>
    </row>
    <row r="18" spans="2:14" ht="18.5" x14ac:dyDescent="0.45">
      <c r="B18" s="244" t="str">
        <f>IF('HCC Data Entry'!B13="","",'HCC Data Entry'!B13)</f>
        <v>Conneaut School District</v>
      </c>
      <c r="C18" s="244">
        <f>IF('HCC Data Entry'!C13="","",'HCC Data Entry'!C13)</f>
        <v>13579116</v>
      </c>
      <c r="D18" s="244" t="str">
        <f>IF('HCC Data Entry'!D13="","",'HCC Data Entry'!D13)</f>
        <v>Active</v>
      </c>
      <c r="E18" s="244" t="str">
        <f>IF('HCC Data Entry'!E13="","",'HCC Data Entry'!E13)</f>
        <v>Spouse</v>
      </c>
      <c r="F18" s="246">
        <f>IF('HCC Data Entry'!F13="","",'HCC Data Entry'!F13)</f>
        <v>67526.42</v>
      </c>
      <c r="G18" s="246">
        <f>IFERROR(INDEX('HCC Data Entry'!$J$4:$J$22, MATCH('HCC Detail'!$B18,'HCC Data Entry'!$I$4:$I$22,0)),"")</f>
        <v>68000</v>
      </c>
      <c r="H18" s="246">
        <f t="shared" si="0"/>
        <v>0</v>
      </c>
      <c r="I18" s="247">
        <f t="shared" si="1"/>
        <v>0</v>
      </c>
      <c r="J18" s="246">
        <f t="shared" si="3"/>
        <v>0</v>
      </c>
      <c r="K18" s="246"/>
      <c r="L18" s="246" t="str">
        <f t="shared" si="2"/>
        <v/>
      </c>
      <c r="M18" s="244"/>
      <c r="N18" s="207"/>
    </row>
    <row r="19" spans="2:14" ht="18.5" x14ac:dyDescent="0.45">
      <c r="B19" s="244" t="str">
        <f>IF('HCC Data Entry'!B14="","",'HCC Data Entry'!B14)</f>
        <v>Conneaut School District</v>
      </c>
      <c r="C19" s="244">
        <f>IF('HCC Data Entry'!C14="","",'HCC Data Entry'!C14)</f>
        <v>20433672</v>
      </c>
      <c r="D19" s="244" t="str">
        <f>IF('HCC Data Entry'!D14="","",'HCC Data Entry'!D14)</f>
        <v>Active</v>
      </c>
      <c r="E19" s="244" t="str">
        <f>IF('HCC Data Entry'!E14="","",'HCC Data Entry'!E14)</f>
        <v>Child</v>
      </c>
      <c r="F19" s="246">
        <f>IF('HCC Data Entry'!F14="","",'HCC Data Entry'!F14)</f>
        <v>58396.69</v>
      </c>
      <c r="G19" s="246">
        <f>IFERROR(INDEX('HCC Data Entry'!$J$4:$J$22, MATCH('HCC Detail'!$B19,'HCC Data Entry'!$I$4:$I$22,0)),"")</f>
        <v>68000</v>
      </c>
      <c r="H19" s="246">
        <f t="shared" si="0"/>
        <v>0</v>
      </c>
      <c r="I19" s="247">
        <f t="shared" si="1"/>
        <v>0</v>
      </c>
      <c r="J19" s="246">
        <f t="shared" si="3"/>
        <v>0</v>
      </c>
      <c r="K19" s="246"/>
      <c r="L19" s="246" t="str">
        <f t="shared" si="2"/>
        <v/>
      </c>
      <c r="M19" s="244"/>
      <c r="N19" s="207"/>
    </row>
    <row r="20" spans="2:14" ht="18.5" x14ac:dyDescent="0.45">
      <c r="B20" s="244" t="str">
        <f>IF('HCC Data Entry'!B15="","",'HCC Data Entry'!B15)</f>
        <v>Conneaut School District</v>
      </c>
      <c r="C20" s="244">
        <f>IF('HCC Data Entry'!C15="","",'HCC Data Entry'!C15)</f>
        <v>13572893</v>
      </c>
      <c r="D20" s="244" t="str">
        <f>IF('HCC Data Entry'!D15="","",'HCC Data Entry'!D15)</f>
        <v>Retirees</v>
      </c>
      <c r="E20" s="244" t="str">
        <f>IF('HCC Data Entry'!E15="","",'HCC Data Entry'!E15)</f>
        <v>Spouse</v>
      </c>
      <c r="F20" s="246">
        <f>IF('HCC Data Entry'!F15="","",'HCC Data Entry'!F15)</f>
        <v>55771.56</v>
      </c>
      <c r="G20" s="246">
        <f>IFERROR(INDEX('HCC Data Entry'!$J$4:$J$22, MATCH('HCC Detail'!$B20,'HCC Data Entry'!$I$4:$I$22,0)),"")</f>
        <v>68000</v>
      </c>
      <c r="H20" s="246">
        <f t="shared" si="0"/>
        <v>0</v>
      </c>
      <c r="I20" s="247">
        <f t="shared" si="1"/>
        <v>0</v>
      </c>
      <c r="J20" s="246">
        <f t="shared" si="3"/>
        <v>0</v>
      </c>
      <c r="K20" s="246"/>
      <c r="L20" s="246" t="str">
        <f t="shared" si="2"/>
        <v/>
      </c>
      <c r="M20" s="244"/>
      <c r="N20" s="207"/>
    </row>
    <row r="21" spans="2:14" ht="18.5" x14ac:dyDescent="0.45">
      <c r="B21" s="244" t="str">
        <f>IF('HCC Data Entry'!B16="","",'HCC Data Entry'!B16)</f>
        <v>Conneaut School District</v>
      </c>
      <c r="C21" s="244">
        <f>IF('HCC Data Entry'!C16="","",'HCC Data Entry'!C16)</f>
        <v>13574203</v>
      </c>
      <c r="D21" s="244" t="str">
        <f>IF('HCC Data Entry'!D16="","",'HCC Data Entry'!D16)</f>
        <v>Active</v>
      </c>
      <c r="E21" s="244" t="str">
        <f>IF('HCC Data Entry'!E16="","",'HCC Data Entry'!E16)</f>
        <v>Spouse</v>
      </c>
      <c r="F21" s="246">
        <f>IF('HCC Data Entry'!F16="","",'HCC Data Entry'!F16)</f>
        <v>55761.69</v>
      </c>
      <c r="G21" s="246">
        <f>IFERROR(INDEX('HCC Data Entry'!$J$4:$J$22, MATCH('HCC Detail'!$B21,'HCC Data Entry'!$I$4:$I$22,0)),"")</f>
        <v>68000</v>
      </c>
      <c r="H21" s="246">
        <f t="shared" si="0"/>
        <v>0</v>
      </c>
      <c r="I21" s="247">
        <f t="shared" si="1"/>
        <v>0</v>
      </c>
      <c r="J21" s="246">
        <f t="shared" si="3"/>
        <v>0</v>
      </c>
      <c r="K21" s="246"/>
      <c r="L21" s="246" t="str">
        <f t="shared" si="2"/>
        <v/>
      </c>
      <c r="M21" s="244"/>
      <c r="N21" s="207"/>
    </row>
    <row r="22" spans="2:14" ht="18.5" x14ac:dyDescent="0.45">
      <c r="B22" s="244" t="str">
        <f>IF('HCC Data Entry'!B17="","",'HCC Data Entry'!B17)</f>
        <v>Conneaut School District</v>
      </c>
      <c r="C22" s="244">
        <f>IF('HCC Data Entry'!C17="","",'HCC Data Entry'!C17)</f>
        <v>27395254</v>
      </c>
      <c r="D22" s="244" t="str">
        <f>IF('HCC Data Entry'!D17="","",'HCC Data Entry'!D17)</f>
        <v>Active</v>
      </c>
      <c r="E22" s="244" t="str">
        <f>IF('HCC Data Entry'!E17="","",'HCC Data Entry'!E17)</f>
        <v>Spouse</v>
      </c>
      <c r="F22" s="246">
        <f>IF('HCC Data Entry'!F17="","",'HCC Data Entry'!F17)</f>
        <v>53785.37</v>
      </c>
      <c r="G22" s="246">
        <f>IFERROR(INDEX('HCC Data Entry'!$J$4:$J$22, MATCH('HCC Detail'!$B22,'HCC Data Entry'!$I$4:$I$22,0)),"")</f>
        <v>68000</v>
      </c>
      <c r="H22" s="246">
        <f t="shared" si="0"/>
        <v>0</v>
      </c>
      <c r="I22" s="247">
        <f t="shared" si="1"/>
        <v>0</v>
      </c>
      <c r="J22" s="246">
        <f t="shared" si="3"/>
        <v>0</v>
      </c>
      <c r="K22" s="246"/>
      <c r="L22" s="246" t="str">
        <f t="shared" si="2"/>
        <v/>
      </c>
      <c r="M22" s="244"/>
      <c r="N22" s="207"/>
    </row>
    <row r="23" spans="2:14" ht="18.5" x14ac:dyDescent="0.45">
      <c r="B23" s="244" t="str">
        <f>IF('HCC Data Entry'!B18="","",'HCC Data Entry'!B18)</f>
        <v>Conneaut School District</v>
      </c>
      <c r="C23" s="244">
        <f>IF('HCC Data Entry'!C18="","",'HCC Data Entry'!C18)</f>
        <v>13581582</v>
      </c>
      <c r="D23" s="244" t="str">
        <f>IF('HCC Data Entry'!D18="","",'HCC Data Entry'!D18)</f>
        <v>Retirees</v>
      </c>
      <c r="E23" s="244" t="str">
        <f>IF('HCC Data Entry'!E18="","",'HCC Data Entry'!E18)</f>
        <v>Self</v>
      </c>
      <c r="F23" s="246">
        <f>IF('HCC Data Entry'!F18="","",'HCC Data Entry'!F18)</f>
        <v>46471.19</v>
      </c>
      <c r="G23" s="246">
        <f>IFERROR(INDEX('HCC Data Entry'!$J$4:$J$22, MATCH('HCC Detail'!$B23,'HCC Data Entry'!$I$4:$I$22,0)),"")</f>
        <v>68000</v>
      </c>
      <c r="H23" s="246">
        <f t="shared" si="0"/>
        <v>0</v>
      </c>
      <c r="I23" s="247">
        <f t="shared" si="1"/>
        <v>0</v>
      </c>
      <c r="J23" s="246">
        <f t="shared" si="3"/>
        <v>0</v>
      </c>
      <c r="K23" s="246"/>
      <c r="L23" s="246" t="str">
        <f t="shared" si="2"/>
        <v/>
      </c>
      <c r="M23" s="244"/>
      <c r="N23" s="207"/>
    </row>
    <row r="24" spans="2:14" ht="18.5" x14ac:dyDescent="0.45">
      <c r="B24" s="244" t="str">
        <f>IF('HCC Data Entry'!B19="","",'HCC Data Entry'!B19)</f>
        <v>Conneaut School District</v>
      </c>
      <c r="C24" s="244">
        <f>IF('HCC Data Entry'!C19="","",'HCC Data Entry'!C19)</f>
        <v>13577905</v>
      </c>
      <c r="D24" s="244" t="str">
        <f>IF('HCC Data Entry'!D19="","",'HCC Data Entry'!D19)</f>
        <v>Active</v>
      </c>
      <c r="E24" s="244" t="str">
        <f>IF('HCC Data Entry'!E19="","",'HCC Data Entry'!E19)</f>
        <v>Spouse</v>
      </c>
      <c r="F24" s="246">
        <f>IF('HCC Data Entry'!F19="","",'HCC Data Entry'!F19)</f>
        <v>40757.800000000003</v>
      </c>
      <c r="G24" s="246">
        <f>IFERROR(INDEX('HCC Data Entry'!$J$4:$J$22, MATCH('HCC Detail'!$B24,'HCC Data Entry'!$I$4:$I$22,0)),"")</f>
        <v>68000</v>
      </c>
      <c r="H24" s="246">
        <f t="shared" si="0"/>
        <v>0</v>
      </c>
      <c r="I24" s="247">
        <f t="shared" si="1"/>
        <v>0</v>
      </c>
      <c r="J24" s="246">
        <f t="shared" si="3"/>
        <v>0</v>
      </c>
      <c r="K24" s="246"/>
      <c r="L24" s="246" t="str">
        <f t="shared" si="2"/>
        <v/>
      </c>
      <c r="M24" s="244"/>
      <c r="N24" s="207"/>
    </row>
    <row r="25" spans="2:14" ht="18.5" x14ac:dyDescent="0.45">
      <c r="B25" s="244" t="str">
        <f>IF('HCC Data Entry'!B20="","",'HCC Data Entry'!B20)</f>
        <v>Conneaut School District</v>
      </c>
      <c r="C25" s="244">
        <f>IF('HCC Data Entry'!C20="","",'HCC Data Entry'!C20)</f>
        <v>13581990</v>
      </c>
      <c r="D25" s="244" t="str">
        <f>IF('HCC Data Entry'!D20="","",'HCC Data Entry'!D20)</f>
        <v>Retirees</v>
      </c>
      <c r="E25" s="244" t="str">
        <f>IF('HCC Data Entry'!E20="","",'HCC Data Entry'!E20)</f>
        <v>Spouse</v>
      </c>
      <c r="F25" s="246">
        <f>IF('HCC Data Entry'!F20="","",'HCC Data Entry'!F20)</f>
        <v>38650.14</v>
      </c>
      <c r="G25" s="246">
        <f>IFERROR(INDEX('HCC Data Entry'!$J$4:$J$22, MATCH('HCC Detail'!$B25,'HCC Data Entry'!$I$4:$I$22,0)),"")</f>
        <v>68000</v>
      </c>
      <c r="H25" s="246">
        <f t="shared" si="0"/>
        <v>0</v>
      </c>
      <c r="I25" s="247">
        <f t="shared" si="1"/>
        <v>0</v>
      </c>
      <c r="J25" s="246">
        <f t="shared" si="3"/>
        <v>0</v>
      </c>
      <c r="K25" s="246"/>
      <c r="L25" s="246" t="str">
        <f t="shared" si="2"/>
        <v/>
      </c>
      <c r="M25" s="244"/>
      <c r="N25" s="207"/>
    </row>
    <row r="26" spans="2:14" ht="18.5" x14ac:dyDescent="0.45">
      <c r="B26" s="244" t="str">
        <f>IF('HCC Data Entry'!B21="","",'HCC Data Entry'!B21)</f>
        <v>Conneaut School District</v>
      </c>
      <c r="C26" s="244">
        <f>IF('HCC Data Entry'!C21="","",'HCC Data Entry'!C21)</f>
        <v>13582326</v>
      </c>
      <c r="D26" s="244" t="str">
        <f>IF('HCC Data Entry'!D21="","",'HCC Data Entry'!D21)</f>
        <v>Active</v>
      </c>
      <c r="E26" s="244" t="str">
        <f>IF('HCC Data Entry'!E21="","",'HCC Data Entry'!E21)</f>
        <v>Spouse</v>
      </c>
      <c r="F26" s="246">
        <f>IF('HCC Data Entry'!F21="","",'HCC Data Entry'!F21)</f>
        <v>32676.54</v>
      </c>
      <c r="G26" s="246">
        <f>IFERROR(INDEX('HCC Data Entry'!$J$4:$J$22, MATCH('HCC Detail'!$B26,'HCC Data Entry'!$I$4:$I$22,0)),"")</f>
        <v>68000</v>
      </c>
      <c r="H26" s="246">
        <f t="shared" si="0"/>
        <v>0</v>
      </c>
      <c r="I26" s="247">
        <f t="shared" si="1"/>
        <v>0</v>
      </c>
      <c r="J26" s="246">
        <f t="shared" si="3"/>
        <v>0</v>
      </c>
      <c r="K26" s="246"/>
      <c r="L26" s="246" t="str">
        <f t="shared" si="2"/>
        <v/>
      </c>
      <c r="M26" s="244"/>
      <c r="N26" s="207"/>
    </row>
    <row r="27" spans="2:14" ht="18.5" x14ac:dyDescent="0.45">
      <c r="B27" s="244" t="str">
        <f>IF('HCC Data Entry'!B22="","",'HCC Data Entry'!B22)</f>
        <v>Conneaut School District</v>
      </c>
      <c r="C27" s="244">
        <f>IF('HCC Data Entry'!C22="","",'HCC Data Entry'!C22)</f>
        <v>13576849</v>
      </c>
      <c r="D27" s="244" t="str">
        <f>IF('HCC Data Entry'!D22="","",'HCC Data Entry'!D22)</f>
        <v>Active</v>
      </c>
      <c r="E27" s="244" t="str">
        <f>IF('HCC Data Entry'!E22="","",'HCC Data Entry'!E22)</f>
        <v>Spouse</v>
      </c>
      <c r="F27" s="246">
        <f>IF('HCC Data Entry'!F22="","",'HCC Data Entry'!F22)</f>
        <v>30296.07</v>
      </c>
      <c r="G27" s="246">
        <f>IFERROR(INDEX('HCC Data Entry'!$J$4:$J$22, MATCH('HCC Detail'!$B27,'HCC Data Entry'!$I$4:$I$22,0)),"")</f>
        <v>68000</v>
      </c>
      <c r="H27" s="246">
        <f t="shared" si="0"/>
        <v>0</v>
      </c>
      <c r="I27" s="247">
        <f t="shared" si="1"/>
        <v>0</v>
      </c>
      <c r="J27" s="246">
        <f t="shared" si="3"/>
        <v>0</v>
      </c>
      <c r="K27" s="246"/>
      <c r="L27" s="246" t="str">
        <f t="shared" si="2"/>
        <v/>
      </c>
      <c r="M27" s="244"/>
      <c r="N27" s="207"/>
    </row>
    <row r="28" spans="2:14" ht="18.5" x14ac:dyDescent="0.45">
      <c r="B28" s="244" t="str">
        <f>IF('HCC Data Entry'!B23="","",'HCC Data Entry'!B23)</f>
        <v>Conneaut School District</v>
      </c>
      <c r="C28" s="244">
        <f>IF('HCC Data Entry'!C23="","",'HCC Data Entry'!C23)</f>
        <v>13921044</v>
      </c>
      <c r="D28" s="244" t="str">
        <f>IF('HCC Data Entry'!D23="","",'HCC Data Entry'!D23)</f>
        <v>Active</v>
      </c>
      <c r="E28" s="244" t="str">
        <f>IF('HCC Data Entry'!E23="","",'HCC Data Entry'!E23)</f>
        <v>Self</v>
      </c>
      <c r="F28" s="246">
        <f>IF('HCC Data Entry'!F23="","",'HCC Data Entry'!F23)</f>
        <v>29143.96</v>
      </c>
      <c r="G28" s="246">
        <f>IFERROR(INDEX('HCC Data Entry'!$J$4:$J$22, MATCH('HCC Detail'!$B28,'HCC Data Entry'!$I$4:$I$22,0)),"")</f>
        <v>68000</v>
      </c>
      <c r="H28" s="246">
        <f t="shared" si="0"/>
        <v>0</v>
      </c>
      <c r="I28" s="247">
        <f t="shared" si="1"/>
        <v>0</v>
      </c>
      <c r="J28" s="246">
        <f t="shared" si="3"/>
        <v>0</v>
      </c>
      <c r="K28" s="246"/>
      <c r="L28" s="246" t="str">
        <f t="shared" si="2"/>
        <v/>
      </c>
      <c r="M28" s="244"/>
      <c r="N28" s="207"/>
    </row>
    <row r="29" spans="2:14" ht="18.5" x14ac:dyDescent="0.45">
      <c r="B29" s="244" t="str">
        <f>IF('HCC Data Entry'!B24="","",'HCC Data Entry'!B24)</f>
        <v>Conneaut School District</v>
      </c>
      <c r="C29" s="244">
        <f>IF('HCC Data Entry'!C24="","",'HCC Data Entry'!C24)</f>
        <v>13570542</v>
      </c>
      <c r="D29" s="244" t="str">
        <f>IF('HCC Data Entry'!D24="","",'HCC Data Entry'!D24)</f>
        <v>Active</v>
      </c>
      <c r="E29" s="244" t="str">
        <f>IF('HCC Data Entry'!E24="","",'HCC Data Entry'!E24)</f>
        <v>Self</v>
      </c>
      <c r="F29" s="246">
        <f>IF('HCC Data Entry'!F24="","",'HCC Data Entry'!F24)</f>
        <v>27719.26</v>
      </c>
      <c r="G29" s="246">
        <f>IFERROR(INDEX('HCC Data Entry'!$J$4:$J$22, MATCH('HCC Detail'!$B29,'HCC Data Entry'!$I$4:$I$22,0)),"")</f>
        <v>68000</v>
      </c>
      <c r="H29" s="246">
        <f t="shared" si="0"/>
        <v>0</v>
      </c>
      <c r="I29" s="247">
        <f t="shared" si="1"/>
        <v>0</v>
      </c>
      <c r="J29" s="246">
        <f t="shared" si="3"/>
        <v>0</v>
      </c>
      <c r="K29" s="246"/>
      <c r="L29" s="246" t="str">
        <f t="shared" si="2"/>
        <v/>
      </c>
      <c r="M29" s="244"/>
      <c r="N29" s="207"/>
    </row>
    <row r="30" spans="2:14" ht="18.5" x14ac:dyDescent="0.45">
      <c r="B30" s="244" t="str">
        <f>IF('HCC Data Entry'!B25="","",'HCC Data Entry'!B25)</f>
        <v>Conneaut School District</v>
      </c>
      <c r="C30" s="244">
        <f>IF('HCC Data Entry'!C25="","",'HCC Data Entry'!C25)</f>
        <v>13575656</v>
      </c>
      <c r="D30" s="244" t="str">
        <f>IF('HCC Data Entry'!D25="","",'HCC Data Entry'!D25)</f>
        <v>Active</v>
      </c>
      <c r="E30" s="244" t="str">
        <f>IF('HCC Data Entry'!E25="","",'HCC Data Entry'!E25)</f>
        <v>Spouse</v>
      </c>
      <c r="F30" s="246">
        <f>IF('HCC Data Entry'!F25="","",'HCC Data Entry'!F25)</f>
        <v>27596.97</v>
      </c>
      <c r="G30" s="246">
        <f>IFERROR(INDEX('HCC Data Entry'!$J$4:$J$22, MATCH('HCC Detail'!$B30,'HCC Data Entry'!$I$4:$I$22,0)),"")</f>
        <v>68000</v>
      </c>
      <c r="H30" s="246">
        <f t="shared" si="0"/>
        <v>0</v>
      </c>
      <c r="I30" s="247">
        <f t="shared" si="1"/>
        <v>0</v>
      </c>
      <c r="J30" s="246">
        <f t="shared" si="3"/>
        <v>0</v>
      </c>
      <c r="K30" s="246"/>
      <c r="L30" s="246" t="str">
        <f t="shared" si="2"/>
        <v/>
      </c>
      <c r="M30" s="244"/>
      <c r="N30" s="207"/>
    </row>
    <row r="31" spans="2:14" ht="18.5" x14ac:dyDescent="0.45">
      <c r="B31" s="244" t="str">
        <f>IF('HCC Data Entry'!B26="","",'HCC Data Entry'!B26)</f>
        <v>Conneaut School District</v>
      </c>
      <c r="C31" s="244">
        <f>IF('HCC Data Entry'!C26="","",'HCC Data Entry'!C26)</f>
        <v>13571269</v>
      </c>
      <c r="D31" s="244" t="str">
        <f>IF('HCC Data Entry'!D26="","",'HCC Data Entry'!D26)</f>
        <v>Retirees</v>
      </c>
      <c r="E31" s="244" t="str">
        <f>IF('HCC Data Entry'!E26="","",'HCC Data Entry'!E26)</f>
        <v>Self</v>
      </c>
      <c r="F31" s="246">
        <f>IF('HCC Data Entry'!F26="","",'HCC Data Entry'!F26)</f>
        <v>26317.56</v>
      </c>
      <c r="G31" s="246">
        <f>IFERROR(INDEX('HCC Data Entry'!$J$4:$J$22, MATCH('HCC Detail'!$B31,'HCC Data Entry'!$I$4:$I$22,0)),"")</f>
        <v>68000</v>
      </c>
      <c r="H31" s="246">
        <f t="shared" si="0"/>
        <v>0</v>
      </c>
      <c r="I31" s="247">
        <f t="shared" si="1"/>
        <v>0</v>
      </c>
      <c r="J31" s="246">
        <f t="shared" si="3"/>
        <v>0</v>
      </c>
      <c r="K31" s="246"/>
      <c r="L31" s="246" t="str">
        <f t="shared" si="2"/>
        <v/>
      </c>
      <c r="M31" s="244"/>
      <c r="N31" s="207"/>
    </row>
    <row r="32" spans="2:14" ht="18.5" x14ac:dyDescent="0.45">
      <c r="B32" s="244" t="str">
        <f>IF('HCC Data Entry'!B27="","",'HCC Data Entry'!B27)</f>
        <v>Conneaut School District</v>
      </c>
      <c r="C32" s="244">
        <f>IF('HCC Data Entry'!C27="","",'HCC Data Entry'!C27)</f>
        <v>20402011</v>
      </c>
      <c r="D32" s="244" t="str">
        <f>IF('HCC Data Entry'!D27="","",'HCC Data Entry'!D27)</f>
        <v>Active</v>
      </c>
      <c r="E32" s="244" t="str">
        <f>IF('HCC Data Entry'!E27="","",'HCC Data Entry'!E27)</f>
        <v>Spouse</v>
      </c>
      <c r="F32" s="246">
        <f>IF('HCC Data Entry'!F27="","",'HCC Data Entry'!F27)</f>
        <v>25766.41</v>
      </c>
      <c r="G32" s="246">
        <f>IFERROR(INDEX('HCC Data Entry'!$J$4:$J$22, MATCH('HCC Detail'!$B32,'HCC Data Entry'!$I$4:$I$22,0)),"")</f>
        <v>68000</v>
      </c>
      <c r="H32" s="246">
        <f t="shared" si="0"/>
        <v>0</v>
      </c>
      <c r="I32" s="247">
        <f t="shared" si="1"/>
        <v>0</v>
      </c>
      <c r="J32" s="246">
        <f t="shared" si="3"/>
        <v>0</v>
      </c>
      <c r="K32" s="246"/>
      <c r="L32" s="246" t="str">
        <f t="shared" si="2"/>
        <v/>
      </c>
      <c r="M32" s="244"/>
      <c r="N32" s="207"/>
    </row>
    <row r="33" spans="2:14" ht="18.5" x14ac:dyDescent="0.45">
      <c r="B33" s="244" t="str">
        <f>IF('HCC Data Entry'!B28="","",'HCC Data Entry'!B28)</f>
        <v>Corry Area School District</v>
      </c>
      <c r="C33" s="244">
        <f>IF('HCC Data Entry'!C28="","",'HCC Data Entry'!C28)</f>
        <v>13581822</v>
      </c>
      <c r="D33" s="244" t="str">
        <f>IF('HCC Data Entry'!D28="","",'HCC Data Entry'!D28)</f>
        <v>Active</v>
      </c>
      <c r="E33" s="244" t="str">
        <f>IF('HCC Data Entry'!E28="","",'HCC Data Entry'!E28)</f>
        <v>Self</v>
      </c>
      <c r="F33" s="246">
        <f>IF('HCC Data Entry'!F28="","",'HCC Data Entry'!F28)</f>
        <v>230070.21</v>
      </c>
      <c r="G33" s="246">
        <f>IFERROR(INDEX('HCC Data Entry'!$J$4:$J$22, MATCH('HCC Detail'!$B33,'HCC Data Entry'!$I$4:$I$22,0)),"")</f>
        <v>68000</v>
      </c>
      <c r="H33" s="246">
        <f t="shared" si="0"/>
        <v>162070.21</v>
      </c>
      <c r="I33" s="247">
        <f t="shared" si="1"/>
        <v>162070.21</v>
      </c>
      <c r="J33" s="246">
        <f t="shared" si="3"/>
        <v>0</v>
      </c>
      <c r="K33" s="246"/>
      <c r="L33" s="246" t="str">
        <f t="shared" si="2"/>
        <v/>
      </c>
      <c r="M33" s="244"/>
      <c r="N33" s="207"/>
    </row>
    <row r="34" spans="2:14" ht="18.5" x14ac:dyDescent="0.45">
      <c r="B34" s="244" t="str">
        <f>IF('HCC Data Entry'!B29="","",'HCC Data Entry'!B29)</f>
        <v>Corry Area School District</v>
      </c>
      <c r="C34" s="244">
        <f>IF('HCC Data Entry'!C29="","",'HCC Data Entry'!C29)</f>
        <v>27047478</v>
      </c>
      <c r="D34" s="244" t="str">
        <f>IF('HCC Data Entry'!D29="","",'HCC Data Entry'!D29)</f>
        <v>Active</v>
      </c>
      <c r="E34" s="244" t="str">
        <f>IF('HCC Data Entry'!E29="","",'HCC Data Entry'!E29)</f>
        <v>Self</v>
      </c>
      <c r="F34" s="246">
        <f>IF('HCC Data Entry'!F29="","",'HCC Data Entry'!F29)</f>
        <v>149140.76999999999</v>
      </c>
      <c r="G34" s="246">
        <f>IFERROR(INDEX('HCC Data Entry'!$J$4:$J$22, MATCH('HCC Detail'!$B34,'HCC Data Entry'!$I$4:$I$22,0)),"")</f>
        <v>68000</v>
      </c>
      <c r="H34" s="246">
        <f t="shared" si="0"/>
        <v>81140.76999999999</v>
      </c>
      <c r="I34" s="247">
        <f t="shared" si="1"/>
        <v>81140.76999999999</v>
      </c>
      <c r="J34" s="246">
        <f t="shared" si="3"/>
        <v>0</v>
      </c>
      <c r="K34" s="246"/>
      <c r="L34" s="246" t="str">
        <f t="shared" si="2"/>
        <v/>
      </c>
      <c r="M34" s="244"/>
      <c r="N34" s="207"/>
    </row>
    <row r="35" spans="2:14" ht="18.5" x14ac:dyDescent="0.45">
      <c r="B35" s="244" t="str">
        <f>IF('HCC Data Entry'!B30="","",'HCC Data Entry'!B30)</f>
        <v>Corry Area School District</v>
      </c>
      <c r="C35" s="244">
        <f>IF('HCC Data Entry'!C30="","",'HCC Data Entry'!C30)</f>
        <v>27103537</v>
      </c>
      <c r="D35" s="244" t="str">
        <f>IF('HCC Data Entry'!D30="","",'HCC Data Entry'!D30)</f>
        <v>Active</v>
      </c>
      <c r="E35" s="244" t="str">
        <f>IF('HCC Data Entry'!E30="","",'HCC Data Entry'!E30)</f>
        <v>Spouse</v>
      </c>
      <c r="F35" s="246">
        <f>IF('HCC Data Entry'!F30="","",'HCC Data Entry'!F30)</f>
        <v>109109.1</v>
      </c>
      <c r="G35" s="246">
        <f>IFERROR(INDEX('HCC Data Entry'!$J$4:$J$22, MATCH('HCC Detail'!$B35,'HCC Data Entry'!$I$4:$I$22,0)),"")</f>
        <v>68000</v>
      </c>
      <c r="H35" s="246">
        <f t="shared" si="0"/>
        <v>41109.100000000006</v>
      </c>
      <c r="I35" s="247">
        <f t="shared" si="1"/>
        <v>41109.100000000006</v>
      </c>
      <c r="J35" s="246">
        <f t="shared" si="3"/>
        <v>0</v>
      </c>
      <c r="K35" s="246"/>
      <c r="L35" s="246" t="str">
        <f t="shared" si="2"/>
        <v/>
      </c>
      <c r="M35" s="244"/>
      <c r="N35" s="207"/>
    </row>
    <row r="36" spans="2:14" ht="18.5" x14ac:dyDescent="0.45">
      <c r="B36" s="244" t="str">
        <f>IF('HCC Data Entry'!B31="","",'HCC Data Entry'!B31)</f>
        <v>Corry Area School District</v>
      </c>
      <c r="C36" s="244">
        <f>IF('HCC Data Entry'!C31="","",'HCC Data Entry'!C31)</f>
        <v>13576807</v>
      </c>
      <c r="D36" s="244" t="str">
        <f>IF('HCC Data Entry'!D31="","",'HCC Data Entry'!D31)</f>
        <v>Active</v>
      </c>
      <c r="E36" s="244" t="str">
        <f>IF('HCC Data Entry'!E31="","",'HCC Data Entry'!E31)</f>
        <v>Spouse</v>
      </c>
      <c r="F36" s="246">
        <f>IF('HCC Data Entry'!F31="","",'HCC Data Entry'!F31)</f>
        <v>105711.05</v>
      </c>
      <c r="G36" s="246">
        <f>IFERROR(INDEX('HCC Data Entry'!$J$4:$J$22, MATCH('HCC Detail'!$B36,'HCC Data Entry'!$I$4:$I$22,0)),"")</f>
        <v>68000</v>
      </c>
      <c r="H36" s="246">
        <f t="shared" si="0"/>
        <v>37711.050000000003</v>
      </c>
      <c r="I36" s="247">
        <f t="shared" si="1"/>
        <v>37711.050000000003</v>
      </c>
      <c r="J36" s="246">
        <f t="shared" si="3"/>
        <v>0</v>
      </c>
      <c r="K36" s="246"/>
      <c r="L36" s="246" t="str">
        <f t="shared" si="2"/>
        <v/>
      </c>
      <c r="M36" s="244"/>
      <c r="N36" s="207"/>
    </row>
    <row r="37" spans="2:14" ht="18.5" x14ac:dyDescent="0.45">
      <c r="B37" s="244" t="str">
        <f>IF('HCC Data Entry'!B32="","",'HCC Data Entry'!B32)</f>
        <v>Corry Area School District</v>
      </c>
      <c r="C37" s="244">
        <f>IF('HCC Data Entry'!C32="","",'HCC Data Entry'!C32)</f>
        <v>13573927</v>
      </c>
      <c r="D37" s="244" t="str">
        <f>IF('HCC Data Entry'!D32="","",'HCC Data Entry'!D32)</f>
        <v>Active</v>
      </c>
      <c r="E37" s="244" t="str">
        <f>IF('HCC Data Entry'!E32="","",'HCC Data Entry'!E32)</f>
        <v>Self</v>
      </c>
      <c r="F37" s="246">
        <f>IF('HCC Data Entry'!F32="","",'HCC Data Entry'!F32)</f>
        <v>104784.56</v>
      </c>
      <c r="G37" s="246">
        <f>IFERROR(INDEX('HCC Data Entry'!$J$4:$J$22, MATCH('HCC Detail'!$B37,'HCC Data Entry'!$I$4:$I$22,0)),"")</f>
        <v>68000</v>
      </c>
      <c r="H37" s="246">
        <f t="shared" si="0"/>
        <v>36784.559999999998</v>
      </c>
      <c r="I37" s="247">
        <f t="shared" si="1"/>
        <v>36784.559999999998</v>
      </c>
      <c r="J37" s="246">
        <f t="shared" si="3"/>
        <v>0</v>
      </c>
      <c r="K37" s="246"/>
      <c r="L37" s="246" t="str">
        <f t="shared" si="2"/>
        <v/>
      </c>
      <c r="M37" s="244"/>
      <c r="N37" s="207"/>
    </row>
    <row r="38" spans="2:14" ht="18.5" x14ac:dyDescent="0.45">
      <c r="B38" s="244" t="str">
        <f>IF('HCC Data Entry'!B33="","",'HCC Data Entry'!B33)</f>
        <v>Corry Area School District</v>
      </c>
      <c r="C38" s="244">
        <f>IF('HCC Data Entry'!C33="","",'HCC Data Entry'!C33)</f>
        <v>13578831</v>
      </c>
      <c r="D38" s="244" t="str">
        <f>IF('HCC Data Entry'!D33="","",'HCC Data Entry'!D33)</f>
        <v>Active</v>
      </c>
      <c r="E38" s="244" t="str">
        <f>IF('HCC Data Entry'!E33="","",'HCC Data Entry'!E33)</f>
        <v>Spouse</v>
      </c>
      <c r="F38" s="246">
        <f>IF('HCC Data Entry'!F33="","",'HCC Data Entry'!F33)</f>
        <v>87460.77</v>
      </c>
      <c r="G38" s="246">
        <f>IFERROR(INDEX('HCC Data Entry'!$J$4:$J$22, MATCH('HCC Detail'!$B38,'HCC Data Entry'!$I$4:$I$22,0)),"")</f>
        <v>68000</v>
      </c>
      <c r="H38" s="246">
        <f t="shared" si="0"/>
        <v>19460.770000000004</v>
      </c>
      <c r="I38" s="247">
        <f t="shared" si="1"/>
        <v>19460.770000000004</v>
      </c>
      <c r="J38" s="246">
        <f t="shared" si="3"/>
        <v>0</v>
      </c>
      <c r="K38" s="246"/>
      <c r="L38" s="246" t="str">
        <f t="shared" si="2"/>
        <v/>
      </c>
      <c r="M38" s="244"/>
      <c r="N38" s="207"/>
    </row>
    <row r="39" spans="2:14" ht="18.5" x14ac:dyDescent="0.45">
      <c r="B39" s="244" t="str">
        <f>IF('HCC Data Entry'!B34="","",'HCC Data Entry'!B34)</f>
        <v>Corry Area School District</v>
      </c>
      <c r="C39" s="244">
        <f>IF('HCC Data Entry'!C34="","",'HCC Data Entry'!C34)</f>
        <v>13568266</v>
      </c>
      <c r="D39" s="244" t="str">
        <f>IF('HCC Data Entry'!D34="","",'HCC Data Entry'!D34)</f>
        <v>Active</v>
      </c>
      <c r="E39" s="244" t="str">
        <f>IF('HCC Data Entry'!E34="","",'HCC Data Entry'!E34)</f>
        <v>Self</v>
      </c>
      <c r="F39" s="246">
        <f>IF('HCC Data Entry'!F34="","",'HCC Data Entry'!F34)</f>
        <v>70058.539999999994</v>
      </c>
      <c r="G39" s="246">
        <f>IFERROR(INDEX('HCC Data Entry'!$J$4:$J$22, MATCH('HCC Detail'!$B39,'HCC Data Entry'!$I$4:$I$22,0)),"")</f>
        <v>68000</v>
      </c>
      <c r="H39" s="246">
        <f t="shared" si="0"/>
        <v>2058.5399999999936</v>
      </c>
      <c r="I39" s="247">
        <f t="shared" si="1"/>
        <v>2058.5399999999936</v>
      </c>
      <c r="J39" s="246">
        <f t="shared" si="3"/>
        <v>0</v>
      </c>
      <c r="K39" s="246"/>
      <c r="L39" s="246" t="str">
        <f t="shared" si="2"/>
        <v/>
      </c>
      <c r="M39" s="244"/>
      <c r="N39" s="207"/>
    </row>
    <row r="40" spans="2:14" ht="18.5" x14ac:dyDescent="0.45">
      <c r="B40" s="244" t="str">
        <f>IF('HCC Data Entry'!B35="","",'HCC Data Entry'!B35)</f>
        <v>Corry Area School District</v>
      </c>
      <c r="C40" s="244">
        <f>IF('HCC Data Entry'!C35="","",'HCC Data Entry'!C35)</f>
        <v>13575011</v>
      </c>
      <c r="D40" s="244" t="str">
        <f>IF('HCC Data Entry'!D35="","",'HCC Data Entry'!D35)</f>
        <v>Active</v>
      </c>
      <c r="E40" s="244" t="str">
        <f>IF('HCC Data Entry'!E35="","",'HCC Data Entry'!E35)</f>
        <v>Self</v>
      </c>
      <c r="F40" s="246">
        <f>IF('HCC Data Entry'!F35="","",'HCC Data Entry'!F35)</f>
        <v>70018.83</v>
      </c>
      <c r="G40" s="246">
        <f>IFERROR(INDEX('HCC Data Entry'!$J$4:$J$22, MATCH('HCC Detail'!$B40,'HCC Data Entry'!$I$4:$I$22,0)),"")</f>
        <v>68000</v>
      </c>
      <c r="H40" s="246">
        <f t="shared" si="0"/>
        <v>2018.8300000000017</v>
      </c>
      <c r="I40" s="247">
        <f t="shared" si="1"/>
        <v>2018.8300000000017</v>
      </c>
      <c r="J40" s="246">
        <f t="shared" si="3"/>
        <v>0</v>
      </c>
      <c r="K40" s="246"/>
      <c r="L40" s="246" t="str">
        <f t="shared" si="2"/>
        <v/>
      </c>
      <c r="M40" s="244"/>
    </row>
    <row r="41" spans="2:14" ht="18.5" x14ac:dyDescent="0.45">
      <c r="B41" s="244" t="str">
        <f>IF('HCC Data Entry'!B36="","",'HCC Data Entry'!B36)</f>
        <v>Corry Area School District</v>
      </c>
      <c r="C41" s="244">
        <f>IF('HCC Data Entry'!C36="","",'HCC Data Entry'!C36)</f>
        <v>13573315</v>
      </c>
      <c r="D41" s="244" t="str">
        <f>IF('HCC Data Entry'!D36="","",'HCC Data Entry'!D36)</f>
        <v>Active</v>
      </c>
      <c r="E41" s="244" t="str">
        <f>IF('HCC Data Entry'!E36="","",'HCC Data Entry'!E36)</f>
        <v>Child</v>
      </c>
      <c r="F41" s="246">
        <f>IF('HCC Data Entry'!F36="","",'HCC Data Entry'!F36)</f>
        <v>66534.570000000007</v>
      </c>
      <c r="G41" s="246">
        <f>IFERROR(INDEX('HCC Data Entry'!$J$4:$J$22, MATCH('HCC Detail'!$B41,'HCC Data Entry'!$I$4:$I$22,0)),"")</f>
        <v>68000</v>
      </c>
      <c r="H41" s="246">
        <f t="shared" si="0"/>
        <v>0</v>
      </c>
      <c r="I41" s="247">
        <f t="shared" si="1"/>
        <v>0</v>
      </c>
      <c r="J41" s="246">
        <f t="shared" si="3"/>
        <v>0</v>
      </c>
      <c r="K41" s="246"/>
      <c r="L41" s="246" t="str">
        <f t="shared" si="2"/>
        <v/>
      </c>
      <c r="M41" s="244"/>
    </row>
    <row r="42" spans="2:14" ht="18.5" x14ac:dyDescent="0.45">
      <c r="B42" s="244" t="str">
        <f>IF('HCC Data Entry'!B37="","",'HCC Data Entry'!B37)</f>
        <v>Corry Area School District</v>
      </c>
      <c r="C42" s="244">
        <f>IF('HCC Data Entry'!C37="","",'HCC Data Entry'!C37)</f>
        <v>27341116</v>
      </c>
      <c r="D42" s="244" t="str">
        <f>IF('HCC Data Entry'!D37="","",'HCC Data Entry'!D37)</f>
        <v>Active</v>
      </c>
      <c r="E42" s="244" t="str">
        <f>IF('HCC Data Entry'!E37="","",'HCC Data Entry'!E37)</f>
        <v>Self</v>
      </c>
      <c r="F42" s="246">
        <f>IF('HCC Data Entry'!F37="","",'HCC Data Entry'!F37)</f>
        <v>64849.07</v>
      </c>
      <c r="G42" s="246">
        <f>IFERROR(INDEX('HCC Data Entry'!$J$4:$J$22, MATCH('HCC Detail'!$B42,'HCC Data Entry'!$I$4:$I$22,0)),"")</f>
        <v>68000</v>
      </c>
      <c r="H42" s="246">
        <f t="shared" si="0"/>
        <v>0</v>
      </c>
      <c r="I42" s="247">
        <f t="shared" si="1"/>
        <v>0</v>
      </c>
      <c r="J42" s="246">
        <f t="shared" si="3"/>
        <v>0</v>
      </c>
      <c r="K42" s="246"/>
      <c r="L42" s="246" t="str">
        <f t="shared" si="2"/>
        <v/>
      </c>
      <c r="M42" s="244"/>
    </row>
    <row r="43" spans="2:14" ht="18.5" x14ac:dyDescent="0.45">
      <c r="B43" s="244" t="str">
        <f>IF('HCC Data Entry'!B38="","",'HCC Data Entry'!B38)</f>
        <v>Corry Area School District</v>
      </c>
      <c r="C43" s="244">
        <f>IF('HCC Data Entry'!C38="","",'HCC Data Entry'!C38)</f>
        <v>13581670</v>
      </c>
      <c r="D43" s="244" t="str">
        <f>IF('HCC Data Entry'!D38="","",'HCC Data Entry'!D38)</f>
        <v>Active</v>
      </c>
      <c r="E43" s="244" t="str">
        <f>IF('HCC Data Entry'!E38="","",'HCC Data Entry'!E38)</f>
        <v>Self</v>
      </c>
      <c r="F43" s="246">
        <f>IF('HCC Data Entry'!F38="","",'HCC Data Entry'!F38)</f>
        <v>61224.91</v>
      </c>
      <c r="G43" s="246">
        <f>IFERROR(INDEX('HCC Data Entry'!$J$4:$J$22, MATCH('HCC Detail'!$B43,'HCC Data Entry'!$I$4:$I$22,0)),"")</f>
        <v>68000</v>
      </c>
      <c r="H43" s="246">
        <f t="shared" si="0"/>
        <v>0</v>
      </c>
      <c r="I43" s="247">
        <f t="shared" si="1"/>
        <v>0</v>
      </c>
      <c r="J43" s="246">
        <f t="shared" si="3"/>
        <v>0</v>
      </c>
      <c r="K43" s="246"/>
      <c r="L43" s="246" t="str">
        <f t="shared" si="2"/>
        <v/>
      </c>
      <c r="M43" s="244"/>
    </row>
    <row r="44" spans="2:14" ht="18.5" x14ac:dyDescent="0.45">
      <c r="B44" s="244" t="str">
        <f>IF('HCC Data Entry'!B39="","",'HCC Data Entry'!B39)</f>
        <v>Corry Area School District</v>
      </c>
      <c r="C44" s="244">
        <f>IF('HCC Data Entry'!C39="","",'HCC Data Entry'!C39)</f>
        <v>13579935</v>
      </c>
      <c r="D44" s="244" t="str">
        <f>IF('HCC Data Entry'!D39="","",'HCC Data Entry'!D39)</f>
        <v>Active</v>
      </c>
      <c r="E44" s="244" t="str">
        <f>IF('HCC Data Entry'!E39="","",'HCC Data Entry'!E39)</f>
        <v>Child</v>
      </c>
      <c r="F44" s="246">
        <f>IF('HCC Data Entry'!F39="","",'HCC Data Entry'!F39)</f>
        <v>52385</v>
      </c>
      <c r="G44" s="246">
        <f>IFERROR(INDEX('HCC Data Entry'!$J$4:$J$22, MATCH('HCC Detail'!$B44,'HCC Data Entry'!$I$4:$I$22,0)),"")</f>
        <v>68000</v>
      </c>
      <c r="H44" s="246">
        <f t="shared" si="0"/>
        <v>0</v>
      </c>
      <c r="I44" s="247">
        <f t="shared" si="1"/>
        <v>0</v>
      </c>
      <c r="J44" s="246">
        <f t="shared" si="3"/>
        <v>0</v>
      </c>
      <c r="K44" s="246"/>
      <c r="L44" s="246" t="str">
        <f t="shared" si="2"/>
        <v/>
      </c>
      <c r="M44" s="244"/>
    </row>
    <row r="45" spans="2:14" ht="18.5" x14ac:dyDescent="0.45">
      <c r="B45" s="244" t="str">
        <f>IF('HCC Data Entry'!B40="","",'HCC Data Entry'!B40)</f>
        <v>Corry Area School District</v>
      </c>
      <c r="C45" s="244">
        <f>IF('HCC Data Entry'!C40="","",'HCC Data Entry'!C40)</f>
        <v>13571450</v>
      </c>
      <c r="D45" s="244" t="str">
        <f>IF('HCC Data Entry'!D40="","",'HCC Data Entry'!D40)</f>
        <v>Active</v>
      </c>
      <c r="E45" s="244" t="str">
        <f>IF('HCC Data Entry'!E40="","",'HCC Data Entry'!E40)</f>
        <v>Spouse</v>
      </c>
      <c r="F45" s="246">
        <f>IF('HCC Data Entry'!F40="","",'HCC Data Entry'!F40)</f>
        <v>50404.33</v>
      </c>
      <c r="G45" s="246">
        <f>IFERROR(INDEX('HCC Data Entry'!$J$4:$J$22, MATCH('HCC Detail'!$B45,'HCC Data Entry'!$I$4:$I$22,0)),"")</f>
        <v>68000</v>
      </c>
      <c r="H45" s="246">
        <f t="shared" si="0"/>
        <v>0</v>
      </c>
      <c r="I45" s="247">
        <f t="shared" si="1"/>
        <v>0</v>
      </c>
      <c r="J45" s="246">
        <f t="shared" si="3"/>
        <v>0</v>
      </c>
      <c r="K45" s="246"/>
      <c r="L45" s="246" t="str">
        <f t="shared" si="2"/>
        <v/>
      </c>
      <c r="M45" s="244"/>
    </row>
    <row r="46" spans="2:14" ht="18.5" x14ac:dyDescent="0.45">
      <c r="B46" s="244" t="str">
        <f>IF('HCC Data Entry'!B41="","",'HCC Data Entry'!B41)</f>
        <v>Corry Area School District</v>
      </c>
      <c r="C46" s="244">
        <f>IF('HCC Data Entry'!C41="","",'HCC Data Entry'!C41)</f>
        <v>13576229</v>
      </c>
      <c r="D46" s="244" t="str">
        <f>IF('HCC Data Entry'!D41="","",'HCC Data Entry'!D41)</f>
        <v>Retiree</v>
      </c>
      <c r="E46" s="244" t="str">
        <f>IF('HCC Data Entry'!E41="","",'HCC Data Entry'!E41)</f>
        <v>Self</v>
      </c>
      <c r="F46" s="246">
        <f>IF('HCC Data Entry'!F41="","",'HCC Data Entry'!F41)</f>
        <v>47566.03</v>
      </c>
      <c r="G46" s="246">
        <f>IFERROR(INDEX('HCC Data Entry'!$J$4:$J$22, MATCH('HCC Detail'!$B46,'HCC Data Entry'!$I$4:$I$22,0)),"")</f>
        <v>68000</v>
      </c>
      <c r="H46" s="246">
        <f t="shared" si="0"/>
        <v>0</v>
      </c>
      <c r="I46" s="247">
        <f t="shared" si="1"/>
        <v>0</v>
      </c>
      <c r="J46" s="246">
        <f t="shared" si="3"/>
        <v>0</v>
      </c>
      <c r="K46" s="246"/>
      <c r="L46" s="246" t="str">
        <f t="shared" si="2"/>
        <v/>
      </c>
      <c r="M46" s="244"/>
    </row>
    <row r="47" spans="2:14" ht="18.5" x14ac:dyDescent="0.45">
      <c r="B47" s="244" t="str">
        <f>IF('HCC Data Entry'!B42="","",'HCC Data Entry'!B42)</f>
        <v>Corry Area School District</v>
      </c>
      <c r="C47" s="244">
        <f>IF('HCC Data Entry'!C42="","",'HCC Data Entry'!C42)</f>
        <v>13574535</v>
      </c>
      <c r="D47" s="244" t="str">
        <f>IF('HCC Data Entry'!D42="","",'HCC Data Entry'!D42)</f>
        <v>Active</v>
      </c>
      <c r="E47" s="244" t="str">
        <f>IF('HCC Data Entry'!E42="","",'HCC Data Entry'!E42)</f>
        <v>Spouse</v>
      </c>
      <c r="F47" s="246">
        <f>IF('HCC Data Entry'!F42="","",'HCC Data Entry'!F42)</f>
        <v>43464.3</v>
      </c>
      <c r="G47" s="246">
        <f>IFERROR(INDEX('HCC Data Entry'!$J$4:$J$22, MATCH('HCC Detail'!$B47,'HCC Data Entry'!$I$4:$I$22,0)),"")</f>
        <v>68000</v>
      </c>
      <c r="H47" s="246">
        <f t="shared" si="0"/>
        <v>0</v>
      </c>
      <c r="I47" s="247">
        <f t="shared" si="1"/>
        <v>0</v>
      </c>
      <c r="J47" s="246">
        <f t="shared" si="3"/>
        <v>0</v>
      </c>
      <c r="K47" s="246"/>
      <c r="L47" s="246" t="str">
        <f t="shared" si="2"/>
        <v/>
      </c>
      <c r="M47" s="244"/>
    </row>
    <row r="48" spans="2:14" ht="18.5" x14ac:dyDescent="0.45">
      <c r="B48" s="244" t="str">
        <f>IF('HCC Data Entry'!B43="","",'HCC Data Entry'!B43)</f>
        <v>Corry Area School District</v>
      </c>
      <c r="C48" s="244">
        <f>IF('HCC Data Entry'!C43="","",'HCC Data Entry'!C43)</f>
        <v>13573523</v>
      </c>
      <c r="D48" s="244" t="str">
        <f>IF('HCC Data Entry'!D43="","",'HCC Data Entry'!D43)</f>
        <v>Active</v>
      </c>
      <c r="E48" s="244" t="str">
        <f>IF('HCC Data Entry'!E43="","",'HCC Data Entry'!E43)</f>
        <v>Self</v>
      </c>
      <c r="F48" s="246">
        <f>IF('HCC Data Entry'!F43="","",'HCC Data Entry'!F43)</f>
        <v>42773.97</v>
      </c>
      <c r="G48" s="246">
        <f>IFERROR(INDEX('HCC Data Entry'!$J$4:$J$22, MATCH('HCC Detail'!$B48,'HCC Data Entry'!$I$4:$I$22,0)),"")</f>
        <v>68000</v>
      </c>
      <c r="H48" s="246">
        <f t="shared" si="0"/>
        <v>0</v>
      </c>
      <c r="I48" s="247">
        <f t="shared" si="1"/>
        <v>0</v>
      </c>
      <c r="J48" s="246">
        <f t="shared" si="3"/>
        <v>0</v>
      </c>
      <c r="K48" s="246"/>
      <c r="L48" s="246" t="str">
        <f t="shared" si="2"/>
        <v/>
      </c>
      <c r="M48" s="244"/>
    </row>
    <row r="49" spans="2:13" ht="18.5" x14ac:dyDescent="0.45">
      <c r="B49" s="244" t="str">
        <f>IF('HCC Data Entry'!B44="","",'HCC Data Entry'!B44)</f>
        <v>Corry Area School District</v>
      </c>
      <c r="C49" s="244">
        <f>IF('HCC Data Entry'!C44="","",'HCC Data Entry'!C44)</f>
        <v>27354439</v>
      </c>
      <c r="D49" s="244" t="str">
        <f>IF('HCC Data Entry'!D44="","",'HCC Data Entry'!D44)</f>
        <v>Active</v>
      </c>
      <c r="E49" s="244" t="str">
        <f>IF('HCC Data Entry'!E44="","",'HCC Data Entry'!E44)</f>
        <v>Spouse</v>
      </c>
      <c r="F49" s="246">
        <f>IF('HCC Data Entry'!F44="","",'HCC Data Entry'!F44)</f>
        <v>36295.339999999997</v>
      </c>
      <c r="G49" s="246">
        <f>IFERROR(INDEX('HCC Data Entry'!$J$4:$J$22, MATCH('HCC Detail'!$B49,'HCC Data Entry'!$I$4:$I$22,0)),"")</f>
        <v>68000</v>
      </c>
      <c r="H49" s="246">
        <f t="shared" si="0"/>
        <v>0</v>
      </c>
      <c r="I49" s="247">
        <f t="shared" si="1"/>
        <v>0</v>
      </c>
      <c r="J49" s="246">
        <f t="shared" si="3"/>
        <v>0</v>
      </c>
      <c r="K49" s="246"/>
      <c r="L49" s="246" t="str">
        <f t="shared" si="2"/>
        <v/>
      </c>
      <c r="M49" s="244"/>
    </row>
    <row r="50" spans="2:13" ht="18.5" x14ac:dyDescent="0.45">
      <c r="B50" s="244" t="str">
        <f>IF('HCC Data Entry'!B45="","",'HCC Data Entry'!B45)</f>
        <v>Corry Area School District</v>
      </c>
      <c r="C50" s="244">
        <f>IF('HCC Data Entry'!C45="","",'HCC Data Entry'!C45)</f>
        <v>13582150</v>
      </c>
      <c r="D50" s="244" t="str">
        <f>IF('HCC Data Entry'!D45="","",'HCC Data Entry'!D45)</f>
        <v>Active</v>
      </c>
      <c r="E50" s="244" t="str">
        <f>IF('HCC Data Entry'!E45="","",'HCC Data Entry'!E45)</f>
        <v>Spouse</v>
      </c>
      <c r="F50" s="246">
        <f>IF('HCC Data Entry'!F45="","",'HCC Data Entry'!F45)</f>
        <v>29638.02</v>
      </c>
      <c r="G50" s="246">
        <f>IFERROR(INDEX('HCC Data Entry'!$J$4:$J$22, MATCH('HCC Detail'!$B50,'HCC Data Entry'!$I$4:$I$22,0)),"")</f>
        <v>68000</v>
      </c>
      <c r="H50" s="246">
        <f t="shared" si="0"/>
        <v>0</v>
      </c>
      <c r="I50" s="247">
        <f t="shared" si="1"/>
        <v>0</v>
      </c>
      <c r="J50" s="246">
        <f t="shared" si="3"/>
        <v>0</v>
      </c>
      <c r="K50" s="246"/>
      <c r="L50" s="246" t="str">
        <f t="shared" si="2"/>
        <v/>
      </c>
      <c r="M50" s="244"/>
    </row>
    <row r="51" spans="2:13" ht="18.5" x14ac:dyDescent="0.45">
      <c r="B51" s="244" t="str">
        <f>IF('HCC Data Entry'!B46="","",'HCC Data Entry'!B46)</f>
        <v>Corry Area School District</v>
      </c>
      <c r="C51" s="244">
        <f>IF('HCC Data Entry'!C46="","",'HCC Data Entry'!C46)</f>
        <v>21933254</v>
      </c>
      <c r="D51" s="244" t="str">
        <f>IF('HCC Data Entry'!D46="","",'HCC Data Entry'!D46)</f>
        <v>Active</v>
      </c>
      <c r="E51" s="244" t="str">
        <f>IF('HCC Data Entry'!E46="","",'HCC Data Entry'!E46)</f>
        <v>Child</v>
      </c>
      <c r="F51" s="246">
        <f>IF('HCC Data Entry'!F46="","",'HCC Data Entry'!F46)</f>
        <v>29596.22</v>
      </c>
      <c r="G51" s="246">
        <f>IFERROR(INDEX('HCC Data Entry'!$J$4:$J$22, MATCH('HCC Detail'!$B51,'HCC Data Entry'!$I$4:$I$22,0)),"")</f>
        <v>68000</v>
      </c>
      <c r="H51" s="246">
        <f t="shared" si="0"/>
        <v>0</v>
      </c>
      <c r="I51" s="247">
        <f t="shared" si="1"/>
        <v>0</v>
      </c>
      <c r="J51" s="246">
        <f t="shared" si="3"/>
        <v>0</v>
      </c>
      <c r="K51" s="246"/>
      <c r="L51" s="246" t="str">
        <f t="shared" si="2"/>
        <v/>
      </c>
      <c r="M51" s="244"/>
    </row>
    <row r="52" spans="2:13" ht="18.5" x14ac:dyDescent="0.45">
      <c r="B52" s="244" t="str">
        <f>IF('HCC Data Entry'!B47="","",'HCC Data Entry'!B47)</f>
        <v>Corry Area School District</v>
      </c>
      <c r="C52" s="244">
        <f>IF('HCC Data Entry'!C47="","",'HCC Data Entry'!C47)</f>
        <v>26991430</v>
      </c>
      <c r="D52" s="244" t="str">
        <f>IF('HCC Data Entry'!D47="","",'HCC Data Entry'!D47)</f>
        <v>Active</v>
      </c>
      <c r="E52" s="244" t="str">
        <f>IF('HCC Data Entry'!E47="","",'HCC Data Entry'!E47)</f>
        <v>Self</v>
      </c>
      <c r="F52" s="246">
        <f>IF('HCC Data Entry'!F47="","",'HCC Data Entry'!F47)</f>
        <v>29547.63</v>
      </c>
      <c r="G52" s="246">
        <f>IFERROR(INDEX('HCC Data Entry'!$J$4:$J$22, MATCH('HCC Detail'!$B52,'HCC Data Entry'!$I$4:$I$22,0)),"")</f>
        <v>68000</v>
      </c>
      <c r="H52" s="246">
        <f t="shared" si="0"/>
        <v>0</v>
      </c>
      <c r="I52" s="247">
        <f t="shared" si="1"/>
        <v>0</v>
      </c>
      <c r="J52" s="246">
        <f t="shared" si="3"/>
        <v>0</v>
      </c>
      <c r="K52" s="246"/>
      <c r="L52" s="246" t="str">
        <f t="shared" si="2"/>
        <v/>
      </c>
      <c r="M52" s="244"/>
    </row>
    <row r="53" spans="2:13" ht="18.5" x14ac:dyDescent="0.45">
      <c r="B53" s="244" t="str">
        <f>IF('HCC Data Entry'!B48="","",'HCC Data Entry'!B48)</f>
        <v>Corry Area School District</v>
      </c>
      <c r="C53" s="244">
        <f>IF('HCC Data Entry'!C48="","",'HCC Data Entry'!C48)</f>
        <v>13570130</v>
      </c>
      <c r="D53" s="244" t="str">
        <f>IF('HCC Data Entry'!D48="","",'HCC Data Entry'!D48)</f>
        <v>Active</v>
      </c>
      <c r="E53" s="244" t="str">
        <f>IF('HCC Data Entry'!E48="","",'HCC Data Entry'!E48)</f>
        <v>Self</v>
      </c>
      <c r="F53" s="246">
        <f>IF('HCC Data Entry'!F48="","",'HCC Data Entry'!F48)</f>
        <v>27491.54</v>
      </c>
      <c r="G53" s="246">
        <f>IFERROR(INDEX('HCC Data Entry'!$J$4:$J$22, MATCH('HCC Detail'!$B53,'HCC Data Entry'!$I$4:$I$22,0)),"")</f>
        <v>68000</v>
      </c>
      <c r="H53" s="246">
        <f t="shared" si="0"/>
        <v>0</v>
      </c>
      <c r="I53" s="247">
        <f t="shared" si="1"/>
        <v>0</v>
      </c>
      <c r="J53" s="246">
        <f t="shared" si="3"/>
        <v>0</v>
      </c>
      <c r="K53" s="246"/>
      <c r="L53" s="246" t="str">
        <f t="shared" si="2"/>
        <v/>
      </c>
      <c r="M53" s="244"/>
    </row>
    <row r="54" spans="2:13" ht="18.5" x14ac:dyDescent="0.45">
      <c r="B54" s="244" t="str">
        <f>IF('HCC Data Entry'!B49="","",'HCC Data Entry'!B49)</f>
        <v>Corry Area School District</v>
      </c>
      <c r="C54" s="244">
        <f>IF('HCC Data Entry'!C49="","",'HCC Data Entry'!C49)</f>
        <v>13580066</v>
      </c>
      <c r="D54" s="244" t="str">
        <f>IF('HCC Data Entry'!D49="","",'HCC Data Entry'!D49)</f>
        <v>Active</v>
      </c>
      <c r="E54" s="244" t="str">
        <f>IF('HCC Data Entry'!E49="","",'HCC Data Entry'!E49)</f>
        <v>Child</v>
      </c>
      <c r="F54" s="246">
        <f>IF('HCC Data Entry'!F49="","",'HCC Data Entry'!F49)</f>
        <v>27325.67</v>
      </c>
      <c r="G54" s="246">
        <f>IFERROR(INDEX('HCC Data Entry'!$J$4:$J$22, MATCH('HCC Detail'!$B54,'HCC Data Entry'!$I$4:$I$22,0)),"")</f>
        <v>68000</v>
      </c>
      <c r="H54" s="246">
        <f t="shared" si="0"/>
        <v>0</v>
      </c>
      <c r="I54" s="247">
        <f t="shared" si="1"/>
        <v>0</v>
      </c>
      <c r="J54" s="246">
        <f t="shared" si="3"/>
        <v>0</v>
      </c>
      <c r="K54" s="246"/>
      <c r="L54" s="246" t="str">
        <f t="shared" si="2"/>
        <v/>
      </c>
      <c r="M54" s="244"/>
    </row>
    <row r="55" spans="2:13" ht="18.5" x14ac:dyDescent="0.45">
      <c r="B55" s="244" t="str">
        <f>IF('HCC Data Entry'!B50="","",'HCC Data Entry'!B50)</f>
        <v>Corry Area School District</v>
      </c>
      <c r="C55" s="244">
        <f>IF('HCC Data Entry'!C50="","",'HCC Data Entry'!C50)</f>
        <v>13580154</v>
      </c>
      <c r="D55" s="244" t="str">
        <f>IF('HCC Data Entry'!D50="","",'HCC Data Entry'!D50)</f>
        <v>Active</v>
      </c>
      <c r="E55" s="244" t="str">
        <f>IF('HCC Data Entry'!E50="","",'HCC Data Entry'!E50)</f>
        <v>Child</v>
      </c>
      <c r="F55" s="246">
        <f>IF('HCC Data Entry'!F50="","",'HCC Data Entry'!F50)</f>
        <v>26829.37</v>
      </c>
      <c r="G55" s="246">
        <f>IFERROR(INDEX('HCC Data Entry'!$J$4:$J$22, MATCH('HCC Detail'!$B55,'HCC Data Entry'!$I$4:$I$22,0)),"")</f>
        <v>68000</v>
      </c>
      <c r="H55" s="246">
        <f t="shared" si="0"/>
        <v>0</v>
      </c>
      <c r="I55" s="247">
        <f t="shared" si="1"/>
        <v>0</v>
      </c>
      <c r="J55" s="246">
        <f t="shared" si="3"/>
        <v>0</v>
      </c>
      <c r="K55" s="246"/>
      <c r="L55" s="246" t="str">
        <f t="shared" si="2"/>
        <v/>
      </c>
      <c r="M55" s="244"/>
    </row>
    <row r="56" spans="2:13" ht="18.5" x14ac:dyDescent="0.45">
      <c r="B56" s="244" t="str">
        <f>IF('HCC Data Entry'!B51="","",'HCC Data Entry'!B51)</f>
        <v>Corry Area School District</v>
      </c>
      <c r="C56" s="244">
        <f>IF('HCC Data Entry'!C51="","",'HCC Data Entry'!C51)</f>
        <v>13576961</v>
      </c>
      <c r="D56" s="244" t="str">
        <f>IF('HCC Data Entry'!D51="","",'HCC Data Entry'!D51)</f>
        <v>Active</v>
      </c>
      <c r="E56" s="244" t="str">
        <f>IF('HCC Data Entry'!E51="","",'HCC Data Entry'!E51)</f>
        <v>Spouse</v>
      </c>
      <c r="F56" s="246">
        <f>IF('HCC Data Entry'!F51="","",'HCC Data Entry'!F51)</f>
        <v>26771.63</v>
      </c>
      <c r="G56" s="246">
        <f>IFERROR(INDEX('HCC Data Entry'!$J$4:$J$22, MATCH('HCC Detail'!$B56,'HCC Data Entry'!$I$4:$I$22,0)),"")</f>
        <v>68000</v>
      </c>
      <c r="H56" s="246">
        <f t="shared" si="0"/>
        <v>0</v>
      </c>
      <c r="I56" s="247">
        <f t="shared" si="1"/>
        <v>0</v>
      </c>
      <c r="J56" s="246">
        <f t="shared" si="3"/>
        <v>0</v>
      </c>
      <c r="K56" s="246"/>
      <c r="L56" s="246" t="str">
        <f t="shared" si="2"/>
        <v/>
      </c>
      <c r="M56" s="244"/>
    </row>
    <row r="57" spans="2:13" ht="18.5" x14ac:dyDescent="0.45">
      <c r="B57" s="244" t="str">
        <f>IF('HCC Data Entry'!B52="","",'HCC Data Entry'!B52)</f>
        <v>Crawford County Career &amp; Technical Center</v>
      </c>
      <c r="C57" s="244">
        <f>IF('HCC Data Entry'!C52="","",'HCC Data Entry'!C52)</f>
        <v>13573415</v>
      </c>
      <c r="D57" s="244" t="str">
        <f>IF('HCC Data Entry'!D52="","",'HCC Data Entry'!D52)</f>
        <v>Active</v>
      </c>
      <c r="E57" s="244" t="str">
        <f>IF('HCC Data Entry'!E52="","",'HCC Data Entry'!E52)</f>
        <v>Spouse</v>
      </c>
      <c r="F57" s="246">
        <f>IF('HCC Data Entry'!F52="","",'HCC Data Entry'!F52)</f>
        <v>78063.62</v>
      </c>
      <c r="G57" s="246">
        <f>IFERROR(INDEX('HCC Data Entry'!$J$4:$J$22, MATCH('HCC Detail'!$B57,'HCC Data Entry'!$I$4:$I$22,0)),"")</f>
        <v>50000</v>
      </c>
      <c r="H57" s="246">
        <f t="shared" si="0"/>
        <v>28063.619999999995</v>
      </c>
      <c r="I57" s="247">
        <f t="shared" si="1"/>
        <v>28063.619999999995</v>
      </c>
      <c r="J57" s="246">
        <f t="shared" si="3"/>
        <v>0</v>
      </c>
      <c r="K57" s="246"/>
      <c r="L57" s="246" t="str">
        <f t="shared" si="2"/>
        <v/>
      </c>
      <c r="M57" s="244"/>
    </row>
    <row r="58" spans="2:13" ht="18.5" x14ac:dyDescent="0.45">
      <c r="B58" s="244" t="str">
        <f>IF('HCC Data Entry'!B53="","",'HCC Data Entry'!B53)</f>
        <v>Crawford County Career &amp; Technical Center</v>
      </c>
      <c r="C58" s="244">
        <f>IF('HCC Data Entry'!C53="","",'HCC Data Entry'!C53)</f>
        <v>28326883</v>
      </c>
      <c r="D58" s="244" t="str">
        <f>IF('HCC Data Entry'!D53="","",'HCC Data Entry'!D53)</f>
        <v>Active</v>
      </c>
      <c r="E58" s="244" t="str">
        <f>IF('HCC Data Entry'!E53="","",'HCC Data Entry'!E53)</f>
        <v>Spouse</v>
      </c>
      <c r="F58" s="246">
        <f>IF('HCC Data Entry'!F53="","",'HCC Data Entry'!F53)</f>
        <v>42904.65</v>
      </c>
      <c r="G58" s="246">
        <f>IFERROR(INDEX('HCC Data Entry'!$J$4:$J$22, MATCH('HCC Detail'!$B58,'HCC Data Entry'!$I$4:$I$22,0)),"")</f>
        <v>50000</v>
      </c>
      <c r="H58" s="246">
        <f t="shared" si="0"/>
        <v>0</v>
      </c>
      <c r="I58" s="247">
        <f t="shared" si="1"/>
        <v>0</v>
      </c>
      <c r="J58" s="246">
        <f t="shared" si="3"/>
        <v>0</v>
      </c>
      <c r="K58" s="246"/>
      <c r="L58" s="246" t="str">
        <f t="shared" si="2"/>
        <v/>
      </c>
      <c r="M58" s="244"/>
    </row>
    <row r="59" spans="2:13" ht="18.5" x14ac:dyDescent="0.45">
      <c r="B59" s="244" t="str">
        <f>IF('HCC Data Entry'!B54="","",'HCC Data Entry'!B54)</f>
        <v>Crawford County Career &amp; Technical Center</v>
      </c>
      <c r="C59" s="244">
        <f>IF('HCC Data Entry'!C54="","",'HCC Data Entry'!C54)</f>
        <v>27367588</v>
      </c>
      <c r="D59" s="244" t="str">
        <f>IF('HCC Data Entry'!D54="","",'HCC Data Entry'!D54)</f>
        <v>Active</v>
      </c>
      <c r="E59" s="244" t="str">
        <f>IF('HCC Data Entry'!E54="","",'HCC Data Entry'!E54)</f>
        <v>Spouse</v>
      </c>
      <c r="F59" s="246">
        <f>IF('HCC Data Entry'!F54="","",'HCC Data Entry'!F54)</f>
        <v>33243.449999999997</v>
      </c>
      <c r="G59" s="246">
        <f>IFERROR(INDEX('HCC Data Entry'!$J$4:$J$22, MATCH('HCC Detail'!$B59,'HCC Data Entry'!$I$4:$I$22,0)),"")</f>
        <v>50000</v>
      </c>
      <c r="H59" s="246">
        <f t="shared" si="0"/>
        <v>0</v>
      </c>
      <c r="I59" s="247">
        <f t="shared" si="1"/>
        <v>0</v>
      </c>
      <c r="J59" s="246">
        <f t="shared" si="3"/>
        <v>0</v>
      </c>
      <c r="K59" s="246"/>
      <c r="L59" s="246" t="str">
        <f t="shared" si="2"/>
        <v/>
      </c>
      <c r="M59" s="244"/>
    </row>
    <row r="60" spans="2:13" ht="18.5" x14ac:dyDescent="0.45">
      <c r="B60" s="244" t="str">
        <f>IF('HCC Data Entry'!B55="","",'HCC Data Entry'!B55)</f>
        <v>Crawford County Career &amp; Technical Center</v>
      </c>
      <c r="C60" s="244">
        <f>IF('HCC Data Entry'!C55="","",'HCC Data Entry'!C55)</f>
        <v>13580592</v>
      </c>
      <c r="D60" s="244" t="str">
        <f>IF('HCC Data Entry'!D55="","",'HCC Data Entry'!D55)</f>
        <v>Active</v>
      </c>
      <c r="E60" s="244" t="str">
        <f>IF('HCC Data Entry'!E55="","",'HCC Data Entry'!E55)</f>
        <v>Child</v>
      </c>
      <c r="F60" s="246">
        <f>IF('HCC Data Entry'!F55="","",'HCC Data Entry'!F55)</f>
        <v>32568.78</v>
      </c>
      <c r="G60" s="246">
        <f>IFERROR(INDEX('HCC Data Entry'!$J$4:$J$22, MATCH('HCC Detail'!$B60,'HCC Data Entry'!$I$4:$I$22,0)),"")</f>
        <v>50000</v>
      </c>
      <c r="H60" s="246">
        <f t="shared" si="0"/>
        <v>0</v>
      </c>
      <c r="I60" s="247">
        <f t="shared" si="1"/>
        <v>0</v>
      </c>
      <c r="J60" s="246">
        <f t="shared" si="3"/>
        <v>0</v>
      </c>
      <c r="K60" s="246"/>
      <c r="L60" s="246" t="str">
        <f t="shared" si="2"/>
        <v/>
      </c>
      <c r="M60" s="244"/>
    </row>
    <row r="61" spans="2:13" ht="18.5" x14ac:dyDescent="0.45">
      <c r="B61" s="244" t="str">
        <f>IF('HCC Data Entry'!B56="","",'HCC Data Entry'!B56)</f>
        <v>Crawford County Career &amp; Technical Center</v>
      </c>
      <c r="C61" s="244">
        <f>IF('HCC Data Entry'!C56="","",'HCC Data Entry'!C56)</f>
        <v>13584674</v>
      </c>
      <c r="D61" s="244" t="str">
        <f>IF('HCC Data Entry'!D56="","",'HCC Data Entry'!D56)</f>
        <v>Active</v>
      </c>
      <c r="E61" s="244" t="str">
        <f>IF('HCC Data Entry'!E56="","",'HCC Data Entry'!E56)</f>
        <v>Spouse</v>
      </c>
      <c r="F61" s="246">
        <f>IF('HCC Data Entry'!F56="","",'HCC Data Entry'!F56)</f>
        <v>29093.53</v>
      </c>
      <c r="G61" s="246">
        <f>IFERROR(INDEX('HCC Data Entry'!$J$4:$J$22, MATCH('HCC Detail'!$B61,'HCC Data Entry'!$I$4:$I$22,0)),"")</f>
        <v>50000</v>
      </c>
      <c r="H61" s="246">
        <f t="shared" si="0"/>
        <v>0</v>
      </c>
      <c r="I61" s="247">
        <f t="shared" si="1"/>
        <v>0</v>
      </c>
      <c r="J61" s="246">
        <f t="shared" si="3"/>
        <v>0</v>
      </c>
      <c r="K61" s="246"/>
      <c r="L61" s="246" t="str">
        <f t="shared" si="2"/>
        <v/>
      </c>
      <c r="M61" s="244"/>
    </row>
    <row r="62" spans="2:13" ht="18.5" x14ac:dyDescent="0.45">
      <c r="B62" s="244" t="str">
        <f>IF('HCC Data Entry'!B57="","",'HCC Data Entry'!B57)</f>
        <v>Crawford County Career &amp; Technical Center</v>
      </c>
      <c r="C62" s="244">
        <f>IF('HCC Data Entry'!C57="","",'HCC Data Entry'!C57)</f>
        <v>13571830</v>
      </c>
      <c r="D62" s="244" t="str">
        <f>IF('HCC Data Entry'!D57="","",'HCC Data Entry'!D57)</f>
        <v>Active</v>
      </c>
      <c r="E62" s="244" t="str">
        <f>IF('HCC Data Entry'!E57="","",'HCC Data Entry'!E57)</f>
        <v>Self</v>
      </c>
      <c r="F62" s="246">
        <f>IF('HCC Data Entry'!F57="","",'HCC Data Entry'!F57)</f>
        <v>26622.17</v>
      </c>
      <c r="G62" s="246">
        <f>IFERROR(INDEX('HCC Data Entry'!$J$4:$J$22, MATCH('HCC Detail'!$B62,'HCC Data Entry'!$I$4:$I$22,0)),"")</f>
        <v>50000</v>
      </c>
      <c r="H62" s="246">
        <f t="shared" si="0"/>
        <v>0</v>
      </c>
      <c r="I62" s="247">
        <f t="shared" si="1"/>
        <v>0</v>
      </c>
      <c r="J62" s="246">
        <f t="shared" si="3"/>
        <v>0</v>
      </c>
      <c r="K62" s="246"/>
      <c r="L62" s="246" t="str">
        <f t="shared" si="2"/>
        <v/>
      </c>
      <c r="M62" s="244"/>
    </row>
    <row r="63" spans="2:13" ht="18.5" x14ac:dyDescent="0.45">
      <c r="B63" s="244" t="str">
        <f>IF('HCC Data Entry'!B58="","",'HCC Data Entry'!B58)</f>
        <v>Erie County Technical School</v>
      </c>
      <c r="C63" s="244">
        <f>IF('HCC Data Entry'!C58="","",'HCC Data Entry'!C58)</f>
        <v>26337828</v>
      </c>
      <c r="D63" s="244" t="str">
        <f>IF('HCC Data Entry'!D58="","",'HCC Data Entry'!D58)</f>
        <v>Active</v>
      </c>
      <c r="E63" s="244" t="str">
        <f>IF('HCC Data Entry'!E58="","",'HCC Data Entry'!E58)</f>
        <v>Child</v>
      </c>
      <c r="F63" s="246">
        <f>IF('HCC Data Entry'!F58="","",'HCC Data Entry'!F58)</f>
        <v>136839.88</v>
      </c>
      <c r="G63" s="246">
        <f>IFERROR(INDEX('HCC Data Entry'!$J$4:$J$22, MATCH('HCC Detail'!$B63,'HCC Data Entry'!$I$4:$I$22,0)),"")</f>
        <v>50000</v>
      </c>
      <c r="H63" s="246">
        <f t="shared" si="0"/>
        <v>86839.88</v>
      </c>
      <c r="I63" s="247">
        <f t="shared" si="1"/>
        <v>86839.88</v>
      </c>
      <c r="J63" s="246">
        <f t="shared" si="3"/>
        <v>0</v>
      </c>
      <c r="K63" s="246"/>
      <c r="L63" s="246" t="str">
        <f t="shared" si="2"/>
        <v/>
      </c>
      <c r="M63" s="244"/>
    </row>
    <row r="64" spans="2:13" ht="18.5" x14ac:dyDescent="0.45">
      <c r="B64" s="244" t="str">
        <f>IF('HCC Data Entry'!B59="","",'HCC Data Entry'!B59)</f>
        <v>Erie County Technical School</v>
      </c>
      <c r="C64" s="244">
        <f>IF('HCC Data Entry'!C59="","",'HCC Data Entry'!C59)</f>
        <v>28755160</v>
      </c>
      <c r="D64" s="244" t="str">
        <f>IF('HCC Data Entry'!D59="","",'HCC Data Entry'!D59)</f>
        <v>Active</v>
      </c>
      <c r="E64" s="244" t="str">
        <f>IF('HCC Data Entry'!E59="","",'HCC Data Entry'!E59)</f>
        <v>Child</v>
      </c>
      <c r="F64" s="246">
        <f>IF('HCC Data Entry'!F59="","",'HCC Data Entry'!F59)</f>
        <v>68535.12</v>
      </c>
      <c r="G64" s="246">
        <f>IFERROR(INDEX('HCC Data Entry'!$J$4:$J$22, MATCH('HCC Detail'!$B64,'HCC Data Entry'!$I$4:$I$22,0)),"")</f>
        <v>50000</v>
      </c>
      <c r="H64" s="246">
        <f t="shared" si="0"/>
        <v>18535.119999999995</v>
      </c>
      <c r="I64" s="247">
        <f t="shared" si="1"/>
        <v>18535.119999999995</v>
      </c>
      <c r="J64" s="246">
        <f t="shared" si="3"/>
        <v>0</v>
      </c>
      <c r="K64" s="246"/>
      <c r="L64" s="246" t="str">
        <f t="shared" si="2"/>
        <v/>
      </c>
      <c r="M64" s="244"/>
    </row>
    <row r="65" spans="2:13" ht="18.5" x14ac:dyDescent="0.45">
      <c r="B65" s="244" t="str">
        <f>IF('HCC Data Entry'!B60="","",'HCC Data Entry'!B60)</f>
        <v>Erie County Technical School</v>
      </c>
      <c r="C65" s="244">
        <f>IF('HCC Data Entry'!C60="","",'HCC Data Entry'!C60)</f>
        <v>26532926</v>
      </c>
      <c r="D65" s="244" t="str">
        <f>IF('HCC Data Entry'!D60="","",'HCC Data Entry'!D60)</f>
        <v>Active</v>
      </c>
      <c r="E65" s="244" t="str">
        <f>IF('HCC Data Entry'!E60="","",'HCC Data Entry'!E60)</f>
        <v>Self</v>
      </c>
      <c r="F65" s="246">
        <f>IF('HCC Data Entry'!F60="","",'HCC Data Entry'!F60)</f>
        <v>55581.54</v>
      </c>
      <c r="G65" s="246">
        <f>IFERROR(INDEX('HCC Data Entry'!$J$4:$J$22, MATCH('HCC Detail'!$B65,'HCC Data Entry'!$I$4:$I$22,0)),"")</f>
        <v>50000</v>
      </c>
      <c r="H65" s="246">
        <f t="shared" si="0"/>
        <v>5581.5400000000009</v>
      </c>
      <c r="I65" s="247">
        <f t="shared" si="1"/>
        <v>5581.5400000000009</v>
      </c>
      <c r="J65" s="246">
        <f t="shared" si="3"/>
        <v>0</v>
      </c>
      <c r="K65" s="246"/>
      <c r="L65" s="246" t="str">
        <f t="shared" si="2"/>
        <v/>
      </c>
      <c r="M65" s="244"/>
    </row>
    <row r="66" spans="2:13" ht="18.5" x14ac:dyDescent="0.45">
      <c r="B66" s="244" t="str">
        <f>IF('HCC Data Entry'!B61="","",'HCC Data Entry'!B61)</f>
        <v>Erie County Technical School</v>
      </c>
      <c r="C66" s="244">
        <f>IF('HCC Data Entry'!C61="","",'HCC Data Entry'!C61)</f>
        <v>27124002</v>
      </c>
      <c r="D66" s="244" t="str">
        <f>IF('HCC Data Entry'!D61="","",'HCC Data Entry'!D61)</f>
        <v>Active</v>
      </c>
      <c r="E66" s="244" t="str">
        <f>IF('HCC Data Entry'!E61="","",'HCC Data Entry'!E61)</f>
        <v>Self</v>
      </c>
      <c r="F66" s="246">
        <f>IF('HCC Data Entry'!F61="","",'HCC Data Entry'!F61)</f>
        <v>43816.160000000003</v>
      </c>
      <c r="G66" s="246">
        <f>IFERROR(INDEX('HCC Data Entry'!$J$4:$J$22, MATCH('HCC Detail'!$B66,'HCC Data Entry'!$I$4:$I$22,0)),"")</f>
        <v>50000</v>
      </c>
      <c r="H66" s="246">
        <f t="shared" si="0"/>
        <v>0</v>
      </c>
      <c r="I66" s="247">
        <f t="shared" si="1"/>
        <v>0</v>
      </c>
      <c r="J66" s="246">
        <f t="shared" si="3"/>
        <v>0</v>
      </c>
      <c r="K66" s="246"/>
      <c r="L66" s="246" t="str">
        <f t="shared" si="2"/>
        <v/>
      </c>
      <c r="M66" s="244"/>
    </row>
    <row r="67" spans="2:13" ht="18.5" x14ac:dyDescent="0.45">
      <c r="B67" s="244" t="str">
        <f>IF('HCC Data Entry'!B62="","",'HCC Data Entry'!B62)</f>
        <v>Erie County Technical School</v>
      </c>
      <c r="C67" s="244">
        <f>IF('HCC Data Entry'!C62="","",'HCC Data Entry'!C62)</f>
        <v>27067379</v>
      </c>
      <c r="D67" s="244" t="str">
        <f>IF('HCC Data Entry'!D62="","",'HCC Data Entry'!D62)</f>
        <v>Active</v>
      </c>
      <c r="E67" s="244" t="str">
        <f>IF('HCC Data Entry'!E62="","",'HCC Data Entry'!E62)</f>
        <v>Child</v>
      </c>
      <c r="F67" s="246">
        <f>IF('HCC Data Entry'!F62="","",'HCC Data Entry'!F62)</f>
        <v>42233.21</v>
      </c>
      <c r="G67" s="246">
        <f>IFERROR(INDEX('HCC Data Entry'!$J$4:$J$22, MATCH('HCC Detail'!$B67,'HCC Data Entry'!$I$4:$I$22,0)),"")</f>
        <v>50000</v>
      </c>
      <c r="H67" s="246">
        <f t="shared" si="0"/>
        <v>0</v>
      </c>
      <c r="I67" s="247">
        <f t="shared" si="1"/>
        <v>0</v>
      </c>
      <c r="J67" s="246">
        <f t="shared" si="3"/>
        <v>0</v>
      </c>
      <c r="K67" s="246"/>
      <c r="L67" s="246" t="str">
        <f t="shared" si="2"/>
        <v/>
      </c>
      <c r="M67" s="244"/>
    </row>
    <row r="68" spans="2:13" ht="18.5" x14ac:dyDescent="0.45">
      <c r="B68" s="244" t="str">
        <f>IF('HCC Data Entry'!B63="","",'HCC Data Entry'!B63)</f>
        <v>Fairview School District</v>
      </c>
      <c r="C68" s="244">
        <f>IF('HCC Data Entry'!C63="","",'HCC Data Entry'!C63)</f>
        <v>13576981</v>
      </c>
      <c r="D68" s="244" t="str">
        <f>IF('HCC Data Entry'!D63="","",'HCC Data Entry'!D63)</f>
        <v>Active</v>
      </c>
      <c r="E68" s="244" t="str">
        <f>IF('HCC Data Entry'!E63="","",'HCC Data Entry'!E63)</f>
        <v>Spouse</v>
      </c>
      <c r="F68" s="246">
        <f>IF('HCC Data Entry'!F63="","",'HCC Data Entry'!F63)</f>
        <v>1009823.09</v>
      </c>
      <c r="G68" s="246">
        <f>IFERROR(INDEX('HCC Data Entry'!$J$4:$J$22, MATCH('HCC Detail'!$B68,'HCC Data Entry'!$I$4:$I$22,0)),"")</f>
        <v>68000</v>
      </c>
      <c r="H68" s="246">
        <f t="shared" si="0"/>
        <v>941823.09</v>
      </c>
      <c r="I68" s="247">
        <f t="shared" si="1"/>
        <v>232000</v>
      </c>
      <c r="J68" s="246">
        <f t="shared" si="3"/>
        <v>709823.09</v>
      </c>
      <c r="K68" s="246"/>
      <c r="L68" s="246" t="str">
        <f t="shared" si="2"/>
        <v/>
      </c>
      <c r="M68" s="244"/>
    </row>
    <row r="69" spans="2:13" ht="18.5" x14ac:dyDescent="0.45">
      <c r="B69" s="244" t="str">
        <f>IF('HCC Data Entry'!B64="","",'HCC Data Entry'!B64)</f>
        <v>Fairview School District</v>
      </c>
      <c r="C69" s="244">
        <f>IF('HCC Data Entry'!C64="","",'HCC Data Entry'!C64)</f>
        <v>28765391</v>
      </c>
      <c r="D69" s="244" t="str">
        <f>IF('HCC Data Entry'!D64="","",'HCC Data Entry'!D64)</f>
        <v>Active</v>
      </c>
      <c r="E69" s="244" t="str">
        <f>IF('HCC Data Entry'!E64="","",'HCC Data Entry'!E64)</f>
        <v>Child</v>
      </c>
      <c r="F69" s="246">
        <f>IF('HCC Data Entry'!F64="","",'HCC Data Entry'!F64)</f>
        <v>411550.9</v>
      </c>
      <c r="G69" s="246">
        <f>IFERROR(INDEX('HCC Data Entry'!$J$4:$J$22, MATCH('HCC Detail'!$B69,'HCC Data Entry'!$I$4:$I$22,0)),"")</f>
        <v>68000</v>
      </c>
      <c r="H69" s="246">
        <f t="shared" si="0"/>
        <v>343550.9</v>
      </c>
      <c r="I69" s="247">
        <f t="shared" si="1"/>
        <v>232000</v>
      </c>
      <c r="J69" s="246">
        <f t="shared" si="3"/>
        <v>111550.90000000002</v>
      </c>
      <c r="K69" s="246"/>
      <c r="L69" s="246" t="str">
        <f t="shared" si="2"/>
        <v/>
      </c>
      <c r="M69" s="244"/>
    </row>
    <row r="70" spans="2:13" ht="18.5" x14ac:dyDescent="0.45">
      <c r="B70" s="244" t="str">
        <f>IF('HCC Data Entry'!B65="","",'HCC Data Entry'!B65)</f>
        <v>Fairview School District</v>
      </c>
      <c r="C70" s="244">
        <f>IF('HCC Data Entry'!C65="","",'HCC Data Entry'!C65)</f>
        <v>29065602</v>
      </c>
      <c r="D70" s="244" t="str">
        <f>IF('HCC Data Entry'!D65="","",'HCC Data Entry'!D65)</f>
        <v>Active</v>
      </c>
      <c r="E70" s="244" t="str">
        <f>IF('HCC Data Entry'!E65="","",'HCC Data Entry'!E65)</f>
        <v>Child</v>
      </c>
      <c r="F70" s="246">
        <f>IF('HCC Data Entry'!F65="","",'HCC Data Entry'!F65)</f>
        <v>206910.72</v>
      </c>
      <c r="G70" s="246">
        <f>IFERROR(INDEX('HCC Data Entry'!$J$4:$J$22, MATCH('HCC Detail'!$B70,'HCC Data Entry'!$I$4:$I$22,0)),"")</f>
        <v>68000</v>
      </c>
      <c r="H70" s="246">
        <f t="shared" si="0"/>
        <v>138910.72</v>
      </c>
      <c r="I70" s="247">
        <f t="shared" si="1"/>
        <v>138910.72</v>
      </c>
      <c r="J70" s="246">
        <f t="shared" si="3"/>
        <v>0</v>
      </c>
      <c r="K70" s="246"/>
      <c r="L70" s="246" t="str">
        <f t="shared" si="2"/>
        <v/>
      </c>
      <c r="M70" s="244"/>
    </row>
    <row r="71" spans="2:13" ht="18.5" x14ac:dyDescent="0.45">
      <c r="B71" s="244" t="str">
        <f>IF('HCC Data Entry'!B66="","",'HCC Data Entry'!B66)</f>
        <v>Fairview School District</v>
      </c>
      <c r="C71" s="244">
        <f>IF('HCC Data Entry'!C66="","",'HCC Data Entry'!C66)</f>
        <v>13646024</v>
      </c>
      <c r="D71" s="244" t="str">
        <f>IF('HCC Data Entry'!D66="","",'HCC Data Entry'!D66)</f>
        <v>Active</v>
      </c>
      <c r="E71" s="244" t="str">
        <f>IF('HCC Data Entry'!E66="","",'HCC Data Entry'!E66)</f>
        <v>Self</v>
      </c>
      <c r="F71" s="246">
        <f>IF('HCC Data Entry'!F66="","",'HCC Data Entry'!F66)</f>
        <v>199568.17</v>
      </c>
      <c r="G71" s="246">
        <f>IFERROR(INDEX('HCC Data Entry'!$J$4:$J$22, MATCH('HCC Detail'!$B71,'HCC Data Entry'!$I$4:$I$22,0)),"")</f>
        <v>68000</v>
      </c>
      <c r="H71" s="246">
        <f t="shared" si="0"/>
        <v>131568.17000000001</v>
      </c>
      <c r="I71" s="247">
        <f t="shared" si="1"/>
        <v>131568.17000000001</v>
      </c>
      <c r="J71" s="246">
        <f t="shared" si="3"/>
        <v>0</v>
      </c>
      <c r="K71" s="246"/>
      <c r="L71" s="246" t="str">
        <f t="shared" si="2"/>
        <v/>
      </c>
      <c r="M71" s="244"/>
    </row>
    <row r="72" spans="2:13" ht="18.5" x14ac:dyDescent="0.45">
      <c r="B72" s="244" t="str">
        <f>IF('HCC Data Entry'!B67="","",'HCC Data Entry'!B67)</f>
        <v>Fairview School District</v>
      </c>
      <c r="C72" s="244">
        <f>IF('HCC Data Entry'!C67="","",'HCC Data Entry'!C67)</f>
        <v>13580766</v>
      </c>
      <c r="D72" s="244" t="str">
        <f>IF('HCC Data Entry'!D67="","",'HCC Data Entry'!D67)</f>
        <v>Active</v>
      </c>
      <c r="E72" s="244" t="str">
        <f>IF('HCC Data Entry'!E67="","",'HCC Data Entry'!E67)</f>
        <v>Spouse</v>
      </c>
      <c r="F72" s="246">
        <f>IF('HCC Data Entry'!F67="","",'HCC Data Entry'!F67)</f>
        <v>168918.06</v>
      </c>
      <c r="G72" s="246">
        <f>IFERROR(INDEX('HCC Data Entry'!$J$4:$J$22, MATCH('HCC Detail'!$B72,'HCC Data Entry'!$I$4:$I$22,0)),"")</f>
        <v>68000</v>
      </c>
      <c r="H72" s="246">
        <f t="shared" si="0"/>
        <v>100918.06</v>
      </c>
      <c r="I72" s="247">
        <f t="shared" si="1"/>
        <v>100918.06</v>
      </c>
      <c r="J72" s="246">
        <f t="shared" si="3"/>
        <v>0</v>
      </c>
      <c r="K72" s="246"/>
      <c r="L72" s="246" t="str">
        <f t="shared" si="2"/>
        <v/>
      </c>
      <c r="M72" s="244"/>
    </row>
    <row r="73" spans="2:13" ht="18.5" x14ac:dyDescent="0.45">
      <c r="B73" s="244" t="str">
        <f>IF('HCC Data Entry'!B68="","",'HCC Data Entry'!B68)</f>
        <v>Fairview School District</v>
      </c>
      <c r="C73" s="244">
        <f>IF('HCC Data Entry'!C68="","",'HCC Data Entry'!C68)</f>
        <v>13568948</v>
      </c>
      <c r="D73" s="244" t="str">
        <f>IF('HCC Data Entry'!D68="","",'HCC Data Entry'!D68)</f>
        <v>Active</v>
      </c>
      <c r="E73" s="244" t="str">
        <f>IF('HCC Data Entry'!E68="","",'HCC Data Entry'!E68)</f>
        <v>Self</v>
      </c>
      <c r="F73" s="246">
        <f>IF('HCC Data Entry'!F68="","",'HCC Data Entry'!F68)</f>
        <v>135628.13</v>
      </c>
      <c r="G73" s="246">
        <f>IFERROR(INDEX('HCC Data Entry'!$J$4:$J$22, MATCH('HCC Detail'!$B73,'HCC Data Entry'!$I$4:$I$22,0)),"")</f>
        <v>68000</v>
      </c>
      <c r="H73" s="246">
        <f t="shared" si="0"/>
        <v>67628.13</v>
      </c>
      <c r="I73" s="247">
        <f t="shared" si="1"/>
        <v>67628.13</v>
      </c>
      <c r="J73" s="246">
        <f t="shared" si="3"/>
        <v>0</v>
      </c>
      <c r="K73" s="246"/>
      <c r="L73" s="246" t="str">
        <f t="shared" si="2"/>
        <v/>
      </c>
      <c r="M73" s="244"/>
    </row>
    <row r="74" spans="2:13" ht="18.5" x14ac:dyDescent="0.45">
      <c r="B74" s="244" t="str">
        <f>IF('HCC Data Entry'!B69="","",'HCC Data Entry'!B69)</f>
        <v>Fairview School District</v>
      </c>
      <c r="C74" s="244">
        <f>IF('HCC Data Entry'!C69="","",'HCC Data Entry'!C69)</f>
        <v>13580724</v>
      </c>
      <c r="D74" s="244" t="str">
        <f>IF('HCC Data Entry'!D69="","",'HCC Data Entry'!D69)</f>
        <v>Active</v>
      </c>
      <c r="E74" s="244" t="str">
        <f>IF('HCC Data Entry'!E69="","",'HCC Data Entry'!E69)</f>
        <v>Child</v>
      </c>
      <c r="F74" s="246">
        <f>IF('HCC Data Entry'!F69="","",'HCC Data Entry'!F69)</f>
        <v>127625.44</v>
      </c>
      <c r="G74" s="246">
        <f>IFERROR(INDEX('HCC Data Entry'!$J$4:$J$22, MATCH('HCC Detail'!$B74,'HCC Data Entry'!$I$4:$I$22,0)),"")</f>
        <v>68000</v>
      </c>
      <c r="H74" s="246">
        <f t="shared" ref="H74:H137" si="4">IF(B74="","",IF(G74="Unknown", "", IF(F74&gt;G74,F74-G74,0)))</f>
        <v>59625.440000000002</v>
      </c>
      <c r="I74" s="247">
        <f t="shared" ref="I74:I137" si="5">IF(H74="","",IF(H74=0,0, IF(F74&gt;$O$4,($O$4-G74),H74)))</f>
        <v>59625.440000000002</v>
      </c>
      <c r="J74" s="246">
        <f t="shared" ref="J74:J137" si="6">IF(I74="","",IF(I74=0,0,IF(F74&gt;$O$4,F74-$O$4,0)))</f>
        <v>0</v>
      </c>
      <c r="K74" s="246"/>
      <c r="L74" s="246" t="str">
        <f t="shared" ref="L74:L137" si="7">IF(K74="","",IF(K74=0,0,J74-K74))</f>
        <v/>
      </c>
      <c r="M74" s="244"/>
    </row>
    <row r="75" spans="2:13" ht="18.5" x14ac:dyDescent="0.45">
      <c r="B75" s="244" t="str">
        <f>IF('HCC Data Entry'!B70="","",'HCC Data Entry'!B70)</f>
        <v>Fairview School District</v>
      </c>
      <c r="C75" s="244">
        <f>IF('HCC Data Entry'!C70="","",'HCC Data Entry'!C70)</f>
        <v>13576140</v>
      </c>
      <c r="D75" s="244" t="str">
        <f>IF('HCC Data Entry'!D70="","",'HCC Data Entry'!D70)</f>
        <v>Active</v>
      </c>
      <c r="E75" s="244" t="str">
        <f>IF('HCC Data Entry'!E70="","",'HCC Data Entry'!E70)</f>
        <v>Child</v>
      </c>
      <c r="F75" s="246">
        <f>IF('HCC Data Entry'!F70="","",'HCC Data Entry'!F70)</f>
        <v>99284.21</v>
      </c>
      <c r="G75" s="246">
        <f>IFERROR(INDEX('HCC Data Entry'!$J$4:$J$22, MATCH('HCC Detail'!$B75,'HCC Data Entry'!$I$4:$I$22,0)),"")</f>
        <v>68000</v>
      </c>
      <c r="H75" s="246">
        <f t="shared" si="4"/>
        <v>31284.210000000006</v>
      </c>
      <c r="I75" s="247">
        <f t="shared" si="5"/>
        <v>31284.210000000006</v>
      </c>
      <c r="J75" s="246">
        <f t="shared" si="6"/>
        <v>0</v>
      </c>
      <c r="K75" s="246"/>
      <c r="L75" s="246" t="str">
        <f t="shared" si="7"/>
        <v/>
      </c>
      <c r="M75" s="244"/>
    </row>
    <row r="76" spans="2:13" ht="18.5" x14ac:dyDescent="0.45">
      <c r="B76" s="244" t="str">
        <f>IF('HCC Data Entry'!B71="","",'HCC Data Entry'!B71)</f>
        <v>Fairview School District</v>
      </c>
      <c r="C76" s="244">
        <f>IF('HCC Data Entry'!C71="","",'HCC Data Entry'!C71)</f>
        <v>13574293</v>
      </c>
      <c r="D76" s="244" t="str">
        <f>IF('HCC Data Entry'!D71="","",'HCC Data Entry'!D71)</f>
        <v>Active</v>
      </c>
      <c r="E76" s="244" t="str">
        <f>IF('HCC Data Entry'!E71="","",'HCC Data Entry'!E71)</f>
        <v>Spouse</v>
      </c>
      <c r="F76" s="246">
        <f>IF('HCC Data Entry'!F71="","",'HCC Data Entry'!F71)</f>
        <v>95120.57</v>
      </c>
      <c r="G76" s="246">
        <f>IFERROR(INDEX('HCC Data Entry'!$J$4:$J$22, MATCH('HCC Detail'!$B76,'HCC Data Entry'!$I$4:$I$22,0)),"")</f>
        <v>68000</v>
      </c>
      <c r="H76" s="246">
        <f t="shared" si="4"/>
        <v>27120.570000000007</v>
      </c>
      <c r="I76" s="247">
        <f t="shared" si="5"/>
        <v>27120.570000000007</v>
      </c>
      <c r="J76" s="246">
        <f t="shared" si="6"/>
        <v>0</v>
      </c>
      <c r="K76" s="246"/>
      <c r="L76" s="246" t="str">
        <f t="shared" si="7"/>
        <v/>
      </c>
      <c r="M76" s="244"/>
    </row>
    <row r="77" spans="2:13" ht="18.5" x14ac:dyDescent="0.45">
      <c r="B77" s="244" t="str">
        <f>IF('HCC Data Entry'!B72="","",'HCC Data Entry'!B72)</f>
        <v>Fairview School District</v>
      </c>
      <c r="C77" s="244">
        <f>IF('HCC Data Entry'!C72="","",'HCC Data Entry'!C72)</f>
        <v>10124566</v>
      </c>
      <c r="D77" s="244" t="str">
        <f>IF('HCC Data Entry'!D72="","",'HCC Data Entry'!D72)</f>
        <v>Active</v>
      </c>
      <c r="E77" s="244" t="str">
        <f>IF('HCC Data Entry'!E72="","",'HCC Data Entry'!E72)</f>
        <v>Spouse</v>
      </c>
      <c r="F77" s="246">
        <f>IF('HCC Data Entry'!F72="","",'HCC Data Entry'!F72)</f>
        <v>89432.83</v>
      </c>
      <c r="G77" s="246">
        <f>IFERROR(INDEX('HCC Data Entry'!$J$4:$J$22, MATCH('HCC Detail'!$B77,'HCC Data Entry'!$I$4:$I$22,0)),"")</f>
        <v>68000</v>
      </c>
      <c r="H77" s="246">
        <f t="shared" si="4"/>
        <v>21432.83</v>
      </c>
      <c r="I77" s="247">
        <f t="shared" si="5"/>
        <v>21432.83</v>
      </c>
      <c r="J77" s="246">
        <f t="shared" si="6"/>
        <v>0</v>
      </c>
      <c r="K77" s="246"/>
      <c r="L77" s="246" t="str">
        <f t="shared" si="7"/>
        <v/>
      </c>
      <c r="M77" s="244"/>
    </row>
    <row r="78" spans="2:13" ht="18.5" x14ac:dyDescent="0.45">
      <c r="B78" s="244" t="str">
        <f>IF('HCC Data Entry'!B73="","",'HCC Data Entry'!B73)</f>
        <v>Fairview School District</v>
      </c>
      <c r="C78" s="244">
        <f>IF('HCC Data Entry'!C73="","",'HCC Data Entry'!C73)</f>
        <v>26982853</v>
      </c>
      <c r="D78" s="244" t="str">
        <f>IF('HCC Data Entry'!D73="","",'HCC Data Entry'!D73)</f>
        <v>Active</v>
      </c>
      <c r="E78" s="244" t="str">
        <f>IF('HCC Data Entry'!E73="","",'HCC Data Entry'!E73)</f>
        <v>Self</v>
      </c>
      <c r="F78" s="246">
        <f>IF('HCC Data Entry'!F73="","",'HCC Data Entry'!F73)</f>
        <v>73911.06</v>
      </c>
      <c r="G78" s="246">
        <f>IFERROR(INDEX('HCC Data Entry'!$J$4:$J$22, MATCH('HCC Detail'!$B78,'HCC Data Entry'!$I$4:$I$22,0)),"")</f>
        <v>68000</v>
      </c>
      <c r="H78" s="246">
        <f t="shared" si="4"/>
        <v>5911.0599999999977</v>
      </c>
      <c r="I78" s="247">
        <f t="shared" si="5"/>
        <v>5911.0599999999977</v>
      </c>
      <c r="J78" s="246">
        <f t="shared" si="6"/>
        <v>0</v>
      </c>
      <c r="K78" s="246"/>
      <c r="L78" s="246" t="str">
        <f t="shared" si="7"/>
        <v/>
      </c>
      <c r="M78" s="244"/>
    </row>
    <row r="79" spans="2:13" ht="18.5" x14ac:dyDescent="0.45">
      <c r="B79" s="244" t="str">
        <f>IF('HCC Data Entry'!B74="","",'HCC Data Entry'!B74)</f>
        <v>Fairview School District</v>
      </c>
      <c r="C79" s="244">
        <f>IF('HCC Data Entry'!C74="","",'HCC Data Entry'!C74)</f>
        <v>13570884</v>
      </c>
      <c r="D79" s="244" t="str">
        <f>IF('HCC Data Entry'!D74="","",'HCC Data Entry'!D74)</f>
        <v>Active</v>
      </c>
      <c r="E79" s="244" t="str">
        <f>IF('HCC Data Entry'!E74="","",'HCC Data Entry'!E74)</f>
        <v>Self</v>
      </c>
      <c r="F79" s="246">
        <f>IF('HCC Data Entry'!F74="","",'HCC Data Entry'!F74)</f>
        <v>73456.160000000003</v>
      </c>
      <c r="G79" s="246">
        <f>IFERROR(INDEX('HCC Data Entry'!$J$4:$J$22, MATCH('HCC Detail'!$B79,'HCC Data Entry'!$I$4:$I$22,0)),"")</f>
        <v>68000</v>
      </c>
      <c r="H79" s="246">
        <f t="shared" si="4"/>
        <v>5456.1600000000035</v>
      </c>
      <c r="I79" s="247">
        <f t="shared" si="5"/>
        <v>5456.1600000000035</v>
      </c>
      <c r="J79" s="246">
        <f t="shared" si="6"/>
        <v>0</v>
      </c>
      <c r="K79" s="246"/>
      <c r="L79" s="246" t="str">
        <f t="shared" si="7"/>
        <v/>
      </c>
      <c r="M79" s="244"/>
    </row>
    <row r="80" spans="2:13" ht="18.5" x14ac:dyDescent="0.45">
      <c r="B80" s="244" t="str">
        <f>IF('HCC Data Entry'!B75="","",'HCC Data Entry'!B75)</f>
        <v>Fairview School District</v>
      </c>
      <c r="C80" s="244">
        <f>IF('HCC Data Entry'!C75="","",'HCC Data Entry'!C75)</f>
        <v>13576009</v>
      </c>
      <c r="D80" s="244" t="str">
        <f>IF('HCC Data Entry'!D75="","",'HCC Data Entry'!D75)</f>
        <v>Active</v>
      </c>
      <c r="E80" s="244" t="str">
        <f>IF('HCC Data Entry'!E75="","",'HCC Data Entry'!E75)</f>
        <v>Child</v>
      </c>
      <c r="F80" s="246">
        <f>IF('HCC Data Entry'!F75="","",'HCC Data Entry'!F75)</f>
        <v>64192.63</v>
      </c>
      <c r="G80" s="246">
        <f>IFERROR(INDEX('HCC Data Entry'!$J$4:$J$22, MATCH('HCC Detail'!$B80,'HCC Data Entry'!$I$4:$I$22,0)),"")</f>
        <v>68000</v>
      </c>
      <c r="H80" s="246">
        <f t="shared" si="4"/>
        <v>0</v>
      </c>
      <c r="I80" s="247">
        <f t="shared" si="5"/>
        <v>0</v>
      </c>
      <c r="J80" s="246">
        <f t="shared" si="6"/>
        <v>0</v>
      </c>
      <c r="K80" s="246"/>
      <c r="L80" s="246" t="str">
        <f t="shared" si="7"/>
        <v/>
      </c>
      <c r="M80" s="244"/>
    </row>
    <row r="81" spans="2:13" ht="18.5" x14ac:dyDescent="0.45">
      <c r="B81" s="244" t="str">
        <f>IF('HCC Data Entry'!B76="","",'HCC Data Entry'!B76)</f>
        <v>Fairview School District</v>
      </c>
      <c r="C81" s="244">
        <f>IF('HCC Data Entry'!C76="","",'HCC Data Entry'!C76)</f>
        <v>13570510</v>
      </c>
      <c r="D81" s="244" t="str">
        <f>IF('HCC Data Entry'!D76="","",'HCC Data Entry'!D76)</f>
        <v>Active</v>
      </c>
      <c r="E81" s="244" t="str">
        <f>IF('HCC Data Entry'!E76="","",'HCC Data Entry'!E76)</f>
        <v>Self</v>
      </c>
      <c r="F81" s="246">
        <f>IF('HCC Data Entry'!F76="","",'HCC Data Entry'!F76)</f>
        <v>63398.080000000002</v>
      </c>
      <c r="G81" s="246">
        <f>IFERROR(INDEX('HCC Data Entry'!$J$4:$J$22, MATCH('HCC Detail'!$B81,'HCC Data Entry'!$I$4:$I$22,0)),"")</f>
        <v>68000</v>
      </c>
      <c r="H81" s="246">
        <f t="shared" si="4"/>
        <v>0</v>
      </c>
      <c r="I81" s="247">
        <f t="shared" si="5"/>
        <v>0</v>
      </c>
      <c r="J81" s="246">
        <f t="shared" si="6"/>
        <v>0</v>
      </c>
      <c r="K81" s="246"/>
      <c r="L81" s="246" t="str">
        <f t="shared" si="7"/>
        <v/>
      </c>
      <c r="M81" s="244"/>
    </row>
    <row r="82" spans="2:13" ht="18.5" x14ac:dyDescent="0.45">
      <c r="B82" s="244" t="str">
        <f>IF('HCC Data Entry'!B77="","",'HCC Data Entry'!B77)</f>
        <v>Fairview School District</v>
      </c>
      <c r="C82" s="244">
        <f>IF('HCC Data Entry'!C77="","",'HCC Data Entry'!C77)</f>
        <v>13568860</v>
      </c>
      <c r="D82" s="244" t="str">
        <f>IF('HCC Data Entry'!D77="","",'HCC Data Entry'!D77)</f>
        <v>Active</v>
      </c>
      <c r="E82" s="244" t="str">
        <f>IF('HCC Data Entry'!E77="","",'HCC Data Entry'!E77)</f>
        <v>Self</v>
      </c>
      <c r="F82" s="246">
        <f>IF('HCC Data Entry'!F77="","",'HCC Data Entry'!F77)</f>
        <v>61892.480000000003</v>
      </c>
      <c r="G82" s="246">
        <f>IFERROR(INDEX('HCC Data Entry'!$J$4:$J$22, MATCH('HCC Detail'!$B82,'HCC Data Entry'!$I$4:$I$22,0)),"")</f>
        <v>68000</v>
      </c>
      <c r="H82" s="246">
        <f t="shared" si="4"/>
        <v>0</v>
      </c>
      <c r="I82" s="247">
        <f t="shared" si="5"/>
        <v>0</v>
      </c>
      <c r="J82" s="246">
        <f t="shared" si="6"/>
        <v>0</v>
      </c>
      <c r="K82" s="246"/>
      <c r="L82" s="246" t="str">
        <f t="shared" si="7"/>
        <v/>
      </c>
      <c r="M82" s="244"/>
    </row>
    <row r="83" spans="2:13" ht="18.5" x14ac:dyDescent="0.45">
      <c r="B83" s="244" t="str">
        <f>IF('HCC Data Entry'!B78="","",'HCC Data Entry'!B78)</f>
        <v>Fairview School District</v>
      </c>
      <c r="C83" s="244">
        <f>IF('HCC Data Entry'!C78="","",'HCC Data Entry'!C78)</f>
        <v>12300616</v>
      </c>
      <c r="D83" s="244" t="str">
        <f>IF('HCC Data Entry'!D78="","",'HCC Data Entry'!D78)</f>
        <v>Active</v>
      </c>
      <c r="E83" s="244" t="str">
        <f>IF('HCC Data Entry'!E78="","",'HCC Data Entry'!E78)</f>
        <v>Spouse</v>
      </c>
      <c r="F83" s="246">
        <f>IF('HCC Data Entry'!F78="","",'HCC Data Entry'!F78)</f>
        <v>61843.15</v>
      </c>
      <c r="G83" s="246">
        <f>IFERROR(INDEX('HCC Data Entry'!$J$4:$J$22, MATCH('HCC Detail'!$B83,'HCC Data Entry'!$I$4:$I$22,0)),"")</f>
        <v>68000</v>
      </c>
      <c r="H83" s="246">
        <f t="shared" si="4"/>
        <v>0</v>
      </c>
      <c r="I83" s="247">
        <f t="shared" si="5"/>
        <v>0</v>
      </c>
      <c r="J83" s="246">
        <f t="shared" si="6"/>
        <v>0</v>
      </c>
      <c r="K83" s="246"/>
      <c r="L83" s="246" t="str">
        <f t="shared" si="7"/>
        <v/>
      </c>
      <c r="M83" s="244"/>
    </row>
    <row r="84" spans="2:13" ht="18.5" x14ac:dyDescent="0.45">
      <c r="B84" s="244" t="str">
        <f>IF('HCC Data Entry'!B79="","",'HCC Data Entry'!B79)</f>
        <v>Fairview School District</v>
      </c>
      <c r="C84" s="244">
        <f>IF('HCC Data Entry'!C79="","",'HCC Data Entry'!C79)</f>
        <v>13578003</v>
      </c>
      <c r="D84" s="244" t="str">
        <f>IF('HCC Data Entry'!D79="","",'HCC Data Entry'!D79)</f>
        <v>Active</v>
      </c>
      <c r="E84" s="244" t="str">
        <f>IF('HCC Data Entry'!E79="","",'HCC Data Entry'!E79)</f>
        <v>Self</v>
      </c>
      <c r="F84" s="246">
        <f>IF('HCC Data Entry'!F79="","",'HCC Data Entry'!F79)</f>
        <v>52031.96</v>
      </c>
      <c r="G84" s="246">
        <f>IFERROR(INDEX('HCC Data Entry'!$J$4:$J$22, MATCH('HCC Detail'!$B84,'HCC Data Entry'!$I$4:$I$22,0)),"")</f>
        <v>68000</v>
      </c>
      <c r="H84" s="246">
        <f t="shared" si="4"/>
        <v>0</v>
      </c>
      <c r="I84" s="247">
        <f t="shared" si="5"/>
        <v>0</v>
      </c>
      <c r="J84" s="246">
        <f t="shared" si="6"/>
        <v>0</v>
      </c>
      <c r="K84" s="246"/>
      <c r="L84" s="246" t="str">
        <f t="shared" si="7"/>
        <v/>
      </c>
      <c r="M84" s="244"/>
    </row>
    <row r="85" spans="2:13" ht="18.5" x14ac:dyDescent="0.45">
      <c r="B85" s="244" t="str">
        <f>IF('HCC Data Entry'!B80="","",'HCC Data Entry'!B80)</f>
        <v>Fairview School District</v>
      </c>
      <c r="C85" s="244">
        <f>IF('HCC Data Entry'!C80="","",'HCC Data Entry'!C80)</f>
        <v>13574623</v>
      </c>
      <c r="D85" s="244" t="str">
        <f>IF('HCC Data Entry'!D80="","",'HCC Data Entry'!D80)</f>
        <v>Retiree</v>
      </c>
      <c r="E85" s="244" t="str">
        <f>IF('HCC Data Entry'!E80="","",'HCC Data Entry'!E80)</f>
        <v>Self</v>
      </c>
      <c r="F85" s="246">
        <f>IF('HCC Data Entry'!F80="","",'HCC Data Entry'!F80)</f>
        <v>47922.74</v>
      </c>
      <c r="G85" s="246">
        <f>IFERROR(INDEX('HCC Data Entry'!$J$4:$J$22, MATCH('HCC Detail'!$B85,'HCC Data Entry'!$I$4:$I$22,0)),"")</f>
        <v>68000</v>
      </c>
      <c r="H85" s="246">
        <f t="shared" si="4"/>
        <v>0</v>
      </c>
      <c r="I85" s="247">
        <f t="shared" si="5"/>
        <v>0</v>
      </c>
      <c r="J85" s="246">
        <f t="shared" si="6"/>
        <v>0</v>
      </c>
      <c r="K85" s="246"/>
      <c r="L85" s="246" t="str">
        <f t="shared" si="7"/>
        <v/>
      </c>
      <c r="M85" s="244"/>
    </row>
    <row r="86" spans="2:13" ht="18.5" x14ac:dyDescent="0.45">
      <c r="B86" s="244" t="str">
        <f>IF('HCC Data Entry'!B81="","",'HCC Data Entry'!B81)</f>
        <v>Fairview School District</v>
      </c>
      <c r="C86" s="244">
        <f>IF('HCC Data Entry'!C81="","",'HCC Data Entry'!C81)</f>
        <v>13689473</v>
      </c>
      <c r="D86" s="244" t="str">
        <f>IF('HCC Data Entry'!D81="","",'HCC Data Entry'!D81)</f>
        <v>Active</v>
      </c>
      <c r="E86" s="244" t="str">
        <f>IF('HCC Data Entry'!E81="","",'HCC Data Entry'!E81)</f>
        <v>Spouse</v>
      </c>
      <c r="F86" s="246">
        <f>IF('HCC Data Entry'!F81="","",'HCC Data Entry'!F81)</f>
        <v>42834.45</v>
      </c>
      <c r="G86" s="246">
        <f>IFERROR(INDEX('HCC Data Entry'!$J$4:$J$22, MATCH('HCC Detail'!$B86,'HCC Data Entry'!$I$4:$I$22,0)),"")</f>
        <v>68000</v>
      </c>
      <c r="H86" s="246">
        <f t="shared" si="4"/>
        <v>0</v>
      </c>
      <c r="I86" s="247">
        <f t="shared" si="5"/>
        <v>0</v>
      </c>
      <c r="J86" s="246">
        <f t="shared" si="6"/>
        <v>0</v>
      </c>
      <c r="K86" s="246"/>
      <c r="L86" s="246" t="str">
        <f t="shared" si="7"/>
        <v/>
      </c>
      <c r="M86" s="244"/>
    </row>
    <row r="87" spans="2:13" ht="18.5" x14ac:dyDescent="0.45">
      <c r="B87" s="244" t="str">
        <f>IF('HCC Data Entry'!B82="","",'HCC Data Entry'!B82)</f>
        <v>Fairview School District</v>
      </c>
      <c r="C87" s="244">
        <f>IF('HCC Data Entry'!C82="","",'HCC Data Entry'!C82)</f>
        <v>26200995</v>
      </c>
      <c r="D87" s="244" t="str">
        <f>IF('HCC Data Entry'!D82="","",'HCC Data Entry'!D82)</f>
        <v>Active</v>
      </c>
      <c r="E87" s="244" t="str">
        <f>IF('HCC Data Entry'!E82="","",'HCC Data Entry'!E82)</f>
        <v>Self</v>
      </c>
      <c r="F87" s="246">
        <f>IF('HCC Data Entry'!F82="","",'HCC Data Entry'!F82)</f>
        <v>33391.300000000003</v>
      </c>
      <c r="G87" s="246">
        <f>IFERROR(INDEX('HCC Data Entry'!$J$4:$J$22, MATCH('HCC Detail'!$B87,'HCC Data Entry'!$I$4:$I$22,0)),"")</f>
        <v>68000</v>
      </c>
      <c r="H87" s="246">
        <f t="shared" si="4"/>
        <v>0</v>
      </c>
      <c r="I87" s="247">
        <f t="shared" si="5"/>
        <v>0</v>
      </c>
      <c r="J87" s="246">
        <f t="shared" si="6"/>
        <v>0</v>
      </c>
      <c r="K87" s="246"/>
      <c r="L87" s="246" t="str">
        <f t="shared" si="7"/>
        <v/>
      </c>
      <c r="M87" s="244"/>
    </row>
    <row r="88" spans="2:13" ht="18.5" x14ac:dyDescent="0.45">
      <c r="B88" s="244" t="str">
        <f>IF('HCC Data Entry'!B83="","",'HCC Data Entry'!B83)</f>
        <v>Fairview School District</v>
      </c>
      <c r="C88" s="244">
        <f>IF('HCC Data Entry'!C83="","",'HCC Data Entry'!C83)</f>
        <v>13575881</v>
      </c>
      <c r="D88" s="244" t="str">
        <f>IF('HCC Data Entry'!D83="","",'HCC Data Entry'!D83)</f>
        <v>Active</v>
      </c>
      <c r="E88" s="244" t="str">
        <f>IF('HCC Data Entry'!E83="","",'HCC Data Entry'!E83)</f>
        <v>Child</v>
      </c>
      <c r="F88" s="246">
        <f>IF('HCC Data Entry'!F83="","",'HCC Data Entry'!F83)</f>
        <v>28285.53</v>
      </c>
      <c r="G88" s="246">
        <f>IFERROR(INDEX('HCC Data Entry'!$J$4:$J$22, MATCH('HCC Detail'!$B88,'HCC Data Entry'!$I$4:$I$22,0)),"")</f>
        <v>68000</v>
      </c>
      <c r="H88" s="246">
        <f t="shared" si="4"/>
        <v>0</v>
      </c>
      <c r="I88" s="247">
        <f t="shared" si="5"/>
        <v>0</v>
      </c>
      <c r="J88" s="246">
        <f t="shared" si="6"/>
        <v>0</v>
      </c>
      <c r="K88" s="246"/>
      <c r="L88" s="246" t="str">
        <f t="shared" si="7"/>
        <v/>
      </c>
      <c r="M88" s="244"/>
    </row>
    <row r="89" spans="2:13" ht="18.5" x14ac:dyDescent="0.45">
      <c r="B89" s="244" t="str">
        <f>IF('HCC Data Entry'!B84="","",'HCC Data Entry'!B84)</f>
        <v>Fairview School District</v>
      </c>
      <c r="C89" s="244">
        <f>IF('HCC Data Entry'!C84="","",'HCC Data Entry'!C84)</f>
        <v>15288766</v>
      </c>
      <c r="D89" s="244" t="str">
        <f>IF('HCC Data Entry'!D84="","",'HCC Data Entry'!D84)</f>
        <v>Active</v>
      </c>
      <c r="E89" s="244" t="str">
        <f>IF('HCC Data Entry'!E84="","",'HCC Data Entry'!E84)</f>
        <v>Self</v>
      </c>
      <c r="F89" s="246">
        <f>IF('HCC Data Entry'!F84="","",'HCC Data Entry'!F84)</f>
        <v>27542.639999999999</v>
      </c>
      <c r="G89" s="246">
        <f>IFERROR(INDEX('HCC Data Entry'!$J$4:$J$22, MATCH('HCC Detail'!$B89,'HCC Data Entry'!$I$4:$I$22,0)),"")</f>
        <v>68000</v>
      </c>
      <c r="H89" s="246">
        <f t="shared" si="4"/>
        <v>0</v>
      </c>
      <c r="I89" s="247">
        <f t="shared" si="5"/>
        <v>0</v>
      </c>
      <c r="J89" s="246">
        <f t="shared" si="6"/>
        <v>0</v>
      </c>
      <c r="K89" s="246"/>
      <c r="L89" s="246" t="str">
        <f t="shared" si="7"/>
        <v/>
      </c>
      <c r="M89" s="244"/>
    </row>
    <row r="90" spans="2:13" ht="18.5" x14ac:dyDescent="0.45">
      <c r="B90" s="244" t="str">
        <f>IF('HCC Data Entry'!B85="","",'HCC Data Entry'!B85)</f>
        <v>Fairview School District</v>
      </c>
      <c r="C90" s="244">
        <f>IF('HCC Data Entry'!C85="","",'HCC Data Entry'!C85)</f>
        <v>13582638</v>
      </c>
      <c r="D90" s="244" t="str">
        <f>IF('HCC Data Entry'!D85="","",'HCC Data Entry'!D85)</f>
        <v>Retiree</v>
      </c>
      <c r="E90" s="244" t="str">
        <f>IF('HCC Data Entry'!E85="","",'HCC Data Entry'!E85)</f>
        <v>Self</v>
      </c>
      <c r="F90" s="246">
        <f>IF('HCC Data Entry'!F85="","",'HCC Data Entry'!F85)</f>
        <v>26918.81</v>
      </c>
      <c r="G90" s="246">
        <f>IFERROR(INDEX('HCC Data Entry'!$J$4:$J$22, MATCH('HCC Detail'!$B90,'HCC Data Entry'!$I$4:$I$22,0)),"")</f>
        <v>68000</v>
      </c>
      <c r="H90" s="246">
        <f t="shared" si="4"/>
        <v>0</v>
      </c>
      <c r="I90" s="247">
        <f t="shared" si="5"/>
        <v>0</v>
      </c>
      <c r="J90" s="246">
        <f t="shared" si="6"/>
        <v>0</v>
      </c>
      <c r="K90" s="246"/>
      <c r="L90" s="246" t="str">
        <f t="shared" si="7"/>
        <v/>
      </c>
      <c r="M90" s="244"/>
    </row>
    <row r="91" spans="2:13" ht="18.5" x14ac:dyDescent="0.45">
      <c r="B91" s="244" t="str">
        <f>IF('HCC Data Entry'!B86="","",'HCC Data Entry'!B86)</f>
        <v>Fairview School District</v>
      </c>
      <c r="C91" s="244">
        <f>IF('HCC Data Entry'!C86="","",'HCC Data Entry'!C86)</f>
        <v>13581292</v>
      </c>
      <c r="D91" s="244" t="str">
        <f>IF('HCC Data Entry'!D86="","",'HCC Data Entry'!D86)</f>
        <v>Active</v>
      </c>
      <c r="E91" s="244" t="str">
        <f>IF('HCC Data Entry'!E86="","",'HCC Data Entry'!E86)</f>
        <v>Spouse</v>
      </c>
      <c r="F91" s="246">
        <f>IF('HCC Data Entry'!F86="","",'HCC Data Entry'!F86)</f>
        <v>26768.33</v>
      </c>
      <c r="G91" s="246">
        <f>IFERROR(INDEX('HCC Data Entry'!$J$4:$J$22, MATCH('HCC Detail'!$B91,'HCC Data Entry'!$I$4:$I$22,0)),"")</f>
        <v>68000</v>
      </c>
      <c r="H91" s="246">
        <f t="shared" si="4"/>
        <v>0</v>
      </c>
      <c r="I91" s="247">
        <f t="shared" si="5"/>
        <v>0</v>
      </c>
      <c r="J91" s="246">
        <f t="shared" si="6"/>
        <v>0</v>
      </c>
      <c r="K91" s="246"/>
      <c r="L91" s="246" t="str">
        <f t="shared" si="7"/>
        <v/>
      </c>
      <c r="M91" s="244"/>
    </row>
    <row r="92" spans="2:13" ht="18.5" x14ac:dyDescent="0.45">
      <c r="B92" s="244" t="str">
        <f>IF('HCC Data Entry'!B87="","",'HCC Data Entry'!B87)</f>
        <v>Franklin Area School District</v>
      </c>
      <c r="C92" s="244">
        <f>IF('HCC Data Entry'!C87="","",'HCC Data Entry'!C87)</f>
        <v>13596608</v>
      </c>
      <c r="D92" s="244" t="str">
        <f>IF('HCC Data Entry'!D87="","",'HCC Data Entry'!D87)</f>
        <v>Active</v>
      </c>
      <c r="E92" s="244" t="str">
        <f>IF('HCC Data Entry'!E87="","",'HCC Data Entry'!E87)</f>
        <v>Spouse</v>
      </c>
      <c r="F92" s="246">
        <f>IF('HCC Data Entry'!F87="","",'HCC Data Entry'!F87)</f>
        <v>348982.25</v>
      </c>
      <c r="G92" s="246">
        <f>IFERROR(INDEX('HCC Data Entry'!$J$4:$J$22, MATCH('HCC Detail'!$B92,'HCC Data Entry'!$I$4:$I$22,0)),"")</f>
        <v>85000</v>
      </c>
      <c r="H92" s="246">
        <f t="shared" si="4"/>
        <v>263982.25</v>
      </c>
      <c r="I92" s="247">
        <f t="shared" si="5"/>
        <v>215000</v>
      </c>
      <c r="J92" s="246">
        <f t="shared" si="6"/>
        <v>48982.25</v>
      </c>
      <c r="K92" s="246"/>
      <c r="L92" s="246" t="str">
        <f t="shared" si="7"/>
        <v/>
      </c>
      <c r="M92" s="244"/>
    </row>
    <row r="93" spans="2:13" ht="18.5" x14ac:dyDescent="0.45">
      <c r="B93" s="244" t="str">
        <f>IF('HCC Data Entry'!B88="","",'HCC Data Entry'!B88)</f>
        <v>Franklin Area School District</v>
      </c>
      <c r="C93" s="244">
        <f>IF('HCC Data Entry'!C88="","",'HCC Data Entry'!C88)</f>
        <v>13575254</v>
      </c>
      <c r="D93" s="244" t="str">
        <f>IF('HCC Data Entry'!D88="","",'HCC Data Entry'!D88)</f>
        <v>Active</v>
      </c>
      <c r="E93" s="244" t="str">
        <f>IF('HCC Data Entry'!E88="","",'HCC Data Entry'!E88)</f>
        <v>Self</v>
      </c>
      <c r="F93" s="246">
        <f>IF('HCC Data Entry'!F88="","",'HCC Data Entry'!F88)</f>
        <v>121648.65</v>
      </c>
      <c r="G93" s="246">
        <f>IFERROR(INDEX('HCC Data Entry'!$J$4:$J$22, MATCH('HCC Detail'!$B93,'HCC Data Entry'!$I$4:$I$22,0)),"")</f>
        <v>85000</v>
      </c>
      <c r="H93" s="246">
        <f t="shared" si="4"/>
        <v>36648.649999999994</v>
      </c>
      <c r="I93" s="247">
        <f t="shared" si="5"/>
        <v>36648.649999999994</v>
      </c>
      <c r="J93" s="246">
        <f t="shared" si="6"/>
        <v>0</v>
      </c>
      <c r="K93" s="246"/>
      <c r="L93" s="246" t="str">
        <f t="shared" si="7"/>
        <v/>
      </c>
      <c r="M93" s="244"/>
    </row>
    <row r="94" spans="2:13" ht="18.5" x14ac:dyDescent="0.45">
      <c r="B94" s="244" t="str">
        <f>IF('HCC Data Entry'!B89="","",'HCC Data Entry'!B89)</f>
        <v>Franklin Area School District</v>
      </c>
      <c r="C94" s="244">
        <f>IF('HCC Data Entry'!C89="","",'HCC Data Entry'!C89)</f>
        <v>13582582</v>
      </c>
      <c r="D94" s="244" t="str">
        <f>IF('HCC Data Entry'!D89="","",'HCC Data Entry'!D89)</f>
        <v>Active</v>
      </c>
      <c r="E94" s="244" t="str">
        <f>IF('HCC Data Entry'!E89="","",'HCC Data Entry'!E89)</f>
        <v>Self</v>
      </c>
      <c r="F94" s="246">
        <f>IF('HCC Data Entry'!F89="","",'HCC Data Entry'!F89)</f>
        <v>115122.81</v>
      </c>
      <c r="G94" s="246">
        <f>IFERROR(INDEX('HCC Data Entry'!$J$4:$J$22, MATCH('HCC Detail'!$B94,'HCC Data Entry'!$I$4:$I$22,0)),"")</f>
        <v>85000</v>
      </c>
      <c r="H94" s="246">
        <f t="shared" si="4"/>
        <v>30122.809999999998</v>
      </c>
      <c r="I94" s="247">
        <f t="shared" si="5"/>
        <v>30122.809999999998</v>
      </c>
      <c r="J94" s="246">
        <f t="shared" si="6"/>
        <v>0</v>
      </c>
      <c r="K94" s="246"/>
      <c r="L94" s="246" t="str">
        <f t="shared" si="7"/>
        <v/>
      </c>
      <c r="M94" s="244"/>
    </row>
    <row r="95" spans="2:13" ht="18.5" x14ac:dyDescent="0.45">
      <c r="B95" s="244" t="str">
        <f>IF('HCC Data Entry'!B90="","",'HCC Data Entry'!B90)</f>
        <v>Franklin Area School District</v>
      </c>
      <c r="C95" s="244">
        <f>IF('HCC Data Entry'!C90="","",'HCC Data Entry'!C90)</f>
        <v>13592239</v>
      </c>
      <c r="D95" s="244" t="str">
        <f>IF('HCC Data Entry'!D90="","",'HCC Data Entry'!D90)</f>
        <v>Active</v>
      </c>
      <c r="E95" s="244" t="str">
        <f>IF('HCC Data Entry'!E90="","",'HCC Data Entry'!E90)</f>
        <v>Spouse</v>
      </c>
      <c r="F95" s="246">
        <f>IF('HCC Data Entry'!F90="","",'HCC Data Entry'!F90)</f>
        <v>111721.33</v>
      </c>
      <c r="G95" s="246">
        <f>IFERROR(INDEX('HCC Data Entry'!$J$4:$J$22, MATCH('HCC Detail'!$B95,'HCC Data Entry'!$I$4:$I$22,0)),"")</f>
        <v>85000</v>
      </c>
      <c r="H95" s="246">
        <f t="shared" si="4"/>
        <v>26721.33</v>
      </c>
      <c r="I95" s="247">
        <f t="shared" si="5"/>
        <v>26721.33</v>
      </c>
      <c r="J95" s="246">
        <f t="shared" si="6"/>
        <v>0</v>
      </c>
      <c r="K95" s="246"/>
      <c r="L95" s="246" t="str">
        <f t="shared" si="7"/>
        <v/>
      </c>
      <c r="M95" s="244"/>
    </row>
    <row r="96" spans="2:13" ht="18.5" x14ac:dyDescent="0.45">
      <c r="B96" s="244" t="str">
        <f>IF('HCC Data Entry'!B91="","",'HCC Data Entry'!B91)</f>
        <v>Franklin Area School District</v>
      </c>
      <c r="C96" s="244">
        <f>IF('HCC Data Entry'!C91="","",'HCC Data Entry'!C91)</f>
        <v>14460688</v>
      </c>
      <c r="D96" s="244" t="str">
        <f>IF('HCC Data Entry'!D91="","",'HCC Data Entry'!D91)</f>
        <v>Active</v>
      </c>
      <c r="E96" s="244" t="str">
        <f>IF('HCC Data Entry'!E91="","",'HCC Data Entry'!E91)</f>
        <v>Self</v>
      </c>
      <c r="F96" s="246">
        <f>IF('HCC Data Entry'!F91="","",'HCC Data Entry'!F91)</f>
        <v>100624.99</v>
      </c>
      <c r="G96" s="246">
        <f>IFERROR(INDEX('HCC Data Entry'!$J$4:$J$22, MATCH('HCC Detail'!$B96,'HCC Data Entry'!$I$4:$I$22,0)),"")</f>
        <v>85000</v>
      </c>
      <c r="H96" s="246">
        <f t="shared" si="4"/>
        <v>15624.990000000005</v>
      </c>
      <c r="I96" s="247">
        <f t="shared" si="5"/>
        <v>15624.990000000005</v>
      </c>
      <c r="J96" s="246">
        <f t="shared" si="6"/>
        <v>0</v>
      </c>
      <c r="K96" s="246"/>
      <c r="L96" s="246" t="str">
        <f t="shared" si="7"/>
        <v/>
      </c>
      <c r="M96" s="244"/>
    </row>
    <row r="97" spans="2:13" ht="18.5" x14ac:dyDescent="0.45">
      <c r="B97" s="244" t="str">
        <f>IF('HCC Data Entry'!B92="","",'HCC Data Entry'!B92)</f>
        <v>Franklin Area School District</v>
      </c>
      <c r="C97" s="244">
        <f>IF('HCC Data Entry'!C92="","",'HCC Data Entry'!C92)</f>
        <v>26482375</v>
      </c>
      <c r="D97" s="244" t="str">
        <f>IF('HCC Data Entry'!D92="","",'HCC Data Entry'!D92)</f>
        <v>Active</v>
      </c>
      <c r="E97" s="244" t="str">
        <f>IF('HCC Data Entry'!E92="","",'HCC Data Entry'!E92)</f>
        <v>Self</v>
      </c>
      <c r="F97" s="246">
        <f>IF('HCC Data Entry'!F92="","",'HCC Data Entry'!F92)</f>
        <v>82341.25</v>
      </c>
      <c r="G97" s="246">
        <f>IFERROR(INDEX('HCC Data Entry'!$J$4:$J$22, MATCH('HCC Detail'!$B97,'HCC Data Entry'!$I$4:$I$22,0)),"")</f>
        <v>85000</v>
      </c>
      <c r="H97" s="246">
        <f t="shared" si="4"/>
        <v>0</v>
      </c>
      <c r="I97" s="247">
        <f t="shared" si="5"/>
        <v>0</v>
      </c>
      <c r="J97" s="246">
        <f t="shared" si="6"/>
        <v>0</v>
      </c>
      <c r="K97" s="246"/>
      <c r="L97" s="246" t="str">
        <f t="shared" si="7"/>
        <v/>
      </c>
      <c r="M97" s="244"/>
    </row>
    <row r="98" spans="2:13" ht="18.5" x14ac:dyDescent="0.45">
      <c r="B98" s="244" t="str">
        <f>IF('HCC Data Entry'!B93="","",'HCC Data Entry'!B93)</f>
        <v>Franklin Area School District</v>
      </c>
      <c r="C98" s="244">
        <f>IF('HCC Data Entry'!C93="","",'HCC Data Entry'!C93)</f>
        <v>13586793</v>
      </c>
      <c r="D98" s="244" t="str">
        <f>IF('HCC Data Entry'!D93="","",'HCC Data Entry'!D93)</f>
        <v>Active</v>
      </c>
      <c r="E98" s="244" t="str">
        <f>IF('HCC Data Entry'!E93="","",'HCC Data Entry'!E93)</f>
        <v>Spouse</v>
      </c>
      <c r="F98" s="246">
        <f>IF('HCC Data Entry'!F93="","",'HCC Data Entry'!F93)</f>
        <v>74534.5</v>
      </c>
      <c r="G98" s="246">
        <f>IFERROR(INDEX('HCC Data Entry'!$J$4:$J$22, MATCH('HCC Detail'!$B98,'HCC Data Entry'!$I$4:$I$22,0)),"")</f>
        <v>85000</v>
      </c>
      <c r="H98" s="246">
        <f t="shared" si="4"/>
        <v>0</v>
      </c>
      <c r="I98" s="247">
        <f t="shared" si="5"/>
        <v>0</v>
      </c>
      <c r="J98" s="246">
        <f t="shared" si="6"/>
        <v>0</v>
      </c>
      <c r="K98" s="246"/>
      <c r="L98" s="246" t="str">
        <f t="shared" si="7"/>
        <v/>
      </c>
      <c r="M98" s="244"/>
    </row>
    <row r="99" spans="2:13" ht="18.5" x14ac:dyDescent="0.45">
      <c r="B99" s="244" t="str">
        <f>IF('HCC Data Entry'!B94="","",'HCC Data Entry'!B94)</f>
        <v>Franklin Area School District</v>
      </c>
      <c r="C99" s="244">
        <f>IF('HCC Data Entry'!C94="","",'HCC Data Entry'!C94)</f>
        <v>13582344</v>
      </c>
      <c r="D99" s="244" t="str">
        <f>IF('HCC Data Entry'!D94="","",'HCC Data Entry'!D94)</f>
        <v>Active</v>
      </c>
      <c r="E99" s="244" t="str">
        <f>IF('HCC Data Entry'!E94="","",'HCC Data Entry'!E94)</f>
        <v>Child</v>
      </c>
      <c r="F99" s="246">
        <f>IF('HCC Data Entry'!F94="","",'HCC Data Entry'!F94)</f>
        <v>47675.49</v>
      </c>
      <c r="G99" s="246">
        <f>IFERROR(INDEX('HCC Data Entry'!$J$4:$J$22, MATCH('HCC Detail'!$B99,'HCC Data Entry'!$I$4:$I$22,0)),"")</f>
        <v>85000</v>
      </c>
      <c r="H99" s="246">
        <f t="shared" si="4"/>
        <v>0</v>
      </c>
      <c r="I99" s="247">
        <f t="shared" si="5"/>
        <v>0</v>
      </c>
      <c r="J99" s="246">
        <f t="shared" si="6"/>
        <v>0</v>
      </c>
      <c r="K99" s="246"/>
      <c r="L99" s="246" t="str">
        <f t="shared" si="7"/>
        <v/>
      </c>
      <c r="M99" s="244"/>
    </row>
    <row r="100" spans="2:13" ht="18.5" x14ac:dyDescent="0.45">
      <c r="B100" s="244" t="str">
        <f>IF('HCC Data Entry'!B95="","",'HCC Data Entry'!B95)</f>
        <v>Franklin Area School District</v>
      </c>
      <c r="C100" s="244">
        <f>IF('HCC Data Entry'!C95="","",'HCC Data Entry'!C95)</f>
        <v>13578490</v>
      </c>
      <c r="D100" s="244" t="str">
        <f>IF('HCC Data Entry'!D95="","",'HCC Data Entry'!D95)</f>
        <v>Active</v>
      </c>
      <c r="E100" s="244" t="str">
        <f>IF('HCC Data Entry'!E95="","",'HCC Data Entry'!E95)</f>
        <v>Spouse</v>
      </c>
      <c r="F100" s="246">
        <f>IF('HCC Data Entry'!F95="","",'HCC Data Entry'!F95)</f>
        <v>40966.28</v>
      </c>
      <c r="G100" s="246">
        <f>IFERROR(INDEX('HCC Data Entry'!$J$4:$J$22, MATCH('HCC Detail'!$B100,'HCC Data Entry'!$I$4:$I$22,0)),"")</f>
        <v>85000</v>
      </c>
      <c r="H100" s="246">
        <f t="shared" si="4"/>
        <v>0</v>
      </c>
      <c r="I100" s="247">
        <f t="shared" si="5"/>
        <v>0</v>
      </c>
      <c r="J100" s="246">
        <f t="shared" si="6"/>
        <v>0</v>
      </c>
      <c r="K100" s="246"/>
      <c r="L100" s="246" t="str">
        <f t="shared" si="7"/>
        <v/>
      </c>
      <c r="M100" s="244"/>
    </row>
    <row r="101" spans="2:13" ht="18.5" x14ac:dyDescent="0.45">
      <c r="B101" s="244" t="str">
        <f>IF('HCC Data Entry'!B96="","",'HCC Data Entry'!B96)</f>
        <v>Franklin Area School District</v>
      </c>
      <c r="C101" s="244">
        <f>IF('HCC Data Entry'!C96="","",'HCC Data Entry'!C96)</f>
        <v>13596036</v>
      </c>
      <c r="D101" s="244" t="str">
        <f>IF('HCC Data Entry'!D96="","",'HCC Data Entry'!D96)</f>
        <v>Active</v>
      </c>
      <c r="E101" s="244" t="str">
        <f>IF('HCC Data Entry'!E96="","",'HCC Data Entry'!E96)</f>
        <v>Spouse</v>
      </c>
      <c r="F101" s="246">
        <f>IF('HCC Data Entry'!F96="","",'HCC Data Entry'!F96)</f>
        <v>39423.360000000001</v>
      </c>
      <c r="G101" s="246">
        <f>IFERROR(INDEX('HCC Data Entry'!$J$4:$J$22, MATCH('HCC Detail'!$B101,'HCC Data Entry'!$I$4:$I$22,0)),"")</f>
        <v>85000</v>
      </c>
      <c r="H101" s="246">
        <f t="shared" si="4"/>
        <v>0</v>
      </c>
      <c r="I101" s="247">
        <f t="shared" si="5"/>
        <v>0</v>
      </c>
      <c r="J101" s="246">
        <f t="shared" si="6"/>
        <v>0</v>
      </c>
      <c r="K101" s="246"/>
      <c r="L101" s="246" t="str">
        <f t="shared" si="7"/>
        <v/>
      </c>
      <c r="M101" s="244"/>
    </row>
    <row r="102" spans="2:13" ht="18.5" x14ac:dyDescent="0.45">
      <c r="B102" s="244" t="str">
        <f>IF('HCC Data Entry'!B97="","",'HCC Data Entry'!B97)</f>
        <v>Franklin Area School District</v>
      </c>
      <c r="C102" s="244">
        <f>IF('HCC Data Entry'!C97="","",'HCC Data Entry'!C97)</f>
        <v>13593320</v>
      </c>
      <c r="D102" s="244" t="str">
        <f>IF('HCC Data Entry'!D97="","",'HCC Data Entry'!D97)</f>
        <v>Active</v>
      </c>
      <c r="E102" s="244" t="str">
        <f>IF('HCC Data Entry'!E97="","",'HCC Data Entry'!E97)</f>
        <v>Child</v>
      </c>
      <c r="F102" s="246">
        <f>IF('HCC Data Entry'!F97="","",'HCC Data Entry'!F97)</f>
        <v>31273.17</v>
      </c>
      <c r="G102" s="246">
        <f>IFERROR(INDEX('HCC Data Entry'!$J$4:$J$22, MATCH('HCC Detail'!$B102,'HCC Data Entry'!$I$4:$I$22,0)),"")</f>
        <v>85000</v>
      </c>
      <c r="H102" s="246">
        <f t="shared" si="4"/>
        <v>0</v>
      </c>
      <c r="I102" s="247">
        <f t="shared" si="5"/>
        <v>0</v>
      </c>
      <c r="J102" s="246">
        <f t="shared" si="6"/>
        <v>0</v>
      </c>
      <c r="K102" s="246"/>
      <c r="L102" s="246" t="str">
        <f t="shared" si="7"/>
        <v/>
      </c>
      <c r="M102" s="244"/>
    </row>
    <row r="103" spans="2:13" ht="18.5" x14ac:dyDescent="0.45">
      <c r="B103" s="244" t="str">
        <f>IF('HCC Data Entry'!B98="","",'HCC Data Entry'!B98)</f>
        <v>Franklin Area School District</v>
      </c>
      <c r="C103" s="244">
        <f>IF('HCC Data Entry'!C98="","",'HCC Data Entry'!C98)</f>
        <v>13574905</v>
      </c>
      <c r="D103" s="244" t="str">
        <f>IF('HCC Data Entry'!D98="","",'HCC Data Entry'!D98)</f>
        <v>Active</v>
      </c>
      <c r="E103" s="244" t="str">
        <f>IF('HCC Data Entry'!E98="","",'HCC Data Entry'!E98)</f>
        <v>Spouse</v>
      </c>
      <c r="F103" s="246">
        <f>IF('HCC Data Entry'!F98="","",'HCC Data Entry'!F98)</f>
        <v>27490.22</v>
      </c>
      <c r="G103" s="246">
        <f>IFERROR(INDEX('HCC Data Entry'!$J$4:$J$22, MATCH('HCC Detail'!$B103,'HCC Data Entry'!$I$4:$I$22,0)),"")</f>
        <v>85000</v>
      </c>
      <c r="H103" s="246">
        <f t="shared" si="4"/>
        <v>0</v>
      </c>
      <c r="I103" s="247">
        <f t="shared" si="5"/>
        <v>0</v>
      </c>
      <c r="J103" s="246">
        <f t="shared" si="6"/>
        <v>0</v>
      </c>
      <c r="K103" s="246"/>
      <c r="L103" s="246" t="str">
        <f t="shared" si="7"/>
        <v/>
      </c>
      <c r="M103" s="244"/>
    </row>
    <row r="104" spans="2:13" ht="18.5" x14ac:dyDescent="0.45">
      <c r="B104" s="244" t="str">
        <f>IF('HCC Data Entry'!B99="","",'HCC Data Entry'!B99)</f>
        <v>Franklin Area School District</v>
      </c>
      <c r="C104" s="244">
        <f>IF('HCC Data Entry'!C99="","",'HCC Data Entry'!C99)</f>
        <v>13575125</v>
      </c>
      <c r="D104" s="244" t="str">
        <f>IF('HCC Data Entry'!D99="","",'HCC Data Entry'!D99)</f>
        <v>Active</v>
      </c>
      <c r="E104" s="244" t="str">
        <f>IF('HCC Data Entry'!E99="","",'HCC Data Entry'!E99)</f>
        <v>Self</v>
      </c>
      <c r="F104" s="246">
        <f>IF('HCC Data Entry'!F99="","",'HCC Data Entry'!F99)</f>
        <v>27418.29</v>
      </c>
      <c r="G104" s="246">
        <f>IFERROR(INDEX('HCC Data Entry'!$J$4:$J$22, MATCH('HCC Detail'!$B104,'HCC Data Entry'!$I$4:$I$22,0)),"")</f>
        <v>85000</v>
      </c>
      <c r="H104" s="246">
        <f t="shared" si="4"/>
        <v>0</v>
      </c>
      <c r="I104" s="247">
        <f t="shared" si="5"/>
        <v>0</v>
      </c>
      <c r="J104" s="246">
        <f t="shared" si="6"/>
        <v>0</v>
      </c>
      <c r="K104" s="246"/>
      <c r="L104" s="246" t="str">
        <f t="shared" si="7"/>
        <v/>
      </c>
      <c r="M104" s="244"/>
    </row>
    <row r="105" spans="2:13" ht="18.5" x14ac:dyDescent="0.45">
      <c r="B105" s="244" t="str">
        <f>IF('HCC Data Entry'!B100="","",'HCC Data Entry'!B100)</f>
        <v>Ft LeBoeuf School District</v>
      </c>
      <c r="C105" s="244">
        <f>IF('HCC Data Entry'!C100="","",'HCC Data Entry'!C100)</f>
        <v>13586691</v>
      </c>
      <c r="D105" s="244" t="str">
        <f>IF('HCC Data Entry'!D100="","",'HCC Data Entry'!D100)</f>
        <v>Active</v>
      </c>
      <c r="E105" s="244" t="str">
        <f>IF('HCC Data Entry'!E100="","",'HCC Data Entry'!E100)</f>
        <v>Child</v>
      </c>
      <c r="F105" s="246">
        <f>IF('HCC Data Entry'!F100="","",'HCC Data Entry'!F100)</f>
        <v>597112.43000000005</v>
      </c>
      <c r="G105" s="246">
        <f>IFERROR(INDEX('HCC Data Entry'!$J$4:$J$22, MATCH('HCC Detail'!$B105,'HCC Data Entry'!$I$4:$I$22,0)),"")</f>
        <v>85000</v>
      </c>
      <c r="H105" s="246">
        <f t="shared" si="4"/>
        <v>512112.43000000005</v>
      </c>
      <c r="I105" s="247">
        <f t="shared" si="5"/>
        <v>215000</v>
      </c>
      <c r="J105" s="246">
        <f t="shared" si="6"/>
        <v>297112.43000000005</v>
      </c>
      <c r="K105" s="246"/>
      <c r="L105" s="246" t="str">
        <f t="shared" si="7"/>
        <v/>
      </c>
      <c r="M105" s="244"/>
    </row>
    <row r="106" spans="2:13" ht="18.5" x14ac:dyDescent="0.45">
      <c r="B106" s="244" t="str">
        <f>IF('HCC Data Entry'!B101="","",'HCC Data Entry'!B101)</f>
        <v>Ft LeBoeuf School District</v>
      </c>
      <c r="C106" s="244">
        <f>IF('HCC Data Entry'!C101="","",'HCC Data Entry'!C101)</f>
        <v>13578936</v>
      </c>
      <c r="D106" s="244" t="str">
        <f>IF('HCC Data Entry'!D101="","",'HCC Data Entry'!D101)</f>
        <v>Active</v>
      </c>
      <c r="E106" s="244" t="str">
        <f>IF('HCC Data Entry'!E101="","",'HCC Data Entry'!E101)</f>
        <v>Spouse</v>
      </c>
      <c r="F106" s="246">
        <f>IF('HCC Data Entry'!F101="","",'HCC Data Entry'!F101)</f>
        <v>261516.88</v>
      </c>
      <c r="G106" s="246">
        <f>IFERROR(INDEX('HCC Data Entry'!$J$4:$J$22, MATCH('HCC Detail'!$B106,'HCC Data Entry'!$I$4:$I$22,0)),"")</f>
        <v>85000</v>
      </c>
      <c r="H106" s="246">
        <f t="shared" si="4"/>
        <v>176516.88</v>
      </c>
      <c r="I106" s="247">
        <f t="shared" si="5"/>
        <v>176516.88</v>
      </c>
      <c r="J106" s="246">
        <f t="shared" si="6"/>
        <v>0</v>
      </c>
      <c r="K106" s="246"/>
      <c r="L106" s="246" t="str">
        <f t="shared" si="7"/>
        <v/>
      </c>
      <c r="M106" s="244"/>
    </row>
    <row r="107" spans="2:13" ht="18.5" x14ac:dyDescent="0.45">
      <c r="B107" s="244" t="str">
        <f>IF('HCC Data Entry'!B102="","",'HCC Data Entry'!B102)</f>
        <v>Ft LeBoeuf School District</v>
      </c>
      <c r="C107" s="244">
        <f>IF('HCC Data Entry'!C102="","",'HCC Data Entry'!C102)</f>
        <v>13580344</v>
      </c>
      <c r="D107" s="244" t="str">
        <f>IF('HCC Data Entry'!D102="","",'HCC Data Entry'!D102)</f>
        <v>Active</v>
      </c>
      <c r="E107" s="244" t="str">
        <f>IF('HCC Data Entry'!E102="","",'HCC Data Entry'!E102)</f>
        <v>Self</v>
      </c>
      <c r="F107" s="246">
        <f>IF('HCC Data Entry'!F102="","",'HCC Data Entry'!F102)</f>
        <v>116014.07</v>
      </c>
      <c r="G107" s="246">
        <f>IFERROR(INDEX('HCC Data Entry'!$J$4:$J$22, MATCH('HCC Detail'!$B107,'HCC Data Entry'!$I$4:$I$22,0)),"")</f>
        <v>85000</v>
      </c>
      <c r="H107" s="246">
        <f t="shared" si="4"/>
        <v>31014.070000000007</v>
      </c>
      <c r="I107" s="247">
        <f t="shared" si="5"/>
        <v>31014.070000000007</v>
      </c>
      <c r="J107" s="246">
        <f t="shared" si="6"/>
        <v>0</v>
      </c>
      <c r="K107" s="246"/>
      <c r="L107" s="246" t="str">
        <f t="shared" si="7"/>
        <v/>
      </c>
      <c r="M107" s="244"/>
    </row>
    <row r="108" spans="2:13" ht="18.5" x14ac:dyDescent="0.45">
      <c r="B108" s="244" t="str">
        <f>IF('HCC Data Entry'!B103="","",'HCC Data Entry'!B103)</f>
        <v>Ft LeBoeuf School District</v>
      </c>
      <c r="C108" s="244">
        <f>IF('HCC Data Entry'!C103="","",'HCC Data Entry'!C103)</f>
        <v>13586317</v>
      </c>
      <c r="D108" s="244" t="str">
        <f>IF('HCC Data Entry'!D103="","",'HCC Data Entry'!D103)</f>
        <v>Active</v>
      </c>
      <c r="E108" s="244" t="str">
        <f>IF('HCC Data Entry'!E103="","",'HCC Data Entry'!E103)</f>
        <v>Self</v>
      </c>
      <c r="F108" s="246">
        <f>IF('HCC Data Entry'!F103="","",'HCC Data Entry'!F103)</f>
        <v>110881.7</v>
      </c>
      <c r="G108" s="246">
        <f>IFERROR(INDEX('HCC Data Entry'!$J$4:$J$22, MATCH('HCC Detail'!$B108,'HCC Data Entry'!$I$4:$I$22,0)),"")</f>
        <v>85000</v>
      </c>
      <c r="H108" s="246">
        <f t="shared" si="4"/>
        <v>25881.699999999997</v>
      </c>
      <c r="I108" s="247">
        <f t="shared" si="5"/>
        <v>25881.699999999997</v>
      </c>
      <c r="J108" s="246">
        <f t="shared" si="6"/>
        <v>0</v>
      </c>
      <c r="K108" s="246"/>
      <c r="L108" s="246" t="str">
        <f t="shared" si="7"/>
        <v/>
      </c>
      <c r="M108" s="244"/>
    </row>
    <row r="109" spans="2:13" ht="18.5" x14ac:dyDescent="0.45">
      <c r="B109" s="244" t="str">
        <f>IF('HCC Data Entry'!B104="","",'HCC Data Entry'!B104)</f>
        <v>Ft LeBoeuf School District</v>
      </c>
      <c r="C109" s="244">
        <f>IF('HCC Data Entry'!C104="","",'HCC Data Entry'!C104)</f>
        <v>13586150</v>
      </c>
      <c r="D109" s="244" t="str">
        <f>IF('HCC Data Entry'!D104="","",'HCC Data Entry'!D104)</f>
        <v>Active</v>
      </c>
      <c r="E109" s="244" t="str">
        <f>IF('HCC Data Entry'!E104="","",'HCC Data Entry'!E104)</f>
        <v>Self</v>
      </c>
      <c r="F109" s="246">
        <f>IF('HCC Data Entry'!F104="","",'HCC Data Entry'!F104)</f>
        <v>101941.33</v>
      </c>
      <c r="G109" s="246">
        <f>IFERROR(INDEX('HCC Data Entry'!$J$4:$J$22, MATCH('HCC Detail'!$B109,'HCC Data Entry'!$I$4:$I$22,0)),"")</f>
        <v>85000</v>
      </c>
      <c r="H109" s="246">
        <f t="shared" si="4"/>
        <v>16941.330000000002</v>
      </c>
      <c r="I109" s="247">
        <f t="shared" si="5"/>
        <v>16941.330000000002</v>
      </c>
      <c r="J109" s="246">
        <f t="shared" si="6"/>
        <v>0</v>
      </c>
      <c r="K109" s="246"/>
      <c r="L109" s="246" t="str">
        <f t="shared" si="7"/>
        <v/>
      </c>
      <c r="M109" s="244"/>
    </row>
    <row r="110" spans="2:13" ht="18.5" x14ac:dyDescent="0.45">
      <c r="B110" s="244" t="str">
        <f>IF('HCC Data Entry'!B105="","",'HCC Data Entry'!B105)</f>
        <v>Ft LeBoeuf School District</v>
      </c>
      <c r="C110" s="244">
        <f>IF('HCC Data Entry'!C105="","",'HCC Data Entry'!C105)</f>
        <v>13588042</v>
      </c>
      <c r="D110" s="244" t="str">
        <f>IF('HCC Data Entry'!D105="","",'HCC Data Entry'!D105)</f>
        <v>Active</v>
      </c>
      <c r="E110" s="244" t="str">
        <f>IF('HCC Data Entry'!E105="","",'HCC Data Entry'!E105)</f>
        <v>Self</v>
      </c>
      <c r="F110" s="246">
        <f>IF('HCC Data Entry'!F105="","",'HCC Data Entry'!F105)</f>
        <v>85263.91</v>
      </c>
      <c r="G110" s="246">
        <f>IFERROR(INDEX('HCC Data Entry'!$J$4:$J$22, MATCH('HCC Detail'!$B110,'HCC Data Entry'!$I$4:$I$22,0)),"")</f>
        <v>85000</v>
      </c>
      <c r="H110" s="246">
        <f t="shared" si="4"/>
        <v>263.91000000000349</v>
      </c>
      <c r="I110" s="247">
        <f t="shared" si="5"/>
        <v>263.91000000000349</v>
      </c>
      <c r="J110" s="246">
        <f t="shared" si="6"/>
        <v>0</v>
      </c>
      <c r="K110" s="246"/>
      <c r="L110" s="246" t="str">
        <f t="shared" si="7"/>
        <v/>
      </c>
      <c r="M110" s="244"/>
    </row>
    <row r="111" spans="2:13" ht="18.5" x14ac:dyDescent="0.45">
      <c r="B111" s="244" t="str">
        <f>IF('HCC Data Entry'!B106="","",'HCC Data Entry'!B106)</f>
        <v>Ft LeBoeuf School District</v>
      </c>
      <c r="C111" s="244">
        <f>IF('HCC Data Entry'!C106="","",'HCC Data Entry'!C106)</f>
        <v>13587055</v>
      </c>
      <c r="D111" s="244" t="str">
        <f>IF('HCC Data Entry'!D106="","",'HCC Data Entry'!D106)</f>
        <v>Active</v>
      </c>
      <c r="E111" s="244" t="str">
        <f>IF('HCC Data Entry'!E106="","",'HCC Data Entry'!E106)</f>
        <v>Self</v>
      </c>
      <c r="F111" s="246">
        <f>IF('HCC Data Entry'!F106="","",'HCC Data Entry'!F106)</f>
        <v>80076.240000000005</v>
      </c>
      <c r="G111" s="246">
        <f>IFERROR(INDEX('HCC Data Entry'!$J$4:$J$22, MATCH('HCC Detail'!$B111,'HCC Data Entry'!$I$4:$I$22,0)),"")</f>
        <v>85000</v>
      </c>
      <c r="H111" s="246">
        <f t="shared" si="4"/>
        <v>0</v>
      </c>
      <c r="I111" s="247">
        <f t="shared" si="5"/>
        <v>0</v>
      </c>
      <c r="J111" s="246">
        <f t="shared" si="6"/>
        <v>0</v>
      </c>
      <c r="K111" s="246"/>
      <c r="L111" s="246" t="str">
        <f t="shared" si="7"/>
        <v/>
      </c>
      <c r="M111" s="244"/>
    </row>
    <row r="112" spans="2:13" ht="18.5" x14ac:dyDescent="0.45">
      <c r="B112" s="244" t="str">
        <f>IF('HCC Data Entry'!B107="","",'HCC Data Entry'!B107)</f>
        <v>Ft LeBoeuf School District</v>
      </c>
      <c r="C112" s="244">
        <f>IF('HCC Data Entry'!C107="","",'HCC Data Entry'!C107)</f>
        <v>13581882</v>
      </c>
      <c r="D112" s="244" t="str">
        <f>IF('HCC Data Entry'!D107="","",'HCC Data Entry'!D107)</f>
        <v>Active</v>
      </c>
      <c r="E112" s="244" t="str">
        <f>IF('HCC Data Entry'!E107="","",'HCC Data Entry'!E107)</f>
        <v>Spouse</v>
      </c>
      <c r="F112" s="246">
        <f>IF('HCC Data Entry'!F107="","",'HCC Data Entry'!F107)</f>
        <v>78688.88</v>
      </c>
      <c r="G112" s="246">
        <f>IFERROR(INDEX('HCC Data Entry'!$J$4:$J$22, MATCH('HCC Detail'!$B112,'HCC Data Entry'!$I$4:$I$22,0)),"")</f>
        <v>85000</v>
      </c>
      <c r="H112" s="246">
        <f t="shared" si="4"/>
        <v>0</v>
      </c>
      <c r="I112" s="247">
        <f t="shared" si="5"/>
        <v>0</v>
      </c>
      <c r="J112" s="246">
        <f t="shared" si="6"/>
        <v>0</v>
      </c>
      <c r="K112" s="246"/>
      <c r="L112" s="246" t="str">
        <f t="shared" si="7"/>
        <v/>
      </c>
      <c r="M112" s="244"/>
    </row>
    <row r="113" spans="2:13" ht="18.5" x14ac:dyDescent="0.45">
      <c r="B113" s="244" t="str">
        <f>IF('HCC Data Entry'!B108="","",'HCC Data Entry'!B108)</f>
        <v>Ft LeBoeuf School District</v>
      </c>
      <c r="C113" s="244">
        <f>IF('HCC Data Entry'!C108="","",'HCC Data Entry'!C108)</f>
        <v>13590781</v>
      </c>
      <c r="D113" s="244" t="str">
        <f>IF('HCC Data Entry'!D108="","",'HCC Data Entry'!D108)</f>
        <v>Active</v>
      </c>
      <c r="E113" s="244" t="str">
        <f>IF('HCC Data Entry'!E108="","",'HCC Data Entry'!E108)</f>
        <v>Spouse</v>
      </c>
      <c r="F113" s="246">
        <f>IF('HCC Data Entry'!F108="","",'HCC Data Entry'!F108)</f>
        <v>67528.66</v>
      </c>
      <c r="G113" s="246">
        <f>IFERROR(INDEX('HCC Data Entry'!$J$4:$J$22, MATCH('HCC Detail'!$B113,'HCC Data Entry'!$I$4:$I$22,0)),"")</f>
        <v>85000</v>
      </c>
      <c r="H113" s="246">
        <f t="shared" si="4"/>
        <v>0</v>
      </c>
      <c r="I113" s="247">
        <f t="shared" si="5"/>
        <v>0</v>
      </c>
      <c r="J113" s="246">
        <f t="shared" si="6"/>
        <v>0</v>
      </c>
      <c r="K113" s="246"/>
      <c r="L113" s="246" t="str">
        <f t="shared" si="7"/>
        <v/>
      </c>
      <c r="M113" s="244"/>
    </row>
    <row r="114" spans="2:13" ht="18.5" x14ac:dyDescent="0.45">
      <c r="B114" s="244" t="str">
        <f>IF('HCC Data Entry'!B109="","",'HCC Data Entry'!B109)</f>
        <v>Ft LeBoeuf School District</v>
      </c>
      <c r="C114" s="244">
        <f>IF('HCC Data Entry'!C109="","",'HCC Data Entry'!C109)</f>
        <v>27011084</v>
      </c>
      <c r="D114" s="244" t="str">
        <f>IF('HCC Data Entry'!D109="","",'HCC Data Entry'!D109)</f>
        <v>Active</v>
      </c>
      <c r="E114" s="244" t="str">
        <f>IF('HCC Data Entry'!E109="","",'HCC Data Entry'!E109)</f>
        <v>Self</v>
      </c>
      <c r="F114" s="246">
        <f>IF('HCC Data Entry'!F109="","",'HCC Data Entry'!F109)</f>
        <v>67418.8</v>
      </c>
      <c r="G114" s="246">
        <f>IFERROR(INDEX('HCC Data Entry'!$J$4:$J$22, MATCH('HCC Detail'!$B114,'HCC Data Entry'!$I$4:$I$22,0)),"")</f>
        <v>85000</v>
      </c>
      <c r="H114" s="246">
        <f t="shared" si="4"/>
        <v>0</v>
      </c>
      <c r="I114" s="247">
        <f t="shared" si="5"/>
        <v>0</v>
      </c>
      <c r="J114" s="246">
        <f t="shared" si="6"/>
        <v>0</v>
      </c>
      <c r="K114" s="246"/>
      <c r="L114" s="246" t="str">
        <f t="shared" si="7"/>
        <v/>
      </c>
      <c r="M114" s="244"/>
    </row>
    <row r="115" spans="2:13" ht="18.5" x14ac:dyDescent="0.45">
      <c r="B115" s="244" t="str">
        <f>IF('HCC Data Entry'!B110="","",'HCC Data Entry'!B110)</f>
        <v>Ft LeBoeuf School District</v>
      </c>
      <c r="C115" s="244">
        <f>IF('HCC Data Entry'!C110="","",'HCC Data Entry'!C110)</f>
        <v>13590271</v>
      </c>
      <c r="D115" s="244" t="str">
        <f>IF('HCC Data Entry'!D110="","",'HCC Data Entry'!D110)</f>
        <v>Active</v>
      </c>
      <c r="E115" s="244" t="str">
        <f>IF('HCC Data Entry'!E110="","",'HCC Data Entry'!E110)</f>
        <v>Self</v>
      </c>
      <c r="F115" s="246">
        <f>IF('HCC Data Entry'!F110="","",'HCC Data Entry'!F110)</f>
        <v>64753.01</v>
      </c>
      <c r="G115" s="246">
        <f>IFERROR(INDEX('HCC Data Entry'!$J$4:$J$22, MATCH('HCC Detail'!$B115,'HCC Data Entry'!$I$4:$I$22,0)),"")</f>
        <v>85000</v>
      </c>
      <c r="H115" s="246">
        <f t="shared" si="4"/>
        <v>0</v>
      </c>
      <c r="I115" s="247">
        <f t="shared" si="5"/>
        <v>0</v>
      </c>
      <c r="J115" s="246">
        <f t="shared" si="6"/>
        <v>0</v>
      </c>
      <c r="K115" s="246"/>
      <c r="L115" s="246" t="str">
        <f t="shared" si="7"/>
        <v/>
      </c>
      <c r="M115" s="244"/>
    </row>
    <row r="116" spans="2:13" ht="18.5" x14ac:dyDescent="0.45">
      <c r="B116" s="244" t="str">
        <f>IF('HCC Data Entry'!B111="","",'HCC Data Entry'!B111)</f>
        <v>Ft LeBoeuf School District</v>
      </c>
      <c r="C116" s="244">
        <f>IF('HCC Data Entry'!C111="","",'HCC Data Entry'!C111)</f>
        <v>13583214</v>
      </c>
      <c r="D116" s="244" t="str">
        <f>IF('HCC Data Entry'!D111="","",'HCC Data Entry'!D111)</f>
        <v>Retirees</v>
      </c>
      <c r="E116" s="244" t="str">
        <f>IF('HCC Data Entry'!E111="","",'HCC Data Entry'!E111)</f>
        <v>Self</v>
      </c>
      <c r="F116" s="246">
        <f>IF('HCC Data Entry'!F111="","",'HCC Data Entry'!F111)</f>
        <v>49500.24</v>
      </c>
      <c r="G116" s="246">
        <f>IFERROR(INDEX('HCC Data Entry'!$J$4:$J$22, MATCH('HCC Detail'!$B116,'HCC Data Entry'!$I$4:$I$22,0)),"")</f>
        <v>85000</v>
      </c>
      <c r="H116" s="246">
        <f t="shared" si="4"/>
        <v>0</v>
      </c>
      <c r="I116" s="247">
        <f t="shared" si="5"/>
        <v>0</v>
      </c>
      <c r="J116" s="246">
        <f t="shared" si="6"/>
        <v>0</v>
      </c>
      <c r="K116" s="246"/>
      <c r="L116" s="246" t="str">
        <f t="shared" si="7"/>
        <v/>
      </c>
      <c r="M116" s="244"/>
    </row>
    <row r="117" spans="2:13" ht="18.5" x14ac:dyDescent="0.45">
      <c r="B117" s="244" t="str">
        <f>IF('HCC Data Entry'!B112="","",'HCC Data Entry'!B112)</f>
        <v>Ft LeBoeuf School District</v>
      </c>
      <c r="C117" s="244">
        <f>IF('HCC Data Entry'!C112="","",'HCC Data Entry'!C112)</f>
        <v>14644550</v>
      </c>
      <c r="D117" s="244" t="str">
        <f>IF('HCC Data Entry'!D112="","",'HCC Data Entry'!D112)</f>
        <v>Active</v>
      </c>
      <c r="E117" s="244" t="str">
        <f>IF('HCC Data Entry'!E112="","",'HCC Data Entry'!E112)</f>
        <v>Spouse</v>
      </c>
      <c r="F117" s="246">
        <f>IF('HCC Data Entry'!F112="","",'HCC Data Entry'!F112)</f>
        <v>39277.25</v>
      </c>
      <c r="G117" s="246">
        <f>IFERROR(INDEX('HCC Data Entry'!$J$4:$J$22, MATCH('HCC Detail'!$B117,'HCC Data Entry'!$I$4:$I$22,0)),"")</f>
        <v>85000</v>
      </c>
      <c r="H117" s="246">
        <f t="shared" si="4"/>
        <v>0</v>
      </c>
      <c r="I117" s="247">
        <f t="shared" si="5"/>
        <v>0</v>
      </c>
      <c r="J117" s="246">
        <f t="shared" si="6"/>
        <v>0</v>
      </c>
      <c r="K117" s="246"/>
      <c r="L117" s="246" t="str">
        <f t="shared" si="7"/>
        <v/>
      </c>
      <c r="M117" s="244"/>
    </row>
    <row r="118" spans="2:13" ht="18.5" x14ac:dyDescent="0.45">
      <c r="B118" s="244" t="str">
        <f>IF('HCC Data Entry'!B113="","",'HCC Data Entry'!B113)</f>
        <v>Ft LeBoeuf School District</v>
      </c>
      <c r="C118" s="244">
        <f>IF('HCC Data Entry'!C113="","",'HCC Data Entry'!C113)</f>
        <v>13578320</v>
      </c>
      <c r="D118" s="244" t="str">
        <f>IF('HCC Data Entry'!D113="","",'HCC Data Entry'!D113)</f>
        <v>Active</v>
      </c>
      <c r="E118" s="244" t="str">
        <f>IF('HCC Data Entry'!E113="","",'HCC Data Entry'!E113)</f>
        <v>Self</v>
      </c>
      <c r="F118" s="246">
        <f>IF('HCC Data Entry'!F113="","",'HCC Data Entry'!F113)</f>
        <v>38792.57</v>
      </c>
      <c r="G118" s="246">
        <f>IFERROR(INDEX('HCC Data Entry'!$J$4:$J$22, MATCH('HCC Detail'!$B118,'HCC Data Entry'!$I$4:$I$22,0)),"")</f>
        <v>85000</v>
      </c>
      <c r="H118" s="246">
        <f t="shared" si="4"/>
        <v>0</v>
      </c>
      <c r="I118" s="247">
        <f t="shared" si="5"/>
        <v>0</v>
      </c>
      <c r="J118" s="246">
        <f t="shared" si="6"/>
        <v>0</v>
      </c>
      <c r="K118" s="246"/>
      <c r="L118" s="246" t="str">
        <f t="shared" si="7"/>
        <v/>
      </c>
      <c r="M118" s="244"/>
    </row>
    <row r="119" spans="2:13" ht="18.5" x14ac:dyDescent="0.45">
      <c r="B119" s="244" t="str">
        <f>IF('HCC Data Entry'!B114="","",'HCC Data Entry'!B114)</f>
        <v>Ft LeBoeuf School District</v>
      </c>
      <c r="C119" s="244">
        <f>IF('HCC Data Entry'!C114="","",'HCC Data Entry'!C114)</f>
        <v>27639342</v>
      </c>
      <c r="D119" s="244" t="str">
        <f>IF('HCC Data Entry'!D114="","",'HCC Data Entry'!D114)</f>
        <v>Active</v>
      </c>
      <c r="E119" s="244" t="str">
        <f>IF('HCC Data Entry'!E114="","",'HCC Data Entry'!E114)</f>
        <v>Self</v>
      </c>
      <c r="F119" s="246">
        <f>IF('HCC Data Entry'!F114="","",'HCC Data Entry'!F114)</f>
        <v>34136.949999999997</v>
      </c>
      <c r="G119" s="246">
        <f>IFERROR(INDEX('HCC Data Entry'!$J$4:$J$22, MATCH('HCC Detail'!$B119,'HCC Data Entry'!$I$4:$I$22,0)),"")</f>
        <v>85000</v>
      </c>
      <c r="H119" s="246">
        <f t="shared" si="4"/>
        <v>0</v>
      </c>
      <c r="I119" s="247">
        <f t="shared" si="5"/>
        <v>0</v>
      </c>
      <c r="J119" s="246">
        <f t="shared" si="6"/>
        <v>0</v>
      </c>
      <c r="K119" s="246"/>
      <c r="L119" s="246" t="str">
        <f t="shared" si="7"/>
        <v/>
      </c>
      <c r="M119" s="244"/>
    </row>
    <row r="120" spans="2:13" ht="18.5" x14ac:dyDescent="0.45">
      <c r="B120" s="244" t="str">
        <f>IF('HCC Data Entry'!B115="","",'HCC Data Entry'!B115)</f>
        <v>Ft LeBoeuf School District</v>
      </c>
      <c r="C120" s="244">
        <f>IF('HCC Data Entry'!C115="","",'HCC Data Entry'!C115)</f>
        <v>13587315</v>
      </c>
      <c r="D120" s="244" t="str">
        <f>IF('HCC Data Entry'!D115="","",'HCC Data Entry'!D115)</f>
        <v>Active</v>
      </c>
      <c r="E120" s="244" t="str">
        <f>IF('HCC Data Entry'!E115="","",'HCC Data Entry'!E115)</f>
        <v>Self</v>
      </c>
      <c r="F120" s="246">
        <f>IF('HCC Data Entry'!F115="","",'HCC Data Entry'!F115)</f>
        <v>28515.02</v>
      </c>
      <c r="G120" s="246">
        <f>IFERROR(INDEX('HCC Data Entry'!$J$4:$J$22, MATCH('HCC Detail'!$B120,'HCC Data Entry'!$I$4:$I$22,0)),"")</f>
        <v>85000</v>
      </c>
      <c r="H120" s="246">
        <f t="shared" si="4"/>
        <v>0</v>
      </c>
      <c r="I120" s="247">
        <f t="shared" si="5"/>
        <v>0</v>
      </c>
      <c r="J120" s="246">
        <f t="shared" si="6"/>
        <v>0</v>
      </c>
      <c r="K120" s="246"/>
      <c r="L120" s="246" t="str">
        <f t="shared" si="7"/>
        <v/>
      </c>
      <c r="M120" s="244"/>
    </row>
    <row r="121" spans="2:13" ht="18.5" x14ac:dyDescent="0.45">
      <c r="B121" s="244" t="str">
        <f>IF('HCC Data Entry'!B116="","",'HCC Data Entry'!B116)</f>
        <v>Ft LeBoeuf School District</v>
      </c>
      <c r="C121" s="244">
        <f>IF('HCC Data Entry'!C116="","",'HCC Data Entry'!C116)</f>
        <v>13589124</v>
      </c>
      <c r="D121" s="244" t="str">
        <f>IF('HCC Data Entry'!D116="","",'HCC Data Entry'!D116)</f>
        <v>Active</v>
      </c>
      <c r="E121" s="244" t="str">
        <f>IF('HCC Data Entry'!E116="","",'HCC Data Entry'!E116)</f>
        <v>Child</v>
      </c>
      <c r="F121" s="246">
        <f>IF('HCC Data Entry'!F116="","",'HCC Data Entry'!F116)</f>
        <v>28438.1</v>
      </c>
      <c r="G121" s="246">
        <f>IFERROR(INDEX('HCC Data Entry'!$J$4:$J$22, MATCH('HCC Detail'!$B121,'HCC Data Entry'!$I$4:$I$22,0)),"")</f>
        <v>85000</v>
      </c>
      <c r="H121" s="246">
        <f t="shared" si="4"/>
        <v>0</v>
      </c>
      <c r="I121" s="247">
        <f t="shared" si="5"/>
        <v>0</v>
      </c>
      <c r="J121" s="246">
        <f t="shared" si="6"/>
        <v>0</v>
      </c>
      <c r="K121" s="246"/>
      <c r="L121" s="246" t="str">
        <f t="shared" si="7"/>
        <v/>
      </c>
      <c r="M121" s="244"/>
    </row>
    <row r="122" spans="2:13" ht="18.5" x14ac:dyDescent="0.45">
      <c r="B122" s="244" t="str">
        <f>IF('HCC Data Entry'!B117="","",'HCC Data Entry'!B117)</f>
        <v>Ft LeBoeuf School District</v>
      </c>
      <c r="C122" s="244">
        <f>IF('HCC Data Entry'!C117="","",'HCC Data Entry'!C117)</f>
        <v>13583819</v>
      </c>
      <c r="D122" s="244" t="str">
        <f>IF('HCC Data Entry'!D117="","",'HCC Data Entry'!D117)</f>
        <v>Active</v>
      </c>
      <c r="E122" s="244" t="str">
        <f>IF('HCC Data Entry'!E117="","",'HCC Data Entry'!E117)</f>
        <v>Self</v>
      </c>
      <c r="F122" s="246">
        <f>IF('HCC Data Entry'!F117="","",'HCC Data Entry'!F117)</f>
        <v>25922.23</v>
      </c>
      <c r="G122" s="246">
        <f>IFERROR(INDEX('HCC Data Entry'!$J$4:$J$22, MATCH('HCC Detail'!$B122,'HCC Data Entry'!$I$4:$I$22,0)),"")</f>
        <v>85000</v>
      </c>
      <c r="H122" s="246">
        <f t="shared" si="4"/>
        <v>0</v>
      </c>
      <c r="I122" s="247">
        <f t="shared" si="5"/>
        <v>0</v>
      </c>
      <c r="J122" s="246">
        <f t="shared" si="6"/>
        <v>0</v>
      </c>
      <c r="K122" s="246"/>
      <c r="L122" s="246" t="str">
        <f t="shared" si="7"/>
        <v/>
      </c>
      <c r="M122" s="244"/>
    </row>
    <row r="123" spans="2:13" ht="18.5" x14ac:dyDescent="0.45">
      <c r="B123" s="244" t="str">
        <f>IF('HCC Data Entry'!B118="","",'HCC Data Entry'!B118)</f>
        <v>Girard School District</v>
      </c>
      <c r="C123" s="244">
        <f>IF('HCC Data Entry'!C118="","",'HCC Data Entry'!C118)</f>
        <v>13577032</v>
      </c>
      <c r="D123" s="244" t="str">
        <f>IF('HCC Data Entry'!D118="","",'HCC Data Entry'!D118)</f>
        <v>Retirees</v>
      </c>
      <c r="E123" s="244" t="str">
        <f>IF('HCC Data Entry'!E118="","",'HCC Data Entry'!E118)</f>
        <v>Self</v>
      </c>
      <c r="F123" s="246">
        <f>IF('HCC Data Entry'!F118="","",'HCC Data Entry'!F118)</f>
        <v>128457.9</v>
      </c>
      <c r="G123" s="246">
        <f>IFERROR(INDEX('HCC Data Entry'!$J$4:$J$22, MATCH('HCC Detail'!$B123,'HCC Data Entry'!$I$4:$I$22,0)),"")</f>
        <v>68000</v>
      </c>
      <c r="H123" s="246">
        <f t="shared" si="4"/>
        <v>60457.899999999994</v>
      </c>
      <c r="I123" s="247">
        <f t="shared" si="5"/>
        <v>60457.899999999994</v>
      </c>
      <c r="J123" s="246">
        <f t="shared" si="6"/>
        <v>0</v>
      </c>
      <c r="K123" s="246"/>
      <c r="L123" s="246" t="str">
        <f t="shared" si="7"/>
        <v/>
      </c>
      <c r="M123" s="244"/>
    </row>
    <row r="124" spans="2:13" ht="18.5" x14ac:dyDescent="0.45">
      <c r="B124" s="244" t="str">
        <f>IF('HCC Data Entry'!B119="","",'HCC Data Entry'!B119)</f>
        <v>Girard School District</v>
      </c>
      <c r="C124" s="244">
        <f>IF('HCC Data Entry'!C119="","",'HCC Data Entry'!C119)</f>
        <v>28891623</v>
      </c>
      <c r="D124" s="244" t="str">
        <f>IF('HCC Data Entry'!D119="","",'HCC Data Entry'!D119)</f>
        <v>Active</v>
      </c>
      <c r="E124" s="244" t="str">
        <f>IF('HCC Data Entry'!E119="","",'HCC Data Entry'!E119)</f>
        <v>Spouse</v>
      </c>
      <c r="F124" s="246">
        <f>IF('HCC Data Entry'!F119="","",'HCC Data Entry'!F119)</f>
        <v>112000.71</v>
      </c>
      <c r="G124" s="246">
        <f>IFERROR(INDEX('HCC Data Entry'!$J$4:$J$22, MATCH('HCC Detail'!$B124,'HCC Data Entry'!$I$4:$I$22,0)),"")</f>
        <v>68000</v>
      </c>
      <c r="H124" s="246">
        <f t="shared" si="4"/>
        <v>44000.710000000006</v>
      </c>
      <c r="I124" s="247">
        <f t="shared" si="5"/>
        <v>44000.710000000006</v>
      </c>
      <c r="J124" s="246">
        <f t="shared" si="6"/>
        <v>0</v>
      </c>
      <c r="K124" s="246"/>
      <c r="L124" s="246" t="str">
        <f t="shared" si="7"/>
        <v/>
      </c>
      <c r="M124" s="244"/>
    </row>
    <row r="125" spans="2:13" ht="18.5" x14ac:dyDescent="0.45">
      <c r="B125" s="244" t="str">
        <f>IF('HCC Data Entry'!B120="","",'HCC Data Entry'!B120)</f>
        <v>Girard School District</v>
      </c>
      <c r="C125" s="244">
        <f>IF('HCC Data Entry'!C120="","",'HCC Data Entry'!C120)</f>
        <v>13589294</v>
      </c>
      <c r="D125" s="244" t="str">
        <f>IF('HCC Data Entry'!D120="","",'HCC Data Entry'!D120)</f>
        <v>Active</v>
      </c>
      <c r="E125" s="244" t="str">
        <f>IF('HCC Data Entry'!E120="","",'HCC Data Entry'!E120)</f>
        <v>Self</v>
      </c>
      <c r="F125" s="246">
        <f>IF('HCC Data Entry'!F120="","",'HCC Data Entry'!F120)</f>
        <v>102185.11</v>
      </c>
      <c r="G125" s="246">
        <f>IFERROR(INDEX('HCC Data Entry'!$J$4:$J$22, MATCH('HCC Detail'!$B125,'HCC Data Entry'!$I$4:$I$22,0)),"")</f>
        <v>68000</v>
      </c>
      <c r="H125" s="246">
        <f t="shared" si="4"/>
        <v>34185.11</v>
      </c>
      <c r="I125" s="247">
        <f t="shared" si="5"/>
        <v>34185.11</v>
      </c>
      <c r="J125" s="246">
        <f t="shared" si="6"/>
        <v>0</v>
      </c>
      <c r="K125" s="246"/>
      <c r="L125" s="246" t="str">
        <f t="shared" si="7"/>
        <v/>
      </c>
      <c r="M125" s="244"/>
    </row>
    <row r="126" spans="2:13" ht="18.5" x14ac:dyDescent="0.45">
      <c r="B126" s="244" t="str">
        <f>IF('HCC Data Entry'!B121="","",'HCC Data Entry'!B121)</f>
        <v>Girard School District</v>
      </c>
      <c r="C126" s="244">
        <f>IF('HCC Data Entry'!C121="","",'HCC Data Entry'!C121)</f>
        <v>28867732</v>
      </c>
      <c r="D126" s="244" t="str">
        <f>IF('HCC Data Entry'!D121="","",'HCC Data Entry'!D121)</f>
        <v>Active</v>
      </c>
      <c r="E126" s="244" t="str">
        <f>IF('HCC Data Entry'!E121="","",'HCC Data Entry'!E121)</f>
        <v>Child</v>
      </c>
      <c r="F126" s="246">
        <f>IF('HCC Data Entry'!F121="","",'HCC Data Entry'!F121)</f>
        <v>69105.31</v>
      </c>
      <c r="G126" s="246">
        <f>IFERROR(INDEX('HCC Data Entry'!$J$4:$J$22, MATCH('HCC Detail'!$B126,'HCC Data Entry'!$I$4:$I$22,0)),"")</f>
        <v>68000</v>
      </c>
      <c r="H126" s="246">
        <f t="shared" si="4"/>
        <v>1105.3099999999977</v>
      </c>
      <c r="I126" s="247">
        <f t="shared" si="5"/>
        <v>1105.3099999999977</v>
      </c>
      <c r="J126" s="246">
        <f t="shared" si="6"/>
        <v>0</v>
      </c>
      <c r="K126" s="246"/>
      <c r="L126" s="246" t="str">
        <f t="shared" si="7"/>
        <v/>
      </c>
      <c r="M126" s="244"/>
    </row>
    <row r="127" spans="2:13" ht="18.5" x14ac:dyDescent="0.45">
      <c r="B127" s="244" t="str">
        <f>IF('HCC Data Entry'!B122="","",'HCC Data Entry'!B122)</f>
        <v>Girard School District</v>
      </c>
      <c r="C127" s="244">
        <f>IF('HCC Data Entry'!C122="","",'HCC Data Entry'!C122)</f>
        <v>28865479</v>
      </c>
      <c r="D127" s="244" t="str">
        <f>IF('HCC Data Entry'!D122="","",'HCC Data Entry'!D122)</f>
        <v>Active</v>
      </c>
      <c r="E127" s="244" t="str">
        <f>IF('HCC Data Entry'!E122="","",'HCC Data Entry'!E122)</f>
        <v>Child</v>
      </c>
      <c r="F127" s="246">
        <f>IF('HCC Data Entry'!F122="","",'HCC Data Entry'!F122)</f>
        <v>58032.43</v>
      </c>
      <c r="G127" s="246">
        <f>IFERROR(INDEX('HCC Data Entry'!$J$4:$J$22, MATCH('HCC Detail'!$B127,'HCC Data Entry'!$I$4:$I$22,0)),"")</f>
        <v>68000</v>
      </c>
      <c r="H127" s="246">
        <f t="shared" si="4"/>
        <v>0</v>
      </c>
      <c r="I127" s="247">
        <f t="shared" si="5"/>
        <v>0</v>
      </c>
      <c r="J127" s="246">
        <f t="shared" si="6"/>
        <v>0</v>
      </c>
      <c r="K127" s="246"/>
      <c r="L127" s="246" t="str">
        <f t="shared" si="7"/>
        <v/>
      </c>
      <c r="M127" s="244"/>
    </row>
    <row r="128" spans="2:13" ht="18.5" x14ac:dyDescent="0.45">
      <c r="B128" s="244" t="str">
        <f>IF('HCC Data Entry'!B123="","",'HCC Data Entry'!B123)</f>
        <v>Girard School District</v>
      </c>
      <c r="C128" s="244">
        <f>IF('HCC Data Entry'!C123="","",'HCC Data Entry'!C123)</f>
        <v>28881354</v>
      </c>
      <c r="D128" s="244" t="str">
        <f>IF('HCC Data Entry'!D123="","",'HCC Data Entry'!D123)</f>
        <v>Active</v>
      </c>
      <c r="E128" s="244" t="str">
        <f>IF('HCC Data Entry'!E123="","",'HCC Data Entry'!E123)</f>
        <v>Spouse</v>
      </c>
      <c r="F128" s="246">
        <f>IF('HCC Data Entry'!F123="","",'HCC Data Entry'!F123)</f>
        <v>56328.04</v>
      </c>
      <c r="G128" s="246">
        <f>IFERROR(INDEX('HCC Data Entry'!$J$4:$J$22, MATCH('HCC Detail'!$B128,'HCC Data Entry'!$I$4:$I$22,0)),"")</f>
        <v>68000</v>
      </c>
      <c r="H128" s="246">
        <f t="shared" si="4"/>
        <v>0</v>
      </c>
      <c r="I128" s="247">
        <f t="shared" si="5"/>
        <v>0</v>
      </c>
      <c r="J128" s="246">
        <f t="shared" si="6"/>
        <v>0</v>
      </c>
      <c r="K128" s="246"/>
      <c r="L128" s="246" t="str">
        <f t="shared" si="7"/>
        <v/>
      </c>
      <c r="M128" s="244"/>
    </row>
    <row r="129" spans="2:13" ht="18.5" x14ac:dyDescent="0.45">
      <c r="B129" s="244" t="str">
        <f>IF('HCC Data Entry'!B124="","",'HCC Data Entry'!B124)</f>
        <v>Girard School District</v>
      </c>
      <c r="C129" s="244">
        <f>IF('HCC Data Entry'!C124="","",'HCC Data Entry'!C124)</f>
        <v>28895171</v>
      </c>
      <c r="D129" s="244" t="str">
        <f>IF('HCC Data Entry'!D124="","",'HCC Data Entry'!D124)</f>
        <v>Active</v>
      </c>
      <c r="E129" s="244" t="str">
        <f>IF('HCC Data Entry'!E124="","",'HCC Data Entry'!E124)</f>
        <v>Child</v>
      </c>
      <c r="F129" s="246">
        <f>IF('HCC Data Entry'!F124="","",'HCC Data Entry'!F124)</f>
        <v>54415.65</v>
      </c>
      <c r="G129" s="246">
        <f>IFERROR(INDEX('HCC Data Entry'!$J$4:$J$22, MATCH('HCC Detail'!$B129,'HCC Data Entry'!$I$4:$I$22,0)),"")</f>
        <v>68000</v>
      </c>
      <c r="H129" s="246">
        <f t="shared" si="4"/>
        <v>0</v>
      </c>
      <c r="I129" s="247">
        <f t="shared" si="5"/>
        <v>0</v>
      </c>
      <c r="J129" s="246">
        <f t="shared" si="6"/>
        <v>0</v>
      </c>
      <c r="K129" s="246"/>
      <c r="L129" s="246" t="str">
        <f t="shared" si="7"/>
        <v/>
      </c>
      <c r="M129" s="244"/>
    </row>
    <row r="130" spans="2:13" ht="18.5" x14ac:dyDescent="0.45">
      <c r="B130" s="244" t="str">
        <f>IF('HCC Data Entry'!B125="","",'HCC Data Entry'!B125)</f>
        <v>Girard School District</v>
      </c>
      <c r="C130" s="244">
        <f>IF('HCC Data Entry'!C125="","",'HCC Data Entry'!C125)</f>
        <v>28873617</v>
      </c>
      <c r="D130" s="244" t="str">
        <f>IF('HCC Data Entry'!D125="","",'HCC Data Entry'!D125)</f>
        <v>Active</v>
      </c>
      <c r="E130" s="244" t="str">
        <f>IF('HCC Data Entry'!E125="","",'HCC Data Entry'!E125)</f>
        <v>Spouse</v>
      </c>
      <c r="F130" s="246">
        <f>IF('HCC Data Entry'!F125="","",'HCC Data Entry'!F125)</f>
        <v>51725.57</v>
      </c>
      <c r="G130" s="246">
        <f>IFERROR(INDEX('HCC Data Entry'!$J$4:$J$22, MATCH('HCC Detail'!$B130,'HCC Data Entry'!$I$4:$I$22,0)),"")</f>
        <v>68000</v>
      </c>
      <c r="H130" s="246">
        <f t="shared" si="4"/>
        <v>0</v>
      </c>
      <c r="I130" s="247">
        <f t="shared" si="5"/>
        <v>0</v>
      </c>
      <c r="J130" s="246">
        <f t="shared" si="6"/>
        <v>0</v>
      </c>
      <c r="K130" s="246"/>
      <c r="L130" s="246" t="str">
        <f t="shared" si="7"/>
        <v/>
      </c>
      <c r="M130" s="244"/>
    </row>
    <row r="131" spans="2:13" ht="18.5" x14ac:dyDescent="0.45">
      <c r="B131" s="244" t="str">
        <f>IF('HCC Data Entry'!B126="","",'HCC Data Entry'!B126)</f>
        <v>Girard School District</v>
      </c>
      <c r="C131" s="244">
        <f>IF('HCC Data Entry'!C126="","",'HCC Data Entry'!C126)</f>
        <v>28882314</v>
      </c>
      <c r="D131" s="244" t="str">
        <f>IF('HCC Data Entry'!D126="","",'HCC Data Entry'!D126)</f>
        <v>Active</v>
      </c>
      <c r="E131" s="244" t="str">
        <f>IF('HCC Data Entry'!E126="","",'HCC Data Entry'!E126)</f>
        <v>Spouse</v>
      </c>
      <c r="F131" s="246">
        <f>IF('HCC Data Entry'!F126="","",'HCC Data Entry'!F126)</f>
        <v>50726.07</v>
      </c>
      <c r="G131" s="246">
        <f>IFERROR(INDEX('HCC Data Entry'!$J$4:$J$22, MATCH('HCC Detail'!$B131,'HCC Data Entry'!$I$4:$I$22,0)),"")</f>
        <v>68000</v>
      </c>
      <c r="H131" s="246">
        <f t="shared" si="4"/>
        <v>0</v>
      </c>
      <c r="I131" s="247">
        <f t="shared" si="5"/>
        <v>0</v>
      </c>
      <c r="J131" s="246">
        <f t="shared" si="6"/>
        <v>0</v>
      </c>
      <c r="K131" s="246"/>
      <c r="L131" s="246" t="str">
        <f t="shared" si="7"/>
        <v/>
      </c>
      <c r="M131" s="244"/>
    </row>
    <row r="132" spans="2:13" ht="18.5" x14ac:dyDescent="0.45">
      <c r="B132" s="244" t="str">
        <f>IF('HCC Data Entry'!B127="","",'HCC Data Entry'!B127)</f>
        <v>Girard School District</v>
      </c>
      <c r="C132" s="244">
        <f>IF('HCC Data Entry'!C127="","",'HCC Data Entry'!C127)</f>
        <v>13581020</v>
      </c>
      <c r="D132" s="244" t="str">
        <f>IF('HCC Data Entry'!D127="","",'HCC Data Entry'!D127)</f>
        <v>Active</v>
      </c>
      <c r="E132" s="244" t="str">
        <f>IF('HCC Data Entry'!E127="","",'HCC Data Entry'!E127)</f>
        <v>Self</v>
      </c>
      <c r="F132" s="246">
        <f>IF('HCC Data Entry'!F127="","",'HCC Data Entry'!F127)</f>
        <v>42716.57</v>
      </c>
      <c r="G132" s="246">
        <f>IFERROR(INDEX('HCC Data Entry'!$J$4:$J$22, MATCH('HCC Detail'!$B132,'HCC Data Entry'!$I$4:$I$22,0)),"")</f>
        <v>68000</v>
      </c>
      <c r="H132" s="246">
        <f t="shared" si="4"/>
        <v>0</v>
      </c>
      <c r="I132" s="247">
        <f t="shared" si="5"/>
        <v>0</v>
      </c>
      <c r="J132" s="246">
        <f t="shared" si="6"/>
        <v>0</v>
      </c>
      <c r="K132" s="246"/>
      <c r="L132" s="246" t="str">
        <f t="shared" si="7"/>
        <v/>
      </c>
      <c r="M132" s="244"/>
    </row>
    <row r="133" spans="2:13" ht="18.5" x14ac:dyDescent="0.45">
      <c r="B133" s="244" t="str">
        <f>IF('HCC Data Entry'!B128="","",'HCC Data Entry'!B128)</f>
        <v>Girard School District</v>
      </c>
      <c r="C133" s="244">
        <f>IF('HCC Data Entry'!C128="","",'HCC Data Entry'!C128)</f>
        <v>13577032</v>
      </c>
      <c r="D133" s="244" t="str">
        <f>IF('HCC Data Entry'!D128="","",'HCC Data Entry'!D128)</f>
        <v>Active</v>
      </c>
      <c r="E133" s="244" t="str">
        <f>IF('HCC Data Entry'!E128="","",'HCC Data Entry'!E128)</f>
        <v>Self</v>
      </c>
      <c r="F133" s="246">
        <f>IF('HCC Data Entry'!F128="","",'HCC Data Entry'!F128)</f>
        <v>42512.09</v>
      </c>
      <c r="G133" s="246">
        <f>IFERROR(INDEX('HCC Data Entry'!$J$4:$J$22, MATCH('HCC Detail'!$B133,'HCC Data Entry'!$I$4:$I$22,0)),"")</f>
        <v>68000</v>
      </c>
      <c r="H133" s="246">
        <f t="shared" si="4"/>
        <v>0</v>
      </c>
      <c r="I133" s="247">
        <f t="shared" si="5"/>
        <v>0</v>
      </c>
      <c r="J133" s="246">
        <f t="shared" si="6"/>
        <v>0</v>
      </c>
      <c r="K133" s="246"/>
      <c r="L133" s="246" t="str">
        <f t="shared" si="7"/>
        <v/>
      </c>
      <c r="M133" s="244"/>
    </row>
    <row r="134" spans="2:13" ht="18.5" x14ac:dyDescent="0.45">
      <c r="B134" s="244" t="str">
        <f>IF('HCC Data Entry'!B129="","",'HCC Data Entry'!B129)</f>
        <v>Girard School District</v>
      </c>
      <c r="C134" s="244">
        <f>IF('HCC Data Entry'!C129="","",'HCC Data Entry'!C129)</f>
        <v>28864055</v>
      </c>
      <c r="D134" s="244" t="str">
        <f>IF('HCC Data Entry'!D129="","",'HCC Data Entry'!D129)</f>
        <v>Active</v>
      </c>
      <c r="E134" s="244" t="str">
        <f>IF('HCC Data Entry'!E129="","",'HCC Data Entry'!E129)</f>
        <v>Child</v>
      </c>
      <c r="F134" s="246">
        <f>IF('HCC Data Entry'!F129="","",'HCC Data Entry'!F129)</f>
        <v>37074.43</v>
      </c>
      <c r="G134" s="246">
        <f>IFERROR(INDEX('HCC Data Entry'!$J$4:$J$22, MATCH('HCC Detail'!$B134,'HCC Data Entry'!$I$4:$I$22,0)),"")</f>
        <v>68000</v>
      </c>
      <c r="H134" s="246">
        <f t="shared" si="4"/>
        <v>0</v>
      </c>
      <c r="I134" s="247">
        <f t="shared" si="5"/>
        <v>0</v>
      </c>
      <c r="J134" s="246">
        <f t="shared" si="6"/>
        <v>0</v>
      </c>
      <c r="K134" s="246"/>
      <c r="L134" s="246" t="str">
        <f t="shared" si="7"/>
        <v/>
      </c>
      <c r="M134" s="244"/>
    </row>
    <row r="135" spans="2:13" ht="18.5" x14ac:dyDescent="0.45">
      <c r="B135" s="244" t="str">
        <f>IF('HCC Data Entry'!B130="","",'HCC Data Entry'!B130)</f>
        <v>Girard School District</v>
      </c>
      <c r="C135" s="244">
        <f>IF('HCC Data Entry'!C130="","",'HCC Data Entry'!C130)</f>
        <v>28880956</v>
      </c>
      <c r="D135" s="244" t="str">
        <f>IF('HCC Data Entry'!D130="","",'HCC Data Entry'!D130)</f>
        <v>Active</v>
      </c>
      <c r="E135" s="244" t="str">
        <f>IF('HCC Data Entry'!E130="","",'HCC Data Entry'!E130)</f>
        <v>Child</v>
      </c>
      <c r="F135" s="246">
        <f>IF('HCC Data Entry'!F130="","",'HCC Data Entry'!F130)</f>
        <v>35449.89</v>
      </c>
      <c r="G135" s="246">
        <f>IFERROR(INDEX('HCC Data Entry'!$J$4:$J$22, MATCH('HCC Detail'!$B135,'HCC Data Entry'!$I$4:$I$22,0)),"")</f>
        <v>68000</v>
      </c>
      <c r="H135" s="246">
        <f t="shared" si="4"/>
        <v>0</v>
      </c>
      <c r="I135" s="247">
        <f t="shared" si="5"/>
        <v>0</v>
      </c>
      <c r="J135" s="246">
        <f t="shared" si="6"/>
        <v>0</v>
      </c>
      <c r="K135" s="246"/>
      <c r="L135" s="246" t="str">
        <f t="shared" si="7"/>
        <v/>
      </c>
      <c r="M135" s="244"/>
    </row>
    <row r="136" spans="2:13" ht="18.5" x14ac:dyDescent="0.45">
      <c r="B136" s="244" t="str">
        <f>IF('HCC Data Entry'!B131="","",'HCC Data Entry'!B131)</f>
        <v>Girard School District</v>
      </c>
      <c r="C136" s="244">
        <f>IF('HCC Data Entry'!C131="","",'HCC Data Entry'!C131)</f>
        <v>13585095</v>
      </c>
      <c r="D136" s="244" t="str">
        <f>IF('HCC Data Entry'!D131="","",'HCC Data Entry'!D131)</f>
        <v>Active</v>
      </c>
      <c r="E136" s="244" t="str">
        <f>IF('HCC Data Entry'!E131="","",'HCC Data Entry'!E131)</f>
        <v>Self</v>
      </c>
      <c r="F136" s="246">
        <f>IF('HCC Data Entry'!F131="","",'HCC Data Entry'!F131)</f>
        <v>32712.73</v>
      </c>
      <c r="G136" s="246">
        <f>IFERROR(INDEX('HCC Data Entry'!$J$4:$J$22, MATCH('HCC Detail'!$B136,'HCC Data Entry'!$I$4:$I$22,0)),"")</f>
        <v>68000</v>
      </c>
      <c r="H136" s="246">
        <f t="shared" si="4"/>
        <v>0</v>
      </c>
      <c r="I136" s="247">
        <f t="shared" si="5"/>
        <v>0</v>
      </c>
      <c r="J136" s="246">
        <f t="shared" si="6"/>
        <v>0</v>
      </c>
      <c r="K136" s="246"/>
      <c r="L136" s="246" t="str">
        <f t="shared" si="7"/>
        <v/>
      </c>
      <c r="M136" s="244"/>
    </row>
    <row r="137" spans="2:13" ht="18.5" x14ac:dyDescent="0.45">
      <c r="B137" s="244" t="str">
        <f>IF('HCC Data Entry'!B132="","",'HCC Data Entry'!B132)</f>
        <v>Girard School District</v>
      </c>
      <c r="C137" s="244">
        <f>IF('HCC Data Entry'!C132="","",'HCC Data Entry'!C132)</f>
        <v>28918974</v>
      </c>
      <c r="D137" s="244" t="str">
        <f>IF('HCC Data Entry'!D132="","",'HCC Data Entry'!D132)</f>
        <v>Active</v>
      </c>
      <c r="E137" s="244" t="str">
        <f>IF('HCC Data Entry'!E132="","",'HCC Data Entry'!E132)</f>
        <v>Child</v>
      </c>
      <c r="F137" s="246">
        <f>IF('HCC Data Entry'!F132="","",'HCC Data Entry'!F132)</f>
        <v>27935.919999999998</v>
      </c>
      <c r="G137" s="246">
        <f>IFERROR(INDEX('HCC Data Entry'!$J$4:$J$22, MATCH('HCC Detail'!$B137,'HCC Data Entry'!$I$4:$I$22,0)),"")</f>
        <v>68000</v>
      </c>
      <c r="H137" s="246">
        <f t="shared" si="4"/>
        <v>0</v>
      </c>
      <c r="I137" s="247">
        <f t="shared" si="5"/>
        <v>0</v>
      </c>
      <c r="J137" s="246">
        <f t="shared" si="6"/>
        <v>0</v>
      </c>
      <c r="K137" s="246"/>
      <c r="L137" s="246" t="str">
        <f t="shared" si="7"/>
        <v/>
      </c>
      <c r="M137" s="244"/>
    </row>
    <row r="138" spans="2:13" ht="18.5" x14ac:dyDescent="0.45">
      <c r="B138" s="244" t="str">
        <f>IF('HCC Data Entry'!B133="","",'HCC Data Entry'!B133)</f>
        <v>Girard School District</v>
      </c>
      <c r="C138" s="244">
        <f>IF('HCC Data Entry'!C133="","",'HCC Data Entry'!C133)</f>
        <v>28880195</v>
      </c>
      <c r="D138" s="244" t="str">
        <f>IF('HCC Data Entry'!D133="","",'HCC Data Entry'!D133)</f>
        <v>Active</v>
      </c>
      <c r="E138" s="244" t="str">
        <f>IF('HCC Data Entry'!E133="","",'HCC Data Entry'!E133)</f>
        <v>Child</v>
      </c>
      <c r="F138" s="246">
        <f>IF('HCC Data Entry'!F133="","",'HCC Data Entry'!F133)</f>
        <v>26895.52</v>
      </c>
      <c r="G138" s="246">
        <f>IFERROR(INDEX('HCC Data Entry'!$J$4:$J$22, MATCH('HCC Detail'!$B138,'HCC Data Entry'!$I$4:$I$22,0)),"")</f>
        <v>68000</v>
      </c>
      <c r="H138" s="246">
        <f t="shared" ref="H138:H200" si="8">IF(B138="","",IF(G138="Unknown", "", IF(F138&gt;G138,F138-G138,0)))</f>
        <v>0</v>
      </c>
      <c r="I138" s="247">
        <f t="shared" ref="I138:I200" si="9">IF(H138="","",IF(H138=0,0, IF(F138&gt;$O$4,($O$4-G138),H138)))</f>
        <v>0</v>
      </c>
      <c r="J138" s="246">
        <f t="shared" ref="J138:J200" si="10">IF(I138="","",IF(I138=0,0,IF(F138&gt;$O$4,F138-$O$4,0)))</f>
        <v>0</v>
      </c>
      <c r="K138" s="246"/>
      <c r="L138" s="246" t="str">
        <f t="shared" ref="L138:L200" si="11">IF(K138="","",IF(K138=0,0,J138-K138))</f>
        <v/>
      </c>
      <c r="M138" s="244"/>
    </row>
    <row r="139" spans="2:13" ht="18.5" x14ac:dyDescent="0.45">
      <c r="B139" s="244" t="str">
        <f>IF('HCC Data Entry'!B134="","",'HCC Data Entry'!B134)</f>
        <v>Girard School District</v>
      </c>
      <c r="C139" s="244">
        <f>IF('HCC Data Entry'!C134="","",'HCC Data Entry'!C134)</f>
        <v>28902616</v>
      </c>
      <c r="D139" s="244" t="str">
        <f>IF('HCC Data Entry'!D134="","",'HCC Data Entry'!D134)</f>
        <v>Active</v>
      </c>
      <c r="E139" s="244" t="str">
        <f>IF('HCC Data Entry'!E134="","",'HCC Data Entry'!E134)</f>
        <v>Child</v>
      </c>
      <c r="F139" s="246">
        <f>IF('HCC Data Entry'!F134="","",'HCC Data Entry'!F134)</f>
        <v>26879.75</v>
      </c>
      <c r="G139" s="246">
        <f>IFERROR(INDEX('HCC Data Entry'!$J$4:$J$22, MATCH('HCC Detail'!$B139,'HCC Data Entry'!$I$4:$I$22,0)),"")</f>
        <v>68000</v>
      </c>
      <c r="H139" s="246">
        <f t="shared" si="8"/>
        <v>0</v>
      </c>
      <c r="I139" s="247">
        <f t="shared" si="9"/>
        <v>0</v>
      </c>
      <c r="J139" s="246">
        <f t="shared" si="10"/>
        <v>0</v>
      </c>
      <c r="K139" s="246"/>
      <c r="L139" s="246" t="str">
        <f t="shared" si="11"/>
        <v/>
      </c>
      <c r="M139" s="244"/>
    </row>
    <row r="140" spans="2:13" ht="18.5" x14ac:dyDescent="0.45">
      <c r="B140" s="244" t="str">
        <f>IF('HCC Data Entry'!B135="","",'HCC Data Entry'!B135)</f>
        <v>Harborcreek School District</v>
      </c>
      <c r="C140" s="244">
        <f>IF('HCC Data Entry'!C135="","",'HCC Data Entry'!C135)</f>
        <v>28859458</v>
      </c>
      <c r="D140" s="244" t="str">
        <f>IF('HCC Data Entry'!D135="","",'HCC Data Entry'!D135)</f>
        <v>Active</v>
      </c>
      <c r="E140" s="244" t="str">
        <f>IF('HCC Data Entry'!E135="","",'HCC Data Entry'!E135)</f>
        <v>Spouse</v>
      </c>
      <c r="F140" s="246">
        <f>IF('HCC Data Entry'!F135="","",'HCC Data Entry'!F135)</f>
        <v>449444.15</v>
      </c>
      <c r="G140" s="246">
        <f>IFERROR(INDEX('HCC Data Entry'!$J$4:$J$22, MATCH('HCC Detail'!$B140,'HCC Data Entry'!$I$4:$I$22,0)),"")</f>
        <v>68000</v>
      </c>
      <c r="H140" s="246">
        <f t="shared" si="8"/>
        <v>381444.15</v>
      </c>
      <c r="I140" s="247">
        <f t="shared" si="9"/>
        <v>232000</v>
      </c>
      <c r="J140" s="246">
        <f t="shared" si="10"/>
        <v>149444.15000000002</v>
      </c>
      <c r="K140" s="246"/>
      <c r="L140" s="246" t="str">
        <f t="shared" si="11"/>
        <v/>
      </c>
      <c r="M140" s="244"/>
    </row>
    <row r="141" spans="2:13" ht="18.5" x14ac:dyDescent="0.45">
      <c r="B141" s="244" t="str">
        <f>IF('HCC Data Entry'!B136="","",'HCC Data Entry'!B136)</f>
        <v>Harborcreek School District</v>
      </c>
      <c r="C141" s="244">
        <f>IF('HCC Data Entry'!C136="","",'HCC Data Entry'!C136)</f>
        <v>13575653</v>
      </c>
      <c r="D141" s="244" t="str">
        <f>IF('HCC Data Entry'!D136="","",'HCC Data Entry'!D136)</f>
        <v>Active</v>
      </c>
      <c r="E141" s="244" t="str">
        <f>IF('HCC Data Entry'!E136="","",'HCC Data Entry'!E136)</f>
        <v>Self</v>
      </c>
      <c r="F141" s="246">
        <f>IF('HCC Data Entry'!F136="","",'HCC Data Entry'!F136)</f>
        <v>209730.99</v>
      </c>
      <c r="G141" s="246">
        <f>IFERROR(INDEX('HCC Data Entry'!$J$4:$J$22, MATCH('HCC Detail'!$B141,'HCC Data Entry'!$I$4:$I$22,0)),"")</f>
        <v>68000</v>
      </c>
      <c r="H141" s="246">
        <f t="shared" si="8"/>
        <v>141730.99</v>
      </c>
      <c r="I141" s="247">
        <f t="shared" si="9"/>
        <v>141730.99</v>
      </c>
      <c r="J141" s="246">
        <f t="shared" si="10"/>
        <v>0</v>
      </c>
      <c r="K141" s="246"/>
      <c r="L141" s="246" t="str">
        <f t="shared" si="11"/>
        <v/>
      </c>
      <c r="M141" s="244"/>
    </row>
    <row r="142" spans="2:13" ht="18.5" x14ac:dyDescent="0.45">
      <c r="B142" s="244" t="str">
        <f>IF('HCC Data Entry'!B137="","",'HCC Data Entry'!B137)</f>
        <v>Harborcreek School District</v>
      </c>
      <c r="C142" s="244">
        <f>IF('HCC Data Entry'!C137="","",'HCC Data Entry'!C137)</f>
        <v>29033259</v>
      </c>
      <c r="D142" s="244" t="str">
        <f>IF('HCC Data Entry'!D137="","",'HCC Data Entry'!D137)</f>
        <v>Active</v>
      </c>
      <c r="E142" s="244" t="str">
        <f>IF('HCC Data Entry'!E137="","",'HCC Data Entry'!E137)</f>
        <v>Spouse</v>
      </c>
      <c r="F142" s="246">
        <f>IF('HCC Data Entry'!F137="","",'HCC Data Entry'!F137)</f>
        <v>192222.69</v>
      </c>
      <c r="G142" s="246">
        <f>IFERROR(INDEX('HCC Data Entry'!$J$4:$J$22, MATCH('HCC Detail'!$B142,'HCC Data Entry'!$I$4:$I$22,0)),"")</f>
        <v>68000</v>
      </c>
      <c r="H142" s="246">
        <f t="shared" si="8"/>
        <v>124222.69</v>
      </c>
      <c r="I142" s="247">
        <f t="shared" si="9"/>
        <v>124222.69</v>
      </c>
      <c r="J142" s="246">
        <f t="shared" si="10"/>
        <v>0</v>
      </c>
      <c r="K142" s="246"/>
      <c r="L142" s="246" t="str">
        <f t="shared" si="11"/>
        <v/>
      </c>
      <c r="M142" s="244"/>
    </row>
    <row r="143" spans="2:13" ht="18.5" x14ac:dyDescent="0.45">
      <c r="B143" s="244" t="str">
        <f>IF('HCC Data Entry'!B138="","",'HCC Data Entry'!B138)</f>
        <v>Harborcreek School District</v>
      </c>
      <c r="C143" s="244">
        <f>IF('HCC Data Entry'!C138="","",'HCC Data Entry'!C138)</f>
        <v>28875137</v>
      </c>
      <c r="D143" s="244" t="str">
        <f>IF('HCC Data Entry'!D138="","",'HCC Data Entry'!D138)</f>
        <v>Active</v>
      </c>
      <c r="E143" s="244" t="str">
        <f>IF('HCC Data Entry'!E138="","",'HCC Data Entry'!E138)</f>
        <v>Spouse</v>
      </c>
      <c r="F143" s="246">
        <f>IF('HCC Data Entry'!F138="","",'HCC Data Entry'!F138)</f>
        <v>166857.76</v>
      </c>
      <c r="G143" s="246">
        <f>IFERROR(INDEX('HCC Data Entry'!$J$4:$J$22, MATCH('HCC Detail'!$B143,'HCC Data Entry'!$I$4:$I$22,0)),"")</f>
        <v>68000</v>
      </c>
      <c r="H143" s="246">
        <f t="shared" si="8"/>
        <v>98857.760000000009</v>
      </c>
      <c r="I143" s="247">
        <f t="shared" si="9"/>
        <v>98857.760000000009</v>
      </c>
      <c r="J143" s="246">
        <f t="shared" si="10"/>
        <v>0</v>
      </c>
      <c r="K143" s="246"/>
      <c r="L143" s="246" t="str">
        <f t="shared" si="11"/>
        <v/>
      </c>
      <c r="M143" s="244"/>
    </row>
    <row r="144" spans="2:13" ht="18.5" x14ac:dyDescent="0.45">
      <c r="B144" s="244" t="str">
        <f>IF('HCC Data Entry'!B139="","",'HCC Data Entry'!B139)</f>
        <v>Harborcreek School District</v>
      </c>
      <c r="C144" s="244">
        <f>IF('HCC Data Entry'!C139="","",'HCC Data Entry'!C139)</f>
        <v>13591064</v>
      </c>
      <c r="D144" s="244" t="str">
        <f>IF('HCC Data Entry'!D139="","",'HCC Data Entry'!D139)</f>
        <v>Active</v>
      </c>
      <c r="E144" s="244" t="str">
        <f>IF('HCC Data Entry'!E139="","",'HCC Data Entry'!E139)</f>
        <v>Self</v>
      </c>
      <c r="F144" s="246">
        <f>IF('HCC Data Entry'!F139="","",'HCC Data Entry'!F139)</f>
        <v>137822.63</v>
      </c>
      <c r="G144" s="246">
        <f>IFERROR(INDEX('HCC Data Entry'!$J$4:$J$22, MATCH('HCC Detail'!$B144,'HCC Data Entry'!$I$4:$I$22,0)),"")</f>
        <v>68000</v>
      </c>
      <c r="H144" s="246">
        <f t="shared" si="8"/>
        <v>69822.63</v>
      </c>
      <c r="I144" s="247">
        <f t="shared" si="9"/>
        <v>69822.63</v>
      </c>
      <c r="J144" s="246">
        <f t="shared" si="10"/>
        <v>0</v>
      </c>
      <c r="K144" s="246"/>
      <c r="L144" s="246" t="str">
        <f t="shared" si="11"/>
        <v/>
      </c>
      <c r="M144" s="244"/>
    </row>
    <row r="145" spans="2:13" ht="18.5" x14ac:dyDescent="0.45">
      <c r="B145" s="244" t="str">
        <f>IF('HCC Data Entry'!B140="","",'HCC Data Entry'!B140)</f>
        <v>Harborcreek School District</v>
      </c>
      <c r="C145" s="244">
        <f>IF('HCC Data Entry'!C140="","",'HCC Data Entry'!C140)</f>
        <v>28839418</v>
      </c>
      <c r="D145" s="244" t="str">
        <f>IF('HCC Data Entry'!D140="","",'HCC Data Entry'!D140)</f>
        <v>Active</v>
      </c>
      <c r="E145" s="244" t="str">
        <f>IF('HCC Data Entry'!E140="","",'HCC Data Entry'!E140)</f>
        <v>Spouse</v>
      </c>
      <c r="F145" s="246">
        <f>IF('HCC Data Entry'!F140="","",'HCC Data Entry'!F140)</f>
        <v>118384.74</v>
      </c>
      <c r="G145" s="246">
        <f>IFERROR(INDEX('HCC Data Entry'!$J$4:$J$22, MATCH('HCC Detail'!$B145,'HCC Data Entry'!$I$4:$I$22,0)),"")</f>
        <v>68000</v>
      </c>
      <c r="H145" s="246">
        <f t="shared" si="8"/>
        <v>50384.740000000005</v>
      </c>
      <c r="I145" s="247">
        <f t="shared" si="9"/>
        <v>50384.740000000005</v>
      </c>
      <c r="J145" s="246">
        <f t="shared" si="10"/>
        <v>0</v>
      </c>
      <c r="K145" s="246"/>
      <c r="L145" s="246" t="str">
        <f t="shared" si="11"/>
        <v/>
      </c>
      <c r="M145" s="244"/>
    </row>
    <row r="146" spans="2:13" ht="18.5" x14ac:dyDescent="0.45">
      <c r="B146" s="244" t="str">
        <f>IF('HCC Data Entry'!B141="","",'HCC Data Entry'!B141)</f>
        <v>Harborcreek School District</v>
      </c>
      <c r="C146" s="244">
        <f>IF('HCC Data Entry'!C141="","",'HCC Data Entry'!C141)</f>
        <v>13589324</v>
      </c>
      <c r="D146" s="244" t="str">
        <f>IF('HCC Data Entry'!D141="","",'HCC Data Entry'!D141)</f>
        <v>Active</v>
      </c>
      <c r="E146" s="244" t="str">
        <f>IF('HCC Data Entry'!E141="","",'HCC Data Entry'!E141)</f>
        <v>Self</v>
      </c>
      <c r="F146" s="246">
        <f>IF('HCC Data Entry'!F141="","",'HCC Data Entry'!F141)</f>
        <v>112179.97</v>
      </c>
      <c r="G146" s="246">
        <f>IFERROR(INDEX('HCC Data Entry'!$J$4:$J$22, MATCH('HCC Detail'!$B146,'HCC Data Entry'!$I$4:$I$22,0)),"")</f>
        <v>68000</v>
      </c>
      <c r="H146" s="246">
        <f t="shared" si="8"/>
        <v>44179.97</v>
      </c>
      <c r="I146" s="247">
        <f t="shared" si="9"/>
        <v>44179.97</v>
      </c>
      <c r="J146" s="246">
        <f t="shared" si="10"/>
        <v>0</v>
      </c>
      <c r="K146" s="246"/>
      <c r="L146" s="246" t="str">
        <f t="shared" si="11"/>
        <v/>
      </c>
      <c r="M146" s="244"/>
    </row>
    <row r="147" spans="2:13" ht="18.5" x14ac:dyDescent="0.45">
      <c r="B147" s="244" t="str">
        <f>IF('HCC Data Entry'!B142="","",'HCC Data Entry'!B142)</f>
        <v>Harborcreek School District</v>
      </c>
      <c r="C147" s="244">
        <f>IF('HCC Data Entry'!C142="","",'HCC Data Entry'!C142)</f>
        <v>28851848</v>
      </c>
      <c r="D147" s="244" t="str">
        <f>IF('HCC Data Entry'!D142="","",'HCC Data Entry'!D142)</f>
        <v>Active</v>
      </c>
      <c r="E147" s="244" t="str">
        <f>IF('HCC Data Entry'!E142="","",'HCC Data Entry'!E142)</f>
        <v>Spouse</v>
      </c>
      <c r="F147" s="246">
        <f>IF('HCC Data Entry'!F142="","",'HCC Data Entry'!F142)</f>
        <v>90120.37</v>
      </c>
      <c r="G147" s="246">
        <f>IFERROR(INDEX('HCC Data Entry'!$J$4:$J$22, MATCH('HCC Detail'!$B147,'HCC Data Entry'!$I$4:$I$22,0)),"")</f>
        <v>68000</v>
      </c>
      <c r="H147" s="246">
        <f t="shared" si="8"/>
        <v>22120.369999999995</v>
      </c>
      <c r="I147" s="247">
        <f t="shared" si="9"/>
        <v>22120.369999999995</v>
      </c>
      <c r="J147" s="246">
        <f t="shared" si="10"/>
        <v>0</v>
      </c>
      <c r="K147" s="246"/>
      <c r="L147" s="246" t="str">
        <f t="shared" si="11"/>
        <v/>
      </c>
      <c r="M147" s="244"/>
    </row>
    <row r="148" spans="2:13" ht="18.5" x14ac:dyDescent="0.45">
      <c r="B148" s="244" t="str">
        <f>IF('HCC Data Entry'!B143="","",'HCC Data Entry'!B143)</f>
        <v>Harborcreek School District</v>
      </c>
      <c r="C148" s="244">
        <f>IF('HCC Data Entry'!C143="","",'HCC Data Entry'!C143)</f>
        <v>28837693</v>
      </c>
      <c r="D148" s="244" t="str">
        <f>IF('HCC Data Entry'!D143="","",'HCC Data Entry'!D143)</f>
        <v>Active</v>
      </c>
      <c r="E148" s="244" t="str">
        <f>IF('HCC Data Entry'!E143="","",'HCC Data Entry'!E143)</f>
        <v>Spouse</v>
      </c>
      <c r="F148" s="246">
        <f>IF('HCC Data Entry'!F143="","",'HCC Data Entry'!F143)</f>
        <v>82614.22</v>
      </c>
      <c r="G148" s="246">
        <f>IFERROR(INDEX('HCC Data Entry'!$J$4:$J$22, MATCH('HCC Detail'!$B148,'HCC Data Entry'!$I$4:$I$22,0)),"")</f>
        <v>68000</v>
      </c>
      <c r="H148" s="246">
        <f t="shared" si="8"/>
        <v>14614.220000000001</v>
      </c>
      <c r="I148" s="247">
        <f t="shared" si="9"/>
        <v>14614.220000000001</v>
      </c>
      <c r="J148" s="246">
        <f t="shared" si="10"/>
        <v>0</v>
      </c>
      <c r="K148" s="246"/>
      <c r="L148" s="246" t="str">
        <f t="shared" si="11"/>
        <v/>
      </c>
      <c r="M148" s="244"/>
    </row>
    <row r="149" spans="2:13" ht="18.5" x14ac:dyDescent="0.45">
      <c r="B149" s="244" t="str">
        <f>IF('HCC Data Entry'!B144="","",'HCC Data Entry'!B144)</f>
        <v>Harborcreek School District</v>
      </c>
      <c r="C149" s="244">
        <f>IF('HCC Data Entry'!C144="","",'HCC Data Entry'!C144)</f>
        <v>13578386</v>
      </c>
      <c r="D149" s="244" t="str">
        <f>IF('HCC Data Entry'!D144="","",'HCC Data Entry'!D144)</f>
        <v>Active</v>
      </c>
      <c r="E149" s="244" t="str">
        <f>IF('HCC Data Entry'!E144="","",'HCC Data Entry'!E144)</f>
        <v>Self</v>
      </c>
      <c r="F149" s="246">
        <f>IF('HCC Data Entry'!F144="","",'HCC Data Entry'!F144)</f>
        <v>77998.559999999998</v>
      </c>
      <c r="G149" s="246">
        <f>IFERROR(INDEX('HCC Data Entry'!$J$4:$J$22, MATCH('HCC Detail'!$B149,'HCC Data Entry'!$I$4:$I$22,0)),"")</f>
        <v>68000</v>
      </c>
      <c r="H149" s="246">
        <f t="shared" si="8"/>
        <v>9998.5599999999977</v>
      </c>
      <c r="I149" s="247">
        <f t="shared" si="9"/>
        <v>9998.5599999999977</v>
      </c>
      <c r="J149" s="246">
        <f t="shared" si="10"/>
        <v>0</v>
      </c>
      <c r="K149" s="246"/>
      <c r="L149" s="246" t="str">
        <f t="shared" si="11"/>
        <v/>
      </c>
      <c r="M149" s="244"/>
    </row>
    <row r="150" spans="2:13" ht="18.5" x14ac:dyDescent="0.45">
      <c r="B150" s="244" t="str">
        <f>IF('HCC Data Entry'!B145="","",'HCC Data Entry'!B145)</f>
        <v>Harborcreek School District</v>
      </c>
      <c r="C150" s="244">
        <f>IF('HCC Data Entry'!C145="","",'HCC Data Entry'!C145)</f>
        <v>28870874</v>
      </c>
      <c r="D150" s="244" t="str">
        <f>IF('HCC Data Entry'!D145="","",'HCC Data Entry'!D145)</f>
        <v>Active</v>
      </c>
      <c r="E150" s="244" t="str">
        <f>IF('HCC Data Entry'!E145="","",'HCC Data Entry'!E145)</f>
        <v>Child</v>
      </c>
      <c r="F150" s="246">
        <f>IF('HCC Data Entry'!F145="","",'HCC Data Entry'!F145)</f>
        <v>71420.83</v>
      </c>
      <c r="G150" s="246">
        <f>IFERROR(INDEX('HCC Data Entry'!$J$4:$J$22, MATCH('HCC Detail'!$B150,'HCC Data Entry'!$I$4:$I$22,0)),"")</f>
        <v>68000</v>
      </c>
      <c r="H150" s="246">
        <f t="shared" si="8"/>
        <v>3420.8300000000017</v>
      </c>
      <c r="I150" s="247">
        <f t="shared" si="9"/>
        <v>3420.8300000000017</v>
      </c>
      <c r="J150" s="246">
        <f t="shared" si="10"/>
        <v>0</v>
      </c>
      <c r="K150" s="246"/>
      <c r="L150" s="246" t="str">
        <f t="shared" si="11"/>
        <v/>
      </c>
      <c r="M150" s="244"/>
    </row>
    <row r="151" spans="2:13" ht="18.5" x14ac:dyDescent="0.45">
      <c r="B151" s="244" t="str">
        <f>IF('HCC Data Entry'!B146="","",'HCC Data Entry'!B146)</f>
        <v>Harborcreek School District</v>
      </c>
      <c r="C151" s="244">
        <f>IF('HCC Data Entry'!C146="","",'HCC Data Entry'!C146)</f>
        <v>13585337</v>
      </c>
      <c r="D151" s="244" t="str">
        <f>IF('HCC Data Entry'!D146="","",'HCC Data Entry'!D146)</f>
        <v>Active</v>
      </c>
      <c r="E151" s="244" t="str">
        <f>IF('HCC Data Entry'!E146="","",'HCC Data Entry'!E146)</f>
        <v>Self</v>
      </c>
      <c r="F151" s="246">
        <f>IF('HCC Data Entry'!F146="","",'HCC Data Entry'!F146)</f>
        <v>59918.43</v>
      </c>
      <c r="G151" s="246">
        <f>IFERROR(INDEX('HCC Data Entry'!$J$4:$J$22, MATCH('HCC Detail'!$B151,'HCC Data Entry'!$I$4:$I$22,0)),"")</f>
        <v>68000</v>
      </c>
      <c r="H151" s="246">
        <f t="shared" si="8"/>
        <v>0</v>
      </c>
      <c r="I151" s="247">
        <f t="shared" si="9"/>
        <v>0</v>
      </c>
      <c r="J151" s="246">
        <f t="shared" si="10"/>
        <v>0</v>
      </c>
      <c r="K151" s="246"/>
      <c r="L151" s="246" t="str">
        <f t="shared" si="11"/>
        <v/>
      </c>
      <c r="M151" s="244"/>
    </row>
    <row r="152" spans="2:13" ht="18.5" x14ac:dyDescent="0.45">
      <c r="B152" s="244" t="str">
        <f>IF('HCC Data Entry'!B147="","",'HCC Data Entry'!B147)</f>
        <v>Harborcreek School District</v>
      </c>
      <c r="C152" s="244">
        <f>IF('HCC Data Entry'!C147="","",'HCC Data Entry'!C147)</f>
        <v>28874350</v>
      </c>
      <c r="D152" s="244" t="str">
        <f>IF('HCC Data Entry'!D147="","",'HCC Data Entry'!D147)</f>
        <v>Active</v>
      </c>
      <c r="E152" s="244" t="str">
        <f>IF('HCC Data Entry'!E147="","",'HCC Data Entry'!E147)</f>
        <v>Spouse</v>
      </c>
      <c r="F152" s="246">
        <f>IF('HCC Data Entry'!F147="","",'HCC Data Entry'!F147)</f>
        <v>56169.18</v>
      </c>
      <c r="G152" s="246">
        <f>IFERROR(INDEX('HCC Data Entry'!$J$4:$J$22, MATCH('HCC Detail'!$B152,'HCC Data Entry'!$I$4:$I$22,0)),"")</f>
        <v>68000</v>
      </c>
      <c r="H152" s="246">
        <f t="shared" si="8"/>
        <v>0</v>
      </c>
      <c r="I152" s="247">
        <f t="shared" si="9"/>
        <v>0</v>
      </c>
      <c r="J152" s="246">
        <f t="shared" si="10"/>
        <v>0</v>
      </c>
      <c r="K152" s="246"/>
      <c r="L152" s="246" t="str">
        <f t="shared" si="11"/>
        <v/>
      </c>
      <c r="M152" s="244"/>
    </row>
    <row r="153" spans="2:13" ht="18.5" x14ac:dyDescent="0.45">
      <c r="B153" s="244" t="str">
        <f>IF('HCC Data Entry'!B148="","",'HCC Data Entry'!B148)</f>
        <v>Harborcreek School District</v>
      </c>
      <c r="C153" s="244">
        <f>IF('HCC Data Entry'!C148="","",'HCC Data Entry'!C148)</f>
        <v>28855962</v>
      </c>
      <c r="D153" s="244" t="str">
        <f>IF('HCC Data Entry'!D148="","",'HCC Data Entry'!D148)</f>
        <v>Active</v>
      </c>
      <c r="E153" s="244" t="str">
        <f>IF('HCC Data Entry'!E148="","",'HCC Data Entry'!E148)</f>
        <v>Spouse</v>
      </c>
      <c r="F153" s="246">
        <f>IF('HCC Data Entry'!F148="","",'HCC Data Entry'!F148)</f>
        <v>54599.33</v>
      </c>
      <c r="G153" s="246">
        <f>IFERROR(INDEX('HCC Data Entry'!$J$4:$J$22, MATCH('HCC Detail'!$B153,'HCC Data Entry'!$I$4:$I$22,0)),"")</f>
        <v>68000</v>
      </c>
      <c r="H153" s="246">
        <f t="shared" si="8"/>
        <v>0</v>
      </c>
      <c r="I153" s="247">
        <f t="shared" si="9"/>
        <v>0</v>
      </c>
      <c r="J153" s="246">
        <f t="shared" si="10"/>
        <v>0</v>
      </c>
      <c r="K153" s="246"/>
      <c r="L153" s="246" t="str">
        <f t="shared" si="11"/>
        <v/>
      </c>
      <c r="M153" s="244"/>
    </row>
    <row r="154" spans="2:13" ht="18.5" x14ac:dyDescent="0.45">
      <c r="B154" s="244" t="str">
        <f>IF('HCC Data Entry'!B149="","",'HCC Data Entry'!B149)</f>
        <v>Harborcreek School District</v>
      </c>
      <c r="C154" s="244">
        <f>IF('HCC Data Entry'!C149="","",'HCC Data Entry'!C149)</f>
        <v>28878482</v>
      </c>
      <c r="D154" s="244" t="str">
        <f>IF('HCC Data Entry'!D149="","",'HCC Data Entry'!D149)</f>
        <v>Active</v>
      </c>
      <c r="E154" s="244" t="str">
        <f>IF('HCC Data Entry'!E149="","",'HCC Data Entry'!E149)</f>
        <v>Spouse</v>
      </c>
      <c r="F154" s="246">
        <f>IF('HCC Data Entry'!F149="","",'HCC Data Entry'!F149)</f>
        <v>47640.82</v>
      </c>
      <c r="G154" s="246">
        <f>IFERROR(INDEX('HCC Data Entry'!$J$4:$J$22, MATCH('HCC Detail'!$B154,'HCC Data Entry'!$I$4:$I$22,0)),"")</f>
        <v>68000</v>
      </c>
      <c r="H154" s="246">
        <f t="shared" si="8"/>
        <v>0</v>
      </c>
      <c r="I154" s="247">
        <f t="shared" si="9"/>
        <v>0</v>
      </c>
      <c r="J154" s="246">
        <f t="shared" si="10"/>
        <v>0</v>
      </c>
      <c r="K154" s="246"/>
      <c r="L154" s="246" t="str">
        <f t="shared" si="11"/>
        <v/>
      </c>
      <c r="M154" s="244"/>
    </row>
    <row r="155" spans="2:13" ht="18.5" x14ac:dyDescent="0.45">
      <c r="B155" s="244" t="str">
        <f>IF('HCC Data Entry'!B150="","",'HCC Data Entry'!B150)</f>
        <v>Harborcreek School District</v>
      </c>
      <c r="C155" s="244">
        <f>IF('HCC Data Entry'!C150="","",'HCC Data Entry'!C150)</f>
        <v>28853797</v>
      </c>
      <c r="D155" s="244" t="str">
        <f>IF('HCC Data Entry'!D150="","",'HCC Data Entry'!D150)</f>
        <v>Active</v>
      </c>
      <c r="E155" s="244" t="str">
        <f>IF('HCC Data Entry'!E150="","",'HCC Data Entry'!E150)</f>
        <v>Spouse</v>
      </c>
      <c r="F155" s="246">
        <f>IF('HCC Data Entry'!F150="","",'HCC Data Entry'!F150)</f>
        <v>45059.25</v>
      </c>
      <c r="G155" s="246">
        <f>IFERROR(INDEX('HCC Data Entry'!$J$4:$J$22, MATCH('HCC Detail'!$B155,'HCC Data Entry'!$I$4:$I$22,0)),"")</f>
        <v>68000</v>
      </c>
      <c r="H155" s="246">
        <f t="shared" si="8"/>
        <v>0</v>
      </c>
      <c r="I155" s="247">
        <f t="shared" si="9"/>
        <v>0</v>
      </c>
      <c r="J155" s="246">
        <f t="shared" si="10"/>
        <v>0</v>
      </c>
      <c r="K155" s="246"/>
      <c r="L155" s="246" t="str">
        <f t="shared" si="11"/>
        <v/>
      </c>
      <c r="M155" s="244"/>
    </row>
    <row r="156" spans="2:13" ht="18.5" x14ac:dyDescent="0.45">
      <c r="B156" s="244" t="str">
        <f>IF('HCC Data Entry'!B151="","",'HCC Data Entry'!B151)</f>
        <v>Harborcreek School District</v>
      </c>
      <c r="C156" s="244">
        <f>IF('HCC Data Entry'!C151="","",'HCC Data Entry'!C151)</f>
        <v>28857772</v>
      </c>
      <c r="D156" s="244" t="str">
        <f>IF('HCC Data Entry'!D151="","",'HCC Data Entry'!D151)</f>
        <v>Active</v>
      </c>
      <c r="E156" s="244" t="str">
        <f>IF('HCC Data Entry'!E151="","",'HCC Data Entry'!E151)</f>
        <v>Child</v>
      </c>
      <c r="F156" s="246">
        <f>IF('HCC Data Entry'!F151="","",'HCC Data Entry'!F151)</f>
        <v>43083.4</v>
      </c>
      <c r="G156" s="246">
        <f>IFERROR(INDEX('HCC Data Entry'!$J$4:$J$22, MATCH('HCC Detail'!$B156,'HCC Data Entry'!$I$4:$I$22,0)),"")</f>
        <v>68000</v>
      </c>
      <c r="H156" s="246">
        <f t="shared" si="8"/>
        <v>0</v>
      </c>
      <c r="I156" s="247">
        <f t="shared" si="9"/>
        <v>0</v>
      </c>
      <c r="J156" s="246">
        <f t="shared" si="10"/>
        <v>0</v>
      </c>
      <c r="K156" s="246"/>
      <c r="L156" s="246" t="str">
        <f t="shared" si="11"/>
        <v/>
      </c>
      <c r="M156" s="244"/>
    </row>
    <row r="157" spans="2:13" ht="18.5" x14ac:dyDescent="0.45">
      <c r="B157" s="244" t="str">
        <f>IF('HCC Data Entry'!B152="","",'HCC Data Entry'!B152)</f>
        <v>Harborcreek School District</v>
      </c>
      <c r="C157" s="244">
        <f>IF('HCC Data Entry'!C152="","",'HCC Data Entry'!C152)</f>
        <v>13577968</v>
      </c>
      <c r="D157" s="244" t="str">
        <f>IF('HCC Data Entry'!D152="","",'HCC Data Entry'!D152)</f>
        <v>Active</v>
      </c>
      <c r="E157" s="244" t="str">
        <f>IF('HCC Data Entry'!E152="","",'HCC Data Entry'!E152)</f>
        <v>Self</v>
      </c>
      <c r="F157" s="246">
        <f>IF('HCC Data Entry'!F152="","",'HCC Data Entry'!F152)</f>
        <v>42574.94</v>
      </c>
      <c r="G157" s="246">
        <f>IFERROR(INDEX('HCC Data Entry'!$J$4:$J$22, MATCH('HCC Detail'!$B157,'HCC Data Entry'!$I$4:$I$22,0)),"")</f>
        <v>68000</v>
      </c>
      <c r="H157" s="246">
        <f t="shared" si="8"/>
        <v>0</v>
      </c>
      <c r="I157" s="247">
        <f t="shared" si="9"/>
        <v>0</v>
      </c>
      <c r="J157" s="246">
        <f t="shared" si="10"/>
        <v>0</v>
      </c>
      <c r="K157" s="246"/>
      <c r="L157" s="246" t="str">
        <f t="shared" si="11"/>
        <v/>
      </c>
      <c r="M157" s="244"/>
    </row>
    <row r="158" spans="2:13" ht="18.5" x14ac:dyDescent="0.45">
      <c r="B158" s="244" t="str">
        <f>IF('HCC Data Entry'!B153="","",'HCC Data Entry'!B153)</f>
        <v>Harborcreek School District</v>
      </c>
      <c r="C158" s="244">
        <f>IF('HCC Data Entry'!C153="","",'HCC Data Entry'!C153)</f>
        <v>13588575</v>
      </c>
      <c r="D158" s="244" t="str">
        <f>IF('HCC Data Entry'!D153="","",'HCC Data Entry'!D153)</f>
        <v>Retirees</v>
      </c>
      <c r="E158" s="244" t="str">
        <f>IF('HCC Data Entry'!E153="","",'HCC Data Entry'!E153)</f>
        <v>Self</v>
      </c>
      <c r="F158" s="246">
        <f>IF('HCC Data Entry'!F153="","",'HCC Data Entry'!F153)</f>
        <v>39379.49</v>
      </c>
      <c r="G158" s="246">
        <f>IFERROR(INDEX('HCC Data Entry'!$J$4:$J$22, MATCH('HCC Detail'!$B158,'HCC Data Entry'!$I$4:$I$22,0)),"")</f>
        <v>68000</v>
      </c>
      <c r="H158" s="246">
        <f t="shared" si="8"/>
        <v>0</v>
      </c>
      <c r="I158" s="247">
        <f t="shared" si="9"/>
        <v>0</v>
      </c>
      <c r="J158" s="246">
        <f t="shared" si="10"/>
        <v>0</v>
      </c>
      <c r="K158" s="246"/>
      <c r="L158" s="246" t="str">
        <f t="shared" si="11"/>
        <v/>
      </c>
      <c r="M158" s="244"/>
    </row>
    <row r="159" spans="2:13" ht="18.5" x14ac:dyDescent="0.45">
      <c r="B159" s="244" t="str">
        <f>IF('HCC Data Entry'!B154="","",'HCC Data Entry'!B154)</f>
        <v>Harborcreek School District</v>
      </c>
      <c r="C159" s="244">
        <f>IF('HCC Data Entry'!C154="","",'HCC Data Entry'!C154)</f>
        <v>28854110</v>
      </c>
      <c r="D159" s="244" t="str">
        <f>IF('HCC Data Entry'!D154="","",'HCC Data Entry'!D154)</f>
        <v>Active</v>
      </c>
      <c r="E159" s="244" t="str">
        <f>IF('HCC Data Entry'!E154="","",'HCC Data Entry'!E154)</f>
        <v>Spouse</v>
      </c>
      <c r="F159" s="246">
        <f>IF('HCC Data Entry'!F154="","",'HCC Data Entry'!F154)</f>
        <v>37060.1</v>
      </c>
      <c r="G159" s="246">
        <f>IFERROR(INDEX('HCC Data Entry'!$J$4:$J$22, MATCH('HCC Detail'!$B159,'HCC Data Entry'!$I$4:$I$22,0)),"")</f>
        <v>68000</v>
      </c>
      <c r="H159" s="246">
        <f t="shared" si="8"/>
        <v>0</v>
      </c>
      <c r="I159" s="247">
        <f t="shared" si="9"/>
        <v>0</v>
      </c>
      <c r="J159" s="246">
        <f t="shared" si="10"/>
        <v>0</v>
      </c>
      <c r="K159" s="246"/>
      <c r="L159" s="246" t="str">
        <f t="shared" si="11"/>
        <v/>
      </c>
      <c r="M159" s="244"/>
    </row>
    <row r="160" spans="2:13" ht="18.5" x14ac:dyDescent="0.45">
      <c r="B160" s="244" t="str">
        <f>IF('HCC Data Entry'!B155="","",'HCC Data Entry'!B155)</f>
        <v>Harborcreek School District</v>
      </c>
      <c r="C160" s="244">
        <f>IF('HCC Data Entry'!C155="","",'HCC Data Entry'!C155)</f>
        <v>13593002</v>
      </c>
      <c r="D160" s="244" t="str">
        <f>IF('HCC Data Entry'!D155="","",'HCC Data Entry'!D155)</f>
        <v>Active</v>
      </c>
      <c r="E160" s="244" t="str">
        <f>IF('HCC Data Entry'!E155="","",'HCC Data Entry'!E155)</f>
        <v>Self</v>
      </c>
      <c r="F160" s="246">
        <f>IF('HCC Data Entry'!F155="","",'HCC Data Entry'!F155)</f>
        <v>31595.11</v>
      </c>
      <c r="G160" s="246">
        <f>IFERROR(INDEX('HCC Data Entry'!$J$4:$J$22, MATCH('HCC Detail'!$B160,'HCC Data Entry'!$I$4:$I$22,0)),"")</f>
        <v>68000</v>
      </c>
      <c r="H160" s="246">
        <f t="shared" si="8"/>
        <v>0</v>
      </c>
      <c r="I160" s="247">
        <f t="shared" si="9"/>
        <v>0</v>
      </c>
      <c r="J160" s="246">
        <f t="shared" si="10"/>
        <v>0</v>
      </c>
      <c r="K160" s="246"/>
      <c r="L160" s="246" t="str">
        <f t="shared" si="11"/>
        <v/>
      </c>
      <c r="M160" s="244"/>
    </row>
    <row r="161" spans="2:13" ht="18.5" x14ac:dyDescent="0.45">
      <c r="B161" s="244" t="str">
        <f>IF('HCC Data Entry'!B156="","",'HCC Data Entry'!B156)</f>
        <v>Harborcreek School District</v>
      </c>
      <c r="C161" s="244">
        <f>IF('HCC Data Entry'!C156="","",'HCC Data Entry'!C156)</f>
        <v>28864070</v>
      </c>
      <c r="D161" s="244" t="str">
        <f>IF('HCC Data Entry'!D156="","",'HCC Data Entry'!D156)</f>
        <v>Active</v>
      </c>
      <c r="E161" s="244" t="str">
        <f>IF('HCC Data Entry'!E156="","",'HCC Data Entry'!E156)</f>
        <v>Child</v>
      </c>
      <c r="F161" s="246">
        <f>IF('HCC Data Entry'!F156="","",'HCC Data Entry'!F156)</f>
        <v>30783.91</v>
      </c>
      <c r="G161" s="246">
        <f>IFERROR(INDEX('HCC Data Entry'!$J$4:$J$22, MATCH('HCC Detail'!$B161,'HCC Data Entry'!$I$4:$I$22,0)),"")</f>
        <v>68000</v>
      </c>
      <c r="H161" s="246">
        <f t="shared" si="8"/>
        <v>0</v>
      </c>
      <c r="I161" s="247">
        <f t="shared" si="9"/>
        <v>0</v>
      </c>
      <c r="J161" s="246">
        <f t="shared" si="10"/>
        <v>0</v>
      </c>
      <c r="K161" s="246"/>
      <c r="L161" s="246" t="str">
        <f t="shared" si="11"/>
        <v/>
      </c>
      <c r="M161" s="244"/>
    </row>
    <row r="162" spans="2:13" ht="18.5" x14ac:dyDescent="0.45">
      <c r="B162" s="244" t="str">
        <f>IF('HCC Data Entry'!B157="","",'HCC Data Entry'!B157)</f>
        <v>Harborcreek School District</v>
      </c>
      <c r="C162" s="244">
        <f>IF('HCC Data Entry'!C157="","",'HCC Data Entry'!C157)</f>
        <v>13588163</v>
      </c>
      <c r="D162" s="244" t="str">
        <f>IF('HCC Data Entry'!D157="","",'HCC Data Entry'!D157)</f>
        <v>Active</v>
      </c>
      <c r="E162" s="244" t="str">
        <f>IF('HCC Data Entry'!E157="","",'HCC Data Entry'!E157)</f>
        <v>Self</v>
      </c>
      <c r="F162" s="246">
        <f>IF('HCC Data Entry'!F157="","",'HCC Data Entry'!F157)</f>
        <v>30077.46</v>
      </c>
      <c r="G162" s="246">
        <f>IFERROR(INDEX('HCC Data Entry'!$J$4:$J$22, MATCH('HCC Detail'!$B162,'HCC Data Entry'!$I$4:$I$22,0)),"")</f>
        <v>68000</v>
      </c>
      <c r="H162" s="246">
        <f t="shared" si="8"/>
        <v>0</v>
      </c>
      <c r="I162" s="247">
        <f t="shared" si="9"/>
        <v>0</v>
      </c>
      <c r="J162" s="246">
        <f t="shared" si="10"/>
        <v>0</v>
      </c>
      <c r="K162" s="246"/>
      <c r="L162" s="246" t="str">
        <f t="shared" si="11"/>
        <v/>
      </c>
      <c r="M162" s="244"/>
    </row>
    <row r="163" spans="2:13" ht="18.5" x14ac:dyDescent="0.45">
      <c r="B163" s="244" t="str">
        <f>IF('HCC Data Entry'!B158="","",'HCC Data Entry'!B158)</f>
        <v>Harborcreek School District</v>
      </c>
      <c r="C163" s="244">
        <f>IF('HCC Data Entry'!C158="","",'HCC Data Entry'!C158)</f>
        <v>13582189</v>
      </c>
      <c r="D163" s="244" t="str">
        <f>IF('HCC Data Entry'!D158="","",'HCC Data Entry'!D158)</f>
        <v>Active</v>
      </c>
      <c r="E163" s="244" t="str">
        <f>IF('HCC Data Entry'!E158="","",'HCC Data Entry'!E158)</f>
        <v>Self</v>
      </c>
      <c r="F163" s="246">
        <f>IF('HCC Data Entry'!F158="","",'HCC Data Entry'!F158)</f>
        <v>27616.76</v>
      </c>
      <c r="G163" s="246">
        <f>IFERROR(INDEX('HCC Data Entry'!$J$4:$J$22, MATCH('HCC Detail'!$B163,'HCC Data Entry'!$I$4:$I$22,0)),"")</f>
        <v>68000</v>
      </c>
      <c r="H163" s="246">
        <f t="shared" si="8"/>
        <v>0</v>
      </c>
      <c r="I163" s="247">
        <f t="shared" si="9"/>
        <v>0</v>
      </c>
      <c r="J163" s="246">
        <f t="shared" si="10"/>
        <v>0</v>
      </c>
      <c r="K163" s="246"/>
      <c r="L163" s="246" t="str">
        <f t="shared" si="11"/>
        <v/>
      </c>
      <c r="M163" s="244"/>
    </row>
    <row r="164" spans="2:13" ht="18.5" x14ac:dyDescent="0.45">
      <c r="B164" s="244" t="str">
        <f>IF('HCC Data Entry'!B159="","",'HCC Data Entry'!B159)</f>
        <v>Harborcreek School District</v>
      </c>
      <c r="C164" s="244">
        <f>IF('HCC Data Entry'!C159="","",'HCC Data Entry'!C159)</f>
        <v>28905255</v>
      </c>
      <c r="D164" s="244" t="str">
        <f>IF('HCC Data Entry'!D159="","",'HCC Data Entry'!D159)</f>
        <v>Active</v>
      </c>
      <c r="E164" s="244" t="str">
        <f>IF('HCC Data Entry'!E159="","",'HCC Data Entry'!E159)</f>
        <v>Child</v>
      </c>
      <c r="F164" s="246">
        <f>IF('HCC Data Entry'!F159="","",'HCC Data Entry'!F159)</f>
        <v>26353.54</v>
      </c>
      <c r="G164" s="246">
        <f>IFERROR(INDEX('HCC Data Entry'!$J$4:$J$22, MATCH('HCC Detail'!$B164,'HCC Data Entry'!$I$4:$I$22,0)),"")</f>
        <v>68000</v>
      </c>
      <c r="H164" s="246">
        <f t="shared" si="8"/>
        <v>0</v>
      </c>
      <c r="I164" s="247">
        <f t="shared" si="9"/>
        <v>0</v>
      </c>
      <c r="J164" s="246">
        <f t="shared" si="10"/>
        <v>0</v>
      </c>
      <c r="K164" s="246"/>
      <c r="L164" s="246" t="str">
        <f t="shared" si="11"/>
        <v/>
      </c>
      <c r="M164" s="244"/>
    </row>
    <row r="165" spans="2:13" ht="18.5" x14ac:dyDescent="0.45">
      <c r="B165" s="244" t="str">
        <f>IF('HCC Data Entry'!B160="","",'HCC Data Entry'!B160)</f>
        <v>Iroquois School District</v>
      </c>
      <c r="C165" s="244">
        <f>IF('HCC Data Entry'!C160="","",'HCC Data Entry'!C160)</f>
        <v>13596686</v>
      </c>
      <c r="D165" s="244" t="str">
        <f>IF('HCC Data Entry'!D160="","",'HCC Data Entry'!D160)</f>
        <v>Active</v>
      </c>
      <c r="E165" s="244" t="str">
        <f>IF('HCC Data Entry'!E160="","",'HCC Data Entry'!E160)</f>
        <v>Self</v>
      </c>
      <c r="F165" s="246">
        <f>IF('HCC Data Entry'!F160="","",'HCC Data Entry'!F160)</f>
        <v>400902.16</v>
      </c>
      <c r="G165" s="246">
        <f>IFERROR(INDEX('HCC Data Entry'!$J$4:$J$22, MATCH('HCC Detail'!$B165,'HCC Data Entry'!$I$4:$I$22,0)),"")</f>
        <v>68000</v>
      </c>
      <c r="H165" s="246">
        <f t="shared" si="8"/>
        <v>332902.15999999997</v>
      </c>
      <c r="I165" s="247">
        <f t="shared" si="9"/>
        <v>232000</v>
      </c>
      <c r="J165" s="246">
        <f t="shared" si="10"/>
        <v>100902.15999999997</v>
      </c>
      <c r="K165" s="246"/>
      <c r="L165" s="246" t="str">
        <f t="shared" si="11"/>
        <v/>
      </c>
      <c r="M165" s="244"/>
    </row>
    <row r="166" spans="2:13" ht="18.5" x14ac:dyDescent="0.45">
      <c r="B166" s="244" t="str">
        <f>IF('HCC Data Entry'!B161="","",'HCC Data Entry'!B161)</f>
        <v>Iroquois School District</v>
      </c>
      <c r="C166" s="244">
        <f>IF('HCC Data Entry'!C161="","",'HCC Data Entry'!C161)</f>
        <v>27648041</v>
      </c>
      <c r="D166" s="244" t="str">
        <f>IF('HCC Data Entry'!D161="","",'HCC Data Entry'!D161)</f>
        <v>Retiree</v>
      </c>
      <c r="E166" s="244" t="str">
        <f>IF('HCC Data Entry'!E161="","",'HCC Data Entry'!E161)</f>
        <v>Spouse</v>
      </c>
      <c r="F166" s="246">
        <f>IF('HCC Data Entry'!F161="","",'HCC Data Entry'!F161)</f>
        <v>97056.38</v>
      </c>
      <c r="G166" s="246">
        <f>IFERROR(INDEX('HCC Data Entry'!$J$4:$J$22, MATCH('HCC Detail'!$B166,'HCC Data Entry'!$I$4:$I$22,0)),"")</f>
        <v>68000</v>
      </c>
      <c r="H166" s="246">
        <f t="shared" si="8"/>
        <v>29056.380000000005</v>
      </c>
      <c r="I166" s="247">
        <f t="shared" si="9"/>
        <v>29056.380000000005</v>
      </c>
      <c r="J166" s="246">
        <f t="shared" si="10"/>
        <v>0</v>
      </c>
      <c r="K166" s="246"/>
      <c r="L166" s="246" t="str">
        <f t="shared" si="11"/>
        <v/>
      </c>
      <c r="M166" s="244"/>
    </row>
    <row r="167" spans="2:13" ht="18.5" x14ac:dyDescent="0.45">
      <c r="B167" s="244" t="str">
        <f>IF('HCC Data Entry'!B162="","",'HCC Data Entry'!B162)</f>
        <v>Iroquois School District</v>
      </c>
      <c r="C167" s="244">
        <f>IF('HCC Data Entry'!C162="","",'HCC Data Entry'!C162)</f>
        <v>13583537</v>
      </c>
      <c r="D167" s="244" t="str">
        <f>IF('HCC Data Entry'!D162="","",'HCC Data Entry'!D162)</f>
        <v>Active</v>
      </c>
      <c r="E167" s="244" t="str">
        <f>IF('HCC Data Entry'!E162="","",'HCC Data Entry'!E162)</f>
        <v>Self</v>
      </c>
      <c r="F167" s="246">
        <f>IF('HCC Data Entry'!F162="","",'HCC Data Entry'!F162)</f>
        <v>64328.17</v>
      </c>
      <c r="G167" s="246">
        <f>IFERROR(INDEX('HCC Data Entry'!$J$4:$J$22, MATCH('HCC Detail'!$B167,'HCC Data Entry'!$I$4:$I$22,0)),"")</f>
        <v>68000</v>
      </c>
      <c r="H167" s="246">
        <f t="shared" si="8"/>
        <v>0</v>
      </c>
      <c r="I167" s="247">
        <f t="shared" si="9"/>
        <v>0</v>
      </c>
      <c r="J167" s="246">
        <f t="shared" si="10"/>
        <v>0</v>
      </c>
      <c r="K167" s="246"/>
      <c r="L167" s="246" t="str">
        <f t="shared" si="11"/>
        <v/>
      </c>
      <c r="M167" s="244"/>
    </row>
    <row r="168" spans="2:13" ht="18.5" x14ac:dyDescent="0.45">
      <c r="B168" s="244" t="str">
        <f>IF('HCC Data Entry'!B163="","",'HCC Data Entry'!B163)</f>
        <v>Iroquois School District</v>
      </c>
      <c r="C168" s="244">
        <f>IF('HCC Data Entry'!C163="","",'HCC Data Entry'!C163)</f>
        <v>11605866</v>
      </c>
      <c r="D168" s="244" t="str">
        <f>IF('HCC Data Entry'!D163="","",'HCC Data Entry'!D163)</f>
        <v>Retiree</v>
      </c>
      <c r="E168" s="244" t="str">
        <f>IF('HCC Data Entry'!E163="","",'HCC Data Entry'!E163)</f>
        <v>Child</v>
      </c>
      <c r="F168" s="246">
        <f>IF('HCC Data Entry'!F163="","",'HCC Data Entry'!F163)</f>
        <v>55322.93</v>
      </c>
      <c r="G168" s="246">
        <f>IFERROR(INDEX('HCC Data Entry'!$J$4:$J$22, MATCH('HCC Detail'!$B168,'HCC Data Entry'!$I$4:$I$22,0)),"")</f>
        <v>68000</v>
      </c>
      <c r="H168" s="246">
        <f t="shared" si="8"/>
        <v>0</v>
      </c>
      <c r="I168" s="247">
        <f t="shared" si="9"/>
        <v>0</v>
      </c>
      <c r="J168" s="246">
        <f t="shared" si="10"/>
        <v>0</v>
      </c>
      <c r="K168" s="246"/>
      <c r="L168" s="246" t="str">
        <f t="shared" si="11"/>
        <v/>
      </c>
      <c r="M168" s="244"/>
    </row>
    <row r="169" spans="2:13" ht="18.5" x14ac:dyDescent="0.45">
      <c r="B169" s="244" t="str">
        <f>IF('HCC Data Entry'!B164="","",'HCC Data Entry'!B164)</f>
        <v>Iroquois School District</v>
      </c>
      <c r="C169" s="244">
        <f>IF('HCC Data Entry'!C164="","",'HCC Data Entry'!C164)</f>
        <v>13591161</v>
      </c>
      <c r="D169" s="244" t="str">
        <f>IF('HCC Data Entry'!D164="","",'HCC Data Entry'!D164)</f>
        <v>Active</v>
      </c>
      <c r="E169" s="244" t="str">
        <f>IF('HCC Data Entry'!E164="","",'HCC Data Entry'!E164)</f>
        <v>Self</v>
      </c>
      <c r="F169" s="246">
        <f>IF('HCC Data Entry'!F164="","",'HCC Data Entry'!F164)</f>
        <v>52889.279999999999</v>
      </c>
      <c r="G169" s="246">
        <f>IFERROR(INDEX('HCC Data Entry'!$J$4:$J$22, MATCH('HCC Detail'!$B169,'HCC Data Entry'!$I$4:$I$22,0)),"")</f>
        <v>68000</v>
      </c>
      <c r="H169" s="246">
        <f t="shared" si="8"/>
        <v>0</v>
      </c>
      <c r="I169" s="247">
        <f t="shared" si="9"/>
        <v>0</v>
      </c>
      <c r="J169" s="246">
        <f t="shared" si="10"/>
        <v>0</v>
      </c>
      <c r="K169" s="246"/>
      <c r="L169" s="246" t="str">
        <f t="shared" si="11"/>
        <v/>
      </c>
      <c r="M169" s="244"/>
    </row>
    <row r="170" spans="2:13" ht="18.5" x14ac:dyDescent="0.45">
      <c r="B170" s="244" t="str">
        <f>IF('HCC Data Entry'!B165="","",'HCC Data Entry'!B165)</f>
        <v>Iroquois School District</v>
      </c>
      <c r="C170" s="244">
        <f>IF('HCC Data Entry'!C165="","",'HCC Data Entry'!C165)</f>
        <v>13590433</v>
      </c>
      <c r="D170" s="244" t="str">
        <f>IF('HCC Data Entry'!D165="","",'HCC Data Entry'!D165)</f>
        <v>Active</v>
      </c>
      <c r="E170" s="244" t="str">
        <f>IF('HCC Data Entry'!E165="","",'HCC Data Entry'!E165)</f>
        <v>Self</v>
      </c>
      <c r="F170" s="246">
        <f>IF('HCC Data Entry'!F165="","",'HCC Data Entry'!F165)</f>
        <v>47738.96</v>
      </c>
      <c r="G170" s="246">
        <f>IFERROR(INDEX('HCC Data Entry'!$J$4:$J$22, MATCH('HCC Detail'!$B170,'HCC Data Entry'!$I$4:$I$22,0)),"")</f>
        <v>68000</v>
      </c>
      <c r="H170" s="246">
        <f t="shared" si="8"/>
        <v>0</v>
      </c>
      <c r="I170" s="247">
        <f t="shared" si="9"/>
        <v>0</v>
      </c>
      <c r="J170" s="246">
        <f t="shared" si="10"/>
        <v>0</v>
      </c>
      <c r="K170" s="246"/>
      <c r="L170" s="246" t="str">
        <f t="shared" si="11"/>
        <v/>
      </c>
      <c r="M170" s="244"/>
    </row>
    <row r="171" spans="2:13" ht="18.5" x14ac:dyDescent="0.45">
      <c r="B171" s="244" t="str">
        <f>IF('HCC Data Entry'!B166="","",'HCC Data Entry'!B166)</f>
        <v>Iroquois School District</v>
      </c>
      <c r="C171" s="244">
        <f>IF('HCC Data Entry'!C166="","",'HCC Data Entry'!C166)</f>
        <v>13592493</v>
      </c>
      <c r="D171" s="244" t="str">
        <f>IF('HCC Data Entry'!D166="","",'HCC Data Entry'!D166)</f>
        <v>Active</v>
      </c>
      <c r="E171" s="244" t="str">
        <f>IF('HCC Data Entry'!E166="","",'HCC Data Entry'!E166)</f>
        <v>Self</v>
      </c>
      <c r="F171" s="246">
        <f>IF('HCC Data Entry'!F166="","",'HCC Data Entry'!F166)</f>
        <v>47668.21</v>
      </c>
      <c r="G171" s="246">
        <f>IFERROR(INDEX('HCC Data Entry'!$J$4:$J$22, MATCH('HCC Detail'!$B171,'HCC Data Entry'!$I$4:$I$22,0)),"")</f>
        <v>68000</v>
      </c>
      <c r="H171" s="246">
        <f t="shared" si="8"/>
        <v>0</v>
      </c>
      <c r="I171" s="247">
        <f t="shared" si="9"/>
        <v>0</v>
      </c>
      <c r="J171" s="246">
        <f t="shared" si="10"/>
        <v>0</v>
      </c>
      <c r="K171" s="246"/>
      <c r="L171" s="246" t="str">
        <f t="shared" si="11"/>
        <v/>
      </c>
      <c r="M171" s="244"/>
    </row>
    <row r="172" spans="2:13" ht="18.5" x14ac:dyDescent="0.45">
      <c r="B172" s="244" t="str">
        <f>IF('HCC Data Entry'!B167="","",'HCC Data Entry'!B167)</f>
        <v>Iroquois School District</v>
      </c>
      <c r="C172" s="244">
        <f>IF('HCC Data Entry'!C167="","",'HCC Data Entry'!C167)</f>
        <v>13589802</v>
      </c>
      <c r="D172" s="244" t="str">
        <f>IF('HCC Data Entry'!D167="","",'HCC Data Entry'!D167)</f>
        <v>Active</v>
      </c>
      <c r="E172" s="244" t="str">
        <f>IF('HCC Data Entry'!E167="","",'HCC Data Entry'!E167)</f>
        <v>Spouse</v>
      </c>
      <c r="F172" s="246">
        <f>IF('HCC Data Entry'!F167="","",'HCC Data Entry'!F167)</f>
        <v>35709.949999999997</v>
      </c>
      <c r="G172" s="246">
        <f>IFERROR(INDEX('HCC Data Entry'!$J$4:$J$22, MATCH('HCC Detail'!$B172,'HCC Data Entry'!$I$4:$I$22,0)),"")</f>
        <v>68000</v>
      </c>
      <c r="H172" s="246">
        <f t="shared" si="8"/>
        <v>0</v>
      </c>
      <c r="I172" s="247">
        <f t="shared" si="9"/>
        <v>0</v>
      </c>
      <c r="J172" s="246">
        <f t="shared" si="10"/>
        <v>0</v>
      </c>
      <c r="K172" s="246"/>
      <c r="L172" s="246" t="str">
        <f t="shared" si="11"/>
        <v/>
      </c>
      <c r="M172" s="244"/>
    </row>
    <row r="173" spans="2:13" ht="18.5" x14ac:dyDescent="0.45">
      <c r="B173" s="244" t="str">
        <f>IF('HCC Data Entry'!B168="","",'HCC Data Entry'!B168)</f>
        <v>Iroquois School District</v>
      </c>
      <c r="C173" s="244">
        <f>IF('HCC Data Entry'!C168="","",'HCC Data Entry'!C168)</f>
        <v>13592536</v>
      </c>
      <c r="D173" s="244" t="str">
        <f>IF('HCC Data Entry'!D168="","",'HCC Data Entry'!D168)</f>
        <v>Active</v>
      </c>
      <c r="E173" s="244" t="str">
        <f>IF('HCC Data Entry'!E168="","",'HCC Data Entry'!E168)</f>
        <v>Spouse</v>
      </c>
      <c r="F173" s="246">
        <f>IF('HCC Data Entry'!F168="","",'HCC Data Entry'!F168)</f>
        <v>33418.94</v>
      </c>
      <c r="G173" s="246">
        <f>IFERROR(INDEX('HCC Data Entry'!$J$4:$J$22, MATCH('HCC Detail'!$B173,'HCC Data Entry'!$I$4:$I$22,0)),"")</f>
        <v>68000</v>
      </c>
      <c r="H173" s="246">
        <f t="shared" si="8"/>
        <v>0</v>
      </c>
      <c r="I173" s="247">
        <f t="shared" si="9"/>
        <v>0</v>
      </c>
      <c r="J173" s="246">
        <f t="shared" si="10"/>
        <v>0</v>
      </c>
      <c r="K173" s="246"/>
      <c r="L173" s="246" t="str">
        <f t="shared" si="11"/>
        <v/>
      </c>
      <c r="M173" s="244"/>
    </row>
    <row r="174" spans="2:13" ht="18.5" x14ac:dyDescent="0.45">
      <c r="B174" s="244" t="str">
        <f>IF('HCC Data Entry'!B169="","",'HCC Data Entry'!B169)</f>
        <v>Iroquois School District</v>
      </c>
      <c r="C174" s="244">
        <f>IF('HCC Data Entry'!C169="","",'HCC Data Entry'!C169)</f>
        <v>13580300</v>
      </c>
      <c r="D174" s="244" t="str">
        <f>IF('HCC Data Entry'!D169="","",'HCC Data Entry'!D169)</f>
        <v>Retiree</v>
      </c>
      <c r="E174" s="244" t="str">
        <f>IF('HCC Data Entry'!E169="","",'HCC Data Entry'!E169)</f>
        <v>Self</v>
      </c>
      <c r="F174" s="246">
        <f>IF('HCC Data Entry'!F169="","",'HCC Data Entry'!F169)</f>
        <v>32484.87</v>
      </c>
      <c r="G174" s="246">
        <f>IFERROR(INDEX('HCC Data Entry'!$J$4:$J$22, MATCH('HCC Detail'!$B174,'HCC Data Entry'!$I$4:$I$22,0)),"")</f>
        <v>68000</v>
      </c>
      <c r="H174" s="246">
        <f t="shared" si="8"/>
        <v>0</v>
      </c>
      <c r="I174" s="247">
        <f t="shared" si="9"/>
        <v>0</v>
      </c>
      <c r="J174" s="246">
        <f t="shared" si="10"/>
        <v>0</v>
      </c>
      <c r="K174" s="246"/>
      <c r="L174" s="246" t="str">
        <f t="shared" si="11"/>
        <v/>
      </c>
      <c r="M174" s="244"/>
    </row>
    <row r="175" spans="2:13" ht="18.5" x14ac:dyDescent="0.45">
      <c r="B175" s="244" t="str">
        <f>IF('HCC Data Entry'!B170="","",'HCC Data Entry'!B170)</f>
        <v>Iroquois School District</v>
      </c>
      <c r="C175" s="244">
        <f>IF('HCC Data Entry'!C170="","",'HCC Data Entry'!C170)</f>
        <v>13578843</v>
      </c>
      <c r="D175" s="244" t="str">
        <f>IF('HCC Data Entry'!D170="","",'HCC Data Entry'!D170)</f>
        <v>Active</v>
      </c>
      <c r="E175" s="244" t="str">
        <f>IF('HCC Data Entry'!E170="","",'HCC Data Entry'!E170)</f>
        <v>Child</v>
      </c>
      <c r="F175" s="246">
        <f>IF('HCC Data Entry'!F170="","",'HCC Data Entry'!F170)</f>
        <v>29212.03</v>
      </c>
      <c r="G175" s="246">
        <f>IFERROR(INDEX('HCC Data Entry'!$J$4:$J$22, MATCH('HCC Detail'!$B175,'HCC Data Entry'!$I$4:$I$22,0)),"")</f>
        <v>68000</v>
      </c>
      <c r="H175" s="246">
        <f t="shared" si="8"/>
        <v>0</v>
      </c>
      <c r="I175" s="247">
        <f t="shared" si="9"/>
        <v>0</v>
      </c>
      <c r="J175" s="246">
        <f t="shared" si="10"/>
        <v>0</v>
      </c>
      <c r="K175" s="246"/>
      <c r="L175" s="246" t="str">
        <f t="shared" si="11"/>
        <v/>
      </c>
      <c r="M175" s="244"/>
    </row>
    <row r="176" spans="2:13" ht="18.5" x14ac:dyDescent="0.45">
      <c r="B176" s="244" t="str">
        <f>IF('HCC Data Entry'!B171="","",'HCC Data Entry'!B171)</f>
        <v>North East School District</v>
      </c>
      <c r="C176" s="244">
        <f>IF('HCC Data Entry'!C171="","",'HCC Data Entry'!C171)</f>
        <v>13919704</v>
      </c>
      <c r="D176" s="244" t="str">
        <f>IF('HCC Data Entry'!D171="","",'HCC Data Entry'!D171)</f>
        <v>Active</v>
      </c>
      <c r="E176" s="244" t="str">
        <f>IF('HCC Data Entry'!E171="","",'HCC Data Entry'!E171)</f>
        <v>Self</v>
      </c>
      <c r="F176" s="246">
        <f>IF('HCC Data Entry'!F171="","",'HCC Data Entry'!F171)</f>
        <v>220165.18</v>
      </c>
      <c r="G176" s="246">
        <f>IFERROR(INDEX('HCC Data Entry'!$J$4:$J$22, MATCH('HCC Detail'!$B176,'HCC Data Entry'!$I$4:$I$22,0)),"")</f>
        <v>85000</v>
      </c>
      <c r="H176" s="246">
        <f t="shared" si="8"/>
        <v>135165.18</v>
      </c>
      <c r="I176" s="247">
        <f t="shared" si="9"/>
        <v>135165.18</v>
      </c>
      <c r="J176" s="246">
        <f t="shared" si="10"/>
        <v>0</v>
      </c>
      <c r="K176" s="246"/>
      <c r="L176" s="246" t="str">
        <f t="shared" si="11"/>
        <v/>
      </c>
      <c r="M176" s="244"/>
    </row>
    <row r="177" spans="2:13" ht="18.5" x14ac:dyDescent="0.45">
      <c r="B177" s="244" t="str">
        <f>IF('HCC Data Entry'!B172="","",'HCC Data Entry'!B172)</f>
        <v>North East School District</v>
      </c>
      <c r="C177" s="244">
        <f>IF('HCC Data Entry'!C172="","",'HCC Data Entry'!C172)</f>
        <v>13603161</v>
      </c>
      <c r="D177" s="244" t="str">
        <f>IF('HCC Data Entry'!D172="","",'HCC Data Entry'!D172)</f>
        <v>Active</v>
      </c>
      <c r="E177" s="244" t="str">
        <f>IF('HCC Data Entry'!E172="","",'HCC Data Entry'!E172)</f>
        <v>Self</v>
      </c>
      <c r="F177" s="246">
        <f>IF('HCC Data Entry'!F172="","",'HCC Data Entry'!F172)</f>
        <v>164009.9</v>
      </c>
      <c r="G177" s="246">
        <f>IFERROR(INDEX('HCC Data Entry'!$J$4:$J$22, MATCH('HCC Detail'!$B177,'HCC Data Entry'!$I$4:$I$22,0)),"")</f>
        <v>85000</v>
      </c>
      <c r="H177" s="246">
        <f t="shared" si="8"/>
        <v>79009.899999999994</v>
      </c>
      <c r="I177" s="247">
        <f t="shared" si="9"/>
        <v>79009.899999999994</v>
      </c>
      <c r="J177" s="246">
        <f t="shared" si="10"/>
        <v>0</v>
      </c>
      <c r="K177" s="246"/>
      <c r="L177" s="246" t="str">
        <f t="shared" si="11"/>
        <v/>
      </c>
      <c r="M177" s="244"/>
    </row>
    <row r="178" spans="2:13" ht="18.5" x14ac:dyDescent="0.45">
      <c r="B178" s="244" t="str">
        <f>IF('HCC Data Entry'!B173="","",'HCC Data Entry'!B173)</f>
        <v>North East School District</v>
      </c>
      <c r="C178" s="244">
        <f>IF('HCC Data Entry'!C173="","",'HCC Data Entry'!C173)</f>
        <v>13594717</v>
      </c>
      <c r="D178" s="244" t="str">
        <f>IF('HCC Data Entry'!D173="","",'HCC Data Entry'!D173)</f>
        <v>Active</v>
      </c>
      <c r="E178" s="244" t="str">
        <f>IF('HCC Data Entry'!E173="","",'HCC Data Entry'!E173)</f>
        <v>Spouse</v>
      </c>
      <c r="F178" s="246">
        <f>IF('HCC Data Entry'!F173="","",'HCC Data Entry'!F173)</f>
        <v>141118.96</v>
      </c>
      <c r="G178" s="246">
        <f>IFERROR(INDEX('HCC Data Entry'!$J$4:$J$22, MATCH('HCC Detail'!$B178,'HCC Data Entry'!$I$4:$I$22,0)),"")</f>
        <v>85000</v>
      </c>
      <c r="H178" s="246">
        <f t="shared" si="8"/>
        <v>56118.959999999992</v>
      </c>
      <c r="I178" s="247">
        <f t="shared" si="9"/>
        <v>56118.959999999992</v>
      </c>
      <c r="J178" s="246">
        <f t="shared" si="10"/>
        <v>0</v>
      </c>
      <c r="K178" s="246"/>
      <c r="L178" s="246" t="str">
        <f t="shared" si="11"/>
        <v/>
      </c>
      <c r="M178" s="244"/>
    </row>
    <row r="179" spans="2:13" ht="18.5" x14ac:dyDescent="0.45">
      <c r="B179" s="244" t="str">
        <f>IF('HCC Data Entry'!B174="","",'HCC Data Entry'!B174)</f>
        <v>North East School District</v>
      </c>
      <c r="C179" s="244">
        <f>IF('HCC Data Entry'!C174="","",'HCC Data Entry'!C174)</f>
        <v>13601782</v>
      </c>
      <c r="D179" s="244" t="str">
        <f>IF('HCC Data Entry'!D174="","",'HCC Data Entry'!D174)</f>
        <v>Retirees</v>
      </c>
      <c r="E179" s="244" t="str">
        <f>IF('HCC Data Entry'!E174="","",'HCC Data Entry'!E174)</f>
        <v>Spouse</v>
      </c>
      <c r="F179" s="246">
        <f>IF('HCC Data Entry'!F174="","",'HCC Data Entry'!F174)</f>
        <v>92327.19</v>
      </c>
      <c r="G179" s="246">
        <f>IFERROR(INDEX('HCC Data Entry'!$J$4:$J$22, MATCH('HCC Detail'!$B179,'HCC Data Entry'!$I$4:$I$22,0)),"")</f>
        <v>85000</v>
      </c>
      <c r="H179" s="246">
        <f t="shared" si="8"/>
        <v>7327.1900000000023</v>
      </c>
      <c r="I179" s="247">
        <f t="shared" si="9"/>
        <v>7327.1900000000023</v>
      </c>
      <c r="J179" s="246">
        <f t="shared" si="10"/>
        <v>0</v>
      </c>
      <c r="K179" s="246"/>
      <c r="L179" s="246" t="str">
        <f t="shared" si="11"/>
        <v/>
      </c>
      <c r="M179" s="244"/>
    </row>
    <row r="180" spans="2:13" ht="18.5" x14ac:dyDescent="0.45">
      <c r="B180" s="244" t="str">
        <f>IF('HCC Data Entry'!B175="","",'HCC Data Entry'!B175)</f>
        <v>North East School District</v>
      </c>
      <c r="C180" s="244">
        <f>IF('HCC Data Entry'!C175="","",'HCC Data Entry'!C175)</f>
        <v>13594673</v>
      </c>
      <c r="D180" s="244" t="str">
        <f>IF('HCC Data Entry'!D175="","",'HCC Data Entry'!D175)</f>
        <v>Active</v>
      </c>
      <c r="E180" s="244" t="str">
        <f>IF('HCC Data Entry'!E175="","",'HCC Data Entry'!E175)</f>
        <v>Child</v>
      </c>
      <c r="F180" s="246">
        <f>IF('HCC Data Entry'!F175="","",'HCC Data Entry'!F175)</f>
        <v>51348.18</v>
      </c>
      <c r="G180" s="246">
        <f>IFERROR(INDEX('HCC Data Entry'!$J$4:$J$22, MATCH('HCC Detail'!$B180,'HCC Data Entry'!$I$4:$I$22,0)),"")</f>
        <v>85000</v>
      </c>
      <c r="H180" s="246">
        <f t="shared" si="8"/>
        <v>0</v>
      </c>
      <c r="I180" s="247">
        <f t="shared" si="9"/>
        <v>0</v>
      </c>
      <c r="J180" s="246">
        <f t="shared" si="10"/>
        <v>0</v>
      </c>
      <c r="K180" s="246"/>
      <c r="L180" s="246" t="str">
        <f t="shared" si="11"/>
        <v/>
      </c>
      <c r="M180" s="244"/>
    </row>
    <row r="181" spans="2:13" ht="18.5" x14ac:dyDescent="0.45">
      <c r="B181" s="244" t="str">
        <f>IF('HCC Data Entry'!B176="","",'HCC Data Entry'!B176)</f>
        <v>North East School District</v>
      </c>
      <c r="C181" s="244">
        <f>IF('HCC Data Entry'!C176="","",'HCC Data Entry'!C176)</f>
        <v>27225191</v>
      </c>
      <c r="D181" s="244" t="str">
        <f>IF('HCC Data Entry'!D176="","",'HCC Data Entry'!D176)</f>
        <v>Active</v>
      </c>
      <c r="E181" s="244" t="str">
        <f>IF('HCC Data Entry'!E176="","",'HCC Data Entry'!E176)</f>
        <v>Self</v>
      </c>
      <c r="F181" s="246">
        <f>IF('HCC Data Entry'!F176="","",'HCC Data Entry'!F176)</f>
        <v>48199.24</v>
      </c>
      <c r="G181" s="246">
        <f>IFERROR(INDEX('HCC Data Entry'!$J$4:$J$22, MATCH('HCC Detail'!$B181,'HCC Data Entry'!$I$4:$I$22,0)),"")</f>
        <v>85000</v>
      </c>
      <c r="H181" s="246">
        <f t="shared" si="8"/>
        <v>0</v>
      </c>
      <c r="I181" s="247">
        <f t="shared" si="9"/>
        <v>0</v>
      </c>
      <c r="J181" s="246">
        <f t="shared" si="10"/>
        <v>0</v>
      </c>
      <c r="K181" s="246"/>
      <c r="L181" s="246" t="str">
        <f t="shared" si="11"/>
        <v/>
      </c>
      <c r="M181" s="244"/>
    </row>
    <row r="182" spans="2:13" ht="18.5" x14ac:dyDescent="0.45">
      <c r="B182" s="244" t="str">
        <f>IF('HCC Data Entry'!B177="","",'HCC Data Entry'!B177)</f>
        <v>North East School District</v>
      </c>
      <c r="C182" s="244">
        <f>IF('HCC Data Entry'!C177="","",'HCC Data Entry'!C177)</f>
        <v>13973228</v>
      </c>
      <c r="D182" s="244" t="str">
        <f>IF('HCC Data Entry'!D177="","",'HCC Data Entry'!D177)</f>
        <v>Active</v>
      </c>
      <c r="E182" s="244" t="str">
        <f>IF('HCC Data Entry'!E177="","",'HCC Data Entry'!E177)</f>
        <v>Spouse</v>
      </c>
      <c r="F182" s="246">
        <f>IF('HCC Data Entry'!F177="","",'HCC Data Entry'!F177)</f>
        <v>39998.120000000003</v>
      </c>
      <c r="G182" s="246">
        <f>IFERROR(INDEX('HCC Data Entry'!$J$4:$J$22, MATCH('HCC Detail'!$B182,'HCC Data Entry'!$I$4:$I$22,0)),"")</f>
        <v>85000</v>
      </c>
      <c r="H182" s="246">
        <f t="shared" si="8"/>
        <v>0</v>
      </c>
      <c r="I182" s="247">
        <f t="shared" si="9"/>
        <v>0</v>
      </c>
      <c r="J182" s="246">
        <f t="shared" si="10"/>
        <v>0</v>
      </c>
      <c r="K182" s="246"/>
      <c r="L182" s="246" t="str">
        <f t="shared" si="11"/>
        <v/>
      </c>
      <c r="M182" s="244"/>
    </row>
    <row r="183" spans="2:13" ht="18.5" x14ac:dyDescent="0.45">
      <c r="B183" s="244" t="str">
        <f>IF('HCC Data Entry'!B178="","",'HCC Data Entry'!B178)</f>
        <v>North East School District</v>
      </c>
      <c r="C183" s="244">
        <f>IF('HCC Data Entry'!C178="","",'HCC Data Entry'!C178)</f>
        <v>26648784</v>
      </c>
      <c r="D183" s="244" t="str">
        <f>IF('HCC Data Entry'!D178="","",'HCC Data Entry'!D178)</f>
        <v>COBRA</v>
      </c>
      <c r="E183" s="244" t="str">
        <f>IF('HCC Data Entry'!E178="","",'HCC Data Entry'!E178)</f>
        <v>Self</v>
      </c>
      <c r="F183" s="246">
        <f>IF('HCC Data Entry'!F178="","",'HCC Data Entry'!F178)</f>
        <v>26498.799999999999</v>
      </c>
      <c r="G183" s="246">
        <f>IFERROR(INDEX('HCC Data Entry'!$J$4:$J$22, MATCH('HCC Detail'!$B183,'HCC Data Entry'!$I$4:$I$22,0)),"")</f>
        <v>85000</v>
      </c>
      <c r="H183" s="246">
        <f t="shared" si="8"/>
        <v>0</v>
      </c>
      <c r="I183" s="247">
        <f t="shared" si="9"/>
        <v>0</v>
      </c>
      <c r="J183" s="246">
        <f t="shared" si="10"/>
        <v>0</v>
      </c>
      <c r="K183" s="246"/>
      <c r="L183" s="246" t="str">
        <f t="shared" si="11"/>
        <v/>
      </c>
      <c r="M183" s="244"/>
    </row>
    <row r="184" spans="2:13" ht="18.5" x14ac:dyDescent="0.45">
      <c r="B184" s="244" t="str">
        <f>IF('HCC Data Entry'!B179="","",'HCC Data Entry'!B179)</f>
        <v>Northwest Tri-County Intermediate Unit #5</v>
      </c>
      <c r="C184" s="244">
        <f>IF('HCC Data Entry'!C179="","",'HCC Data Entry'!C179)</f>
        <v>13599805</v>
      </c>
      <c r="D184" s="244" t="str">
        <f>IF('HCC Data Entry'!D179="","",'HCC Data Entry'!D179)</f>
        <v>Active</v>
      </c>
      <c r="E184" s="244" t="str">
        <f>IF('HCC Data Entry'!E179="","",'HCC Data Entry'!E179)</f>
        <v>Spouse</v>
      </c>
      <c r="F184" s="246">
        <f>IF('HCC Data Entry'!F179="","",'HCC Data Entry'!F179)</f>
        <v>752130.52</v>
      </c>
      <c r="G184" s="246">
        <f>IFERROR(INDEX('HCC Data Entry'!$J$4:$J$22, MATCH('HCC Detail'!$B184,'HCC Data Entry'!$I$4:$I$22,0)),"")</f>
        <v>95000</v>
      </c>
      <c r="H184" s="246">
        <f t="shared" si="8"/>
        <v>657130.52</v>
      </c>
      <c r="I184" s="247">
        <f t="shared" si="9"/>
        <v>205000</v>
      </c>
      <c r="J184" s="246">
        <f t="shared" si="10"/>
        <v>452130.52</v>
      </c>
      <c r="K184" s="246"/>
      <c r="L184" s="246" t="str">
        <f t="shared" si="11"/>
        <v/>
      </c>
      <c r="M184" s="244"/>
    </row>
    <row r="185" spans="2:13" ht="18.5" x14ac:dyDescent="0.45">
      <c r="B185" s="244" t="str">
        <f>IF('HCC Data Entry'!B180="","",'HCC Data Entry'!B180)</f>
        <v>Northwest Tri-County Intermediate Unit #5</v>
      </c>
      <c r="C185" s="244">
        <f>IF('HCC Data Entry'!C180="","",'HCC Data Entry'!C180)</f>
        <v>13598360</v>
      </c>
      <c r="D185" s="244" t="str">
        <f>IF('HCC Data Entry'!D180="","",'HCC Data Entry'!D180)</f>
        <v>Active</v>
      </c>
      <c r="E185" s="244" t="str">
        <f>IF('HCC Data Entry'!E180="","",'HCC Data Entry'!E180)</f>
        <v>Self</v>
      </c>
      <c r="F185" s="246">
        <f>IF('HCC Data Entry'!F180="","",'HCC Data Entry'!F180)</f>
        <v>520499.9</v>
      </c>
      <c r="G185" s="246">
        <f>IFERROR(INDEX('HCC Data Entry'!$J$4:$J$22, MATCH('HCC Detail'!$B185,'HCC Data Entry'!$I$4:$I$22,0)),"")</f>
        <v>95000</v>
      </c>
      <c r="H185" s="246">
        <f t="shared" si="8"/>
        <v>425499.9</v>
      </c>
      <c r="I185" s="247">
        <f t="shared" si="9"/>
        <v>205000</v>
      </c>
      <c r="J185" s="246">
        <f t="shared" si="10"/>
        <v>220499.90000000002</v>
      </c>
      <c r="K185" s="246"/>
      <c r="L185" s="246" t="str">
        <f t="shared" si="11"/>
        <v/>
      </c>
      <c r="M185" s="244"/>
    </row>
    <row r="186" spans="2:13" ht="18.5" x14ac:dyDescent="0.45">
      <c r="B186" s="244" t="str">
        <f>IF('HCC Data Entry'!B181="","",'HCC Data Entry'!B181)</f>
        <v>Northwest Tri-County Intermediate Unit #5</v>
      </c>
      <c r="C186" s="244">
        <f>IF('HCC Data Entry'!C181="","",'HCC Data Entry'!C181)</f>
        <v>13602238</v>
      </c>
      <c r="D186" s="244" t="str">
        <f>IF('HCC Data Entry'!D181="","",'HCC Data Entry'!D181)</f>
        <v>Active</v>
      </c>
      <c r="E186" s="244" t="str">
        <f>IF('HCC Data Entry'!E181="","",'HCC Data Entry'!E181)</f>
        <v>Spouse</v>
      </c>
      <c r="F186" s="246">
        <f>IF('HCC Data Entry'!F181="","",'HCC Data Entry'!F181)</f>
        <v>191305.74</v>
      </c>
      <c r="G186" s="246">
        <f>IFERROR(INDEX('HCC Data Entry'!$J$4:$J$22, MATCH('HCC Detail'!$B186,'HCC Data Entry'!$I$4:$I$22,0)),"")</f>
        <v>95000</v>
      </c>
      <c r="H186" s="246">
        <f t="shared" si="8"/>
        <v>96305.739999999991</v>
      </c>
      <c r="I186" s="247">
        <f t="shared" si="9"/>
        <v>96305.739999999991</v>
      </c>
      <c r="J186" s="246">
        <f t="shared" si="10"/>
        <v>0</v>
      </c>
      <c r="K186" s="246"/>
      <c r="L186" s="246" t="str">
        <f t="shared" si="11"/>
        <v/>
      </c>
      <c r="M186" s="244"/>
    </row>
    <row r="187" spans="2:13" ht="18.5" x14ac:dyDescent="0.45">
      <c r="B187" s="244" t="str">
        <f>IF('HCC Data Entry'!B182="","",'HCC Data Entry'!B182)</f>
        <v>Northwest Tri-County Intermediate Unit #5</v>
      </c>
      <c r="C187" s="244">
        <f>IF('HCC Data Entry'!C182="","",'HCC Data Entry'!C182)</f>
        <v>26351290</v>
      </c>
      <c r="D187" s="244" t="str">
        <f>IF('HCC Data Entry'!D182="","",'HCC Data Entry'!D182)</f>
        <v>Active</v>
      </c>
      <c r="E187" s="244" t="str">
        <f>IF('HCC Data Entry'!E182="","",'HCC Data Entry'!E182)</f>
        <v>Spouse</v>
      </c>
      <c r="F187" s="246">
        <f>IF('HCC Data Entry'!F182="","",'HCC Data Entry'!F182)</f>
        <v>123000.69</v>
      </c>
      <c r="G187" s="246">
        <f>IFERROR(INDEX('HCC Data Entry'!$J$4:$J$22, MATCH('HCC Detail'!$B187,'HCC Data Entry'!$I$4:$I$22,0)),"")</f>
        <v>95000</v>
      </c>
      <c r="H187" s="246">
        <f t="shared" si="8"/>
        <v>28000.690000000002</v>
      </c>
      <c r="I187" s="247">
        <f t="shared" si="9"/>
        <v>28000.690000000002</v>
      </c>
      <c r="J187" s="246">
        <f t="shared" si="10"/>
        <v>0</v>
      </c>
      <c r="K187" s="246"/>
      <c r="L187" s="246" t="str">
        <f t="shared" si="11"/>
        <v/>
      </c>
      <c r="M187" s="244"/>
    </row>
    <row r="188" spans="2:13" ht="18.5" x14ac:dyDescent="0.45">
      <c r="B188" s="244" t="str">
        <f>IF('HCC Data Entry'!B183="","",'HCC Data Entry'!B183)</f>
        <v>Northwest Tri-County Intermediate Unit #5</v>
      </c>
      <c r="C188" s="244">
        <f>IF('HCC Data Entry'!C183="","",'HCC Data Entry'!C183)</f>
        <v>20956760</v>
      </c>
      <c r="D188" s="244" t="str">
        <f>IF('HCC Data Entry'!D183="","",'HCC Data Entry'!D183)</f>
        <v>Active</v>
      </c>
      <c r="E188" s="244" t="str">
        <f>IF('HCC Data Entry'!E183="","",'HCC Data Entry'!E183)</f>
        <v>Spouse</v>
      </c>
      <c r="F188" s="246">
        <f>IF('HCC Data Entry'!F183="","",'HCC Data Entry'!F183)</f>
        <v>115500.11</v>
      </c>
      <c r="G188" s="246">
        <f>IFERROR(INDEX('HCC Data Entry'!$J$4:$J$22, MATCH('HCC Detail'!$B188,'HCC Data Entry'!$I$4:$I$22,0)),"")</f>
        <v>95000</v>
      </c>
      <c r="H188" s="246">
        <f t="shared" si="8"/>
        <v>20500.11</v>
      </c>
      <c r="I188" s="247">
        <f t="shared" si="9"/>
        <v>20500.11</v>
      </c>
      <c r="J188" s="246">
        <f t="shared" si="10"/>
        <v>0</v>
      </c>
      <c r="K188" s="246"/>
      <c r="L188" s="246" t="str">
        <f t="shared" si="11"/>
        <v/>
      </c>
      <c r="M188" s="244"/>
    </row>
    <row r="189" spans="2:13" ht="18.5" x14ac:dyDescent="0.45">
      <c r="B189" s="244" t="str">
        <f>IF('HCC Data Entry'!B184="","",'HCC Data Entry'!B184)</f>
        <v>Northwest Tri-County Intermediate Unit #5</v>
      </c>
      <c r="C189" s="244">
        <f>IF('HCC Data Entry'!C184="","",'HCC Data Entry'!C184)</f>
        <v>28134507</v>
      </c>
      <c r="D189" s="244" t="str">
        <f>IF('HCC Data Entry'!D184="","",'HCC Data Entry'!D184)</f>
        <v>Active</v>
      </c>
      <c r="E189" s="244" t="str">
        <f>IF('HCC Data Entry'!E184="","",'HCC Data Entry'!E184)</f>
        <v>Self</v>
      </c>
      <c r="F189" s="246">
        <f>IF('HCC Data Entry'!F184="","",'HCC Data Entry'!F184)</f>
        <v>74578.850000000006</v>
      </c>
      <c r="G189" s="246">
        <f>IFERROR(INDEX('HCC Data Entry'!$J$4:$J$22, MATCH('HCC Detail'!$B189,'HCC Data Entry'!$I$4:$I$22,0)),"")</f>
        <v>95000</v>
      </c>
      <c r="H189" s="246">
        <f t="shared" si="8"/>
        <v>0</v>
      </c>
      <c r="I189" s="247">
        <f t="shared" si="9"/>
        <v>0</v>
      </c>
      <c r="J189" s="246">
        <f t="shared" si="10"/>
        <v>0</v>
      </c>
      <c r="K189" s="246"/>
      <c r="L189" s="246" t="str">
        <f t="shared" si="11"/>
        <v/>
      </c>
      <c r="M189" s="244"/>
    </row>
    <row r="190" spans="2:13" ht="18.5" x14ac:dyDescent="0.45">
      <c r="B190" s="244" t="str">
        <f>IF('HCC Data Entry'!B185="","",'HCC Data Entry'!B185)</f>
        <v>Northwest Tri-County Intermediate Unit #5</v>
      </c>
      <c r="C190" s="244">
        <f>IF('HCC Data Entry'!C185="","",'HCC Data Entry'!C185)</f>
        <v>13607097</v>
      </c>
      <c r="D190" s="244" t="str">
        <f>IF('HCC Data Entry'!D185="","",'HCC Data Entry'!D185)</f>
        <v>Active</v>
      </c>
      <c r="E190" s="244" t="str">
        <f>IF('HCC Data Entry'!E185="","",'HCC Data Entry'!E185)</f>
        <v>Self</v>
      </c>
      <c r="F190" s="246">
        <f>IF('HCC Data Entry'!F185="","",'HCC Data Entry'!F185)</f>
        <v>60360.07</v>
      </c>
      <c r="G190" s="246">
        <f>IFERROR(INDEX('HCC Data Entry'!$J$4:$J$22, MATCH('HCC Detail'!$B190,'HCC Data Entry'!$I$4:$I$22,0)),"")</f>
        <v>95000</v>
      </c>
      <c r="H190" s="246">
        <f t="shared" si="8"/>
        <v>0</v>
      </c>
      <c r="I190" s="247">
        <f t="shared" si="9"/>
        <v>0</v>
      </c>
      <c r="J190" s="246">
        <f t="shared" si="10"/>
        <v>0</v>
      </c>
      <c r="K190" s="246"/>
      <c r="L190" s="246" t="str">
        <f t="shared" si="11"/>
        <v/>
      </c>
      <c r="M190" s="244"/>
    </row>
    <row r="191" spans="2:13" ht="18.5" x14ac:dyDescent="0.45">
      <c r="B191" s="244" t="str">
        <f>IF('HCC Data Entry'!B186="","",'HCC Data Entry'!B186)</f>
        <v>Northwest Tri-County Intermediate Unit #5</v>
      </c>
      <c r="C191" s="244">
        <f>IF('HCC Data Entry'!C186="","",'HCC Data Entry'!C186)</f>
        <v>13609828</v>
      </c>
      <c r="D191" s="244" t="str">
        <f>IF('HCC Data Entry'!D186="","",'HCC Data Entry'!D186)</f>
        <v>Active</v>
      </c>
      <c r="E191" s="244" t="str">
        <f>IF('HCC Data Entry'!E186="","",'HCC Data Entry'!E186)</f>
        <v>Child</v>
      </c>
      <c r="F191" s="246">
        <f>IF('HCC Data Entry'!F186="","",'HCC Data Entry'!F186)</f>
        <v>57943.95</v>
      </c>
      <c r="G191" s="246">
        <f>IFERROR(INDEX('HCC Data Entry'!$J$4:$J$22, MATCH('HCC Detail'!$B191,'HCC Data Entry'!$I$4:$I$22,0)),"")</f>
        <v>95000</v>
      </c>
      <c r="H191" s="246">
        <f t="shared" si="8"/>
        <v>0</v>
      </c>
      <c r="I191" s="247">
        <f t="shared" si="9"/>
        <v>0</v>
      </c>
      <c r="J191" s="246">
        <f t="shared" si="10"/>
        <v>0</v>
      </c>
      <c r="K191" s="246"/>
      <c r="L191" s="246" t="str">
        <f t="shared" si="11"/>
        <v/>
      </c>
      <c r="M191" s="244"/>
    </row>
    <row r="192" spans="2:13" ht="18.5" x14ac:dyDescent="0.45">
      <c r="B192" s="244" t="str">
        <f>IF('HCC Data Entry'!B187="","",'HCC Data Entry'!B187)</f>
        <v>Northwest Tri-County Intermediate Unit #5</v>
      </c>
      <c r="C192" s="244">
        <f>IF('HCC Data Entry'!C187="","",'HCC Data Entry'!C187)</f>
        <v>14657936</v>
      </c>
      <c r="D192" s="244" t="str">
        <f>IF('HCC Data Entry'!D187="","",'HCC Data Entry'!D187)</f>
        <v>Active</v>
      </c>
      <c r="E192" s="244" t="str">
        <f>IF('HCC Data Entry'!E187="","",'HCC Data Entry'!E187)</f>
        <v>Self</v>
      </c>
      <c r="F192" s="246">
        <f>IF('HCC Data Entry'!F187="","",'HCC Data Entry'!F187)</f>
        <v>52529.17</v>
      </c>
      <c r="G192" s="246">
        <f>IFERROR(INDEX('HCC Data Entry'!$J$4:$J$22, MATCH('HCC Detail'!$B192,'HCC Data Entry'!$I$4:$I$22,0)),"")</f>
        <v>95000</v>
      </c>
      <c r="H192" s="246">
        <f t="shared" si="8"/>
        <v>0</v>
      </c>
      <c r="I192" s="247">
        <f t="shared" si="9"/>
        <v>0</v>
      </c>
      <c r="J192" s="246">
        <f t="shared" si="10"/>
        <v>0</v>
      </c>
      <c r="K192" s="246"/>
      <c r="L192" s="246" t="str">
        <f t="shared" si="11"/>
        <v/>
      </c>
      <c r="M192" s="244"/>
    </row>
    <row r="193" spans="2:13" ht="18.5" x14ac:dyDescent="0.45">
      <c r="B193" s="244" t="str">
        <f>IF('HCC Data Entry'!B188="","",'HCC Data Entry'!B188)</f>
        <v>Northwest Tri-County Intermediate Unit #5</v>
      </c>
      <c r="C193" s="244">
        <f>IF('HCC Data Entry'!C188="","",'HCC Data Entry'!C188)</f>
        <v>13606602</v>
      </c>
      <c r="D193" s="244" t="str">
        <f>IF('HCC Data Entry'!D188="","",'HCC Data Entry'!D188)</f>
        <v>Active</v>
      </c>
      <c r="E193" s="244" t="str">
        <f>IF('HCC Data Entry'!E188="","",'HCC Data Entry'!E188)</f>
        <v>Child</v>
      </c>
      <c r="F193" s="246">
        <f>IF('HCC Data Entry'!F188="","",'HCC Data Entry'!F188)</f>
        <v>51813.36</v>
      </c>
      <c r="G193" s="246">
        <f>IFERROR(INDEX('HCC Data Entry'!$J$4:$J$22, MATCH('HCC Detail'!$B193,'HCC Data Entry'!$I$4:$I$22,0)),"")</f>
        <v>95000</v>
      </c>
      <c r="H193" s="246">
        <f t="shared" si="8"/>
        <v>0</v>
      </c>
      <c r="I193" s="247">
        <f t="shared" si="9"/>
        <v>0</v>
      </c>
      <c r="J193" s="246">
        <f t="shared" si="10"/>
        <v>0</v>
      </c>
      <c r="K193" s="246"/>
      <c r="L193" s="246" t="str">
        <f t="shared" si="11"/>
        <v/>
      </c>
      <c r="M193" s="244"/>
    </row>
    <row r="194" spans="2:13" ht="18.5" x14ac:dyDescent="0.45">
      <c r="B194" s="244" t="str">
        <f>IF('HCC Data Entry'!B189="","",'HCC Data Entry'!B189)</f>
        <v>Northwest Tri-County Intermediate Unit #5</v>
      </c>
      <c r="C194" s="244">
        <f>IF('HCC Data Entry'!C189="","",'HCC Data Entry'!C189)</f>
        <v>14318964</v>
      </c>
      <c r="D194" s="244" t="str">
        <f>IF('HCC Data Entry'!D189="","",'HCC Data Entry'!D189)</f>
        <v>Active</v>
      </c>
      <c r="E194" s="244" t="str">
        <f>IF('HCC Data Entry'!E189="","",'HCC Data Entry'!E189)</f>
        <v>Self</v>
      </c>
      <c r="F194" s="246">
        <f>IF('HCC Data Entry'!F189="","",'HCC Data Entry'!F189)</f>
        <v>47635.9</v>
      </c>
      <c r="G194" s="246">
        <f>IFERROR(INDEX('HCC Data Entry'!$J$4:$J$22, MATCH('HCC Detail'!$B194,'HCC Data Entry'!$I$4:$I$22,0)),"")</f>
        <v>95000</v>
      </c>
      <c r="H194" s="246">
        <f t="shared" si="8"/>
        <v>0</v>
      </c>
      <c r="I194" s="247">
        <f t="shared" si="9"/>
        <v>0</v>
      </c>
      <c r="J194" s="246">
        <f t="shared" si="10"/>
        <v>0</v>
      </c>
      <c r="K194" s="246"/>
      <c r="L194" s="246" t="str">
        <f t="shared" si="11"/>
        <v/>
      </c>
      <c r="M194" s="244"/>
    </row>
    <row r="195" spans="2:13" ht="18.5" x14ac:dyDescent="0.45">
      <c r="B195" s="244" t="str">
        <f>IF('HCC Data Entry'!B190="","",'HCC Data Entry'!B190)</f>
        <v>Northwest Tri-County Intermediate Unit #5</v>
      </c>
      <c r="C195" s="244">
        <f>IF('HCC Data Entry'!C190="","",'HCC Data Entry'!C190)</f>
        <v>13597685</v>
      </c>
      <c r="D195" s="244" t="str">
        <f>IF('HCC Data Entry'!D190="","",'HCC Data Entry'!D190)</f>
        <v>Active</v>
      </c>
      <c r="E195" s="244" t="str">
        <f>IF('HCC Data Entry'!E190="","",'HCC Data Entry'!E190)</f>
        <v>Self</v>
      </c>
      <c r="F195" s="246">
        <f>IF('HCC Data Entry'!F190="","",'HCC Data Entry'!F190)</f>
        <v>41944.04</v>
      </c>
      <c r="G195" s="246">
        <f>IFERROR(INDEX('HCC Data Entry'!$J$4:$J$22, MATCH('HCC Detail'!$B195,'HCC Data Entry'!$I$4:$I$22,0)),"")</f>
        <v>95000</v>
      </c>
      <c r="H195" s="246">
        <f t="shared" si="8"/>
        <v>0</v>
      </c>
      <c r="I195" s="247">
        <f t="shared" si="9"/>
        <v>0</v>
      </c>
      <c r="J195" s="246">
        <f t="shared" si="10"/>
        <v>0</v>
      </c>
      <c r="K195" s="246"/>
      <c r="L195" s="246" t="str">
        <f t="shared" si="11"/>
        <v/>
      </c>
      <c r="M195" s="244"/>
    </row>
    <row r="196" spans="2:13" ht="18.5" x14ac:dyDescent="0.45">
      <c r="B196" s="244" t="str">
        <f>IF('HCC Data Entry'!B191="","",'HCC Data Entry'!B191)</f>
        <v>Northwest Tri-County Intermediate Unit #5</v>
      </c>
      <c r="C196" s="244">
        <f>IF('HCC Data Entry'!C191="","",'HCC Data Entry'!C191)</f>
        <v>13610273</v>
      </c>
      <c r="D196" s="244" t="str">
        <f>IF('HCC Data Entry'!D191="","",'HCC Data Entry'!D191)</f>
        <v>Active</v>
      </c>
      <c r="E196" s="244" t="str">
        <f>IF('HCC Data Entry'!E191="","",'HCC Data Entry'!E191)</f>
        <v>Self</v>
      </c>
      <c r="F196" s="246">
        <f>IF('HCC Data Entry'!F191="","",'HCC Data Entry'!F191)</f>
        <v>41701.78</v>
      </c>
      <c r="G196" s="246">
        <f>IFERROR(INDEX('HCC Data Entry'!$J$4:$J$22, MATCH('HCC Detail'!$B196,'HCC Data Entry'!$I$4:$I$22,0)),"")</f>
        <v>95000</v>
      </c>
      <c r="H196" s="246">
        <f t="shared" si="8"/>
        <v>0</v>
      </c>
      <c r="I196" s="247">
        <f t="shared" si="9"/>
        <v>0</v>
      </c>
      <c r="J196" s="246">
        <f t="shared" si="10"/>
        <v>0</v>
      </c>
      <c r="K196" s="246"/>
      <c r="L196" s="246" t="str">
        <f t="shared" si="11"/>
        <v/>
      </c>
      <c r="M196" s="244"/>
    </row>
    <row r="197" spans="2:13" ht="18.5" x14ac:dyDescent="0.45">
      <c r="B197" s="244" t="str">
        <f>IF('HCC Data Entry'!B192="","",'HCC Data Entry'!B192)</f>
        <v>Northwest Tri-County Intermediate Unit #5</v>
      </c>
      <c r="C197" s="244">
        <f>IF('HCC Data Entry'!C192="","",'HCC Data Entry'!C192)</f>
        <v>13610358</v>
      </c>
      <c r="D197" s="244" t="str">
        <f>IF('HCC Data Entry'!D192="","",'HCC Data Entry'!D192)</f>
        <v>Active</v>
      </c>
      <c r="E197" s="244" t="str">
        <f>IF('HCC Data Entry'!E192="","",'HCC Data Entry'!E192)</f>
        <v>Spouse</v>
      </c>
      <c r="F197" s="246">
        <f>IF('HCC Data Entry'!F192="","",'HCC Data Entry'!F192)</f>
        <v>37855.800000000003</v>
      </c>
      <c r="G197" s="246">
        <f>IFERROR(INDEX('HCC Data Entry'!$J$4:$J$22, MATCH('HCC Detail'!$B197,'HCC Data Entry'!$I$4:$I$22,0)),"")</f>
        <v>95000</v>
      </c>
      <c r="H197" s="246">
        <f t="shared" si="8"/>
        <v>0</v>
      </c>
      <c r="I197" s="247">
        <f t="shared" si="9"/>
        <v>0</v>
      </c>
      <c r="J197" s="246">
        <f t="shared" si="10"/>
        <v>0</v>
      </c>
      <c r="K197" s="246"/>
      <c r="L197" s="246" t="str">
        <f t="shared" si="11"/>
        <v/>
      </c>
      <c r="M197" s="244"/>
    </row>
    <row r="198" spans="2:13" ht="18.5" x14ac:dyDescent="0.45">
      <c r="B198" s="244" t="str">
        <f>IF('HCC Data Entry'!B193="","",'HCC Data Entry'!B193)</f>
        <v>Northwest Tri-County Intermediate Unit #5</v>
      </c>
      <c r="C198" s="244">
        <f>IF('HCC Data Entry'!C193="","",'HCC Data Entry'!C193)</f>
        <v>27042349</v>
      </c>
      <c r="D198" s="244" t="str">
        <f>IF('HCC Data Entry'!D193="","",'HCC Data Entry'!D193)</f>
        <v>Retiree</v>
      </c>
      <c r="E198" s="244" t="str">
        <f>IF('HCC Data Entry'!E193="","",'HCC Data Entry'!E193)</f>
        <v>Spouse</v>
      </c>
      <c r="F198" s="246">
        <f>IF('HCC Data Entry'!F193="","",'HCC Data Entry'!F193)</f>
        <v>35187.4</v>
      </c>
      <c r="G198" s="246">
        <f>IFERROR(INDEX('HCC Data Entry'!$J$4:$J$22, MATCH('HCC Detail'!$B198,'HCC Data Entry'!$I$4:$I$22,0)),"")</f>
        <v>95000</v>
      </c>
      <c r="H198" s="246">
        <f t="shared" si="8"/>
        <v>0</v>
      </c>
      <c r="I198" s="247">
        <f t="shared" si="9"/>
        <v>0</v>
      </c>
      <c r="J198" s="246">
        <f t="shared" si="10"/>
        <v>0</v>
      </c>
      <c r="K198" s="246"/>
      <c r="L198" s="246" t="str">
        <f t="shared" si="11"/>
        <v/>
      </c>
      <c r="M198" s="244"/>
    </row>
    <row r="199" spans="2:13" ht="18.5" x14ac:dyDescent="0.45">
      <c r="B199" s="244" t="str">
        <f>IF('HCC Data Entry'!B194="","",'HCC Data Entry'!B194)</f>
        <v>Northwest Tri-County Intermediate Unit #5</v>
      </c>
      <c r="C199" s="244">
        <f>IF('HCC Data Entry'!C194="","",'HCC Data Entry'!C194)</f>
        <v>13609182</v>
      </c>
      <c r="D199" s="244" t="str">
        <f>IF('HCC Data Entry'!D194="","",'HCC Data Entry'!D194)</f>
        <v>Active</v>
      </c>
      <c r="E199" s="244" t="str">
        <f>IF('HCC Data Entry'!E194="","",'HCC Data Entry'!E194)</f>
        <v>Spouse</v>
      </c>
      <c r="F199" s="246">
        <f>IF('HCC Data Entry'!F194="","",'HCC Data Entry'!F194)</f>
        <v>32741.22</v>
      </c>
      <c r="G199" s="246">
        <f>IFERROR(INDEX('HCC Data Entry'!$J$4:$J$22, MATCH('HCC Detail'!$B199,'HCC Data Entry'!$I$4:$I$22,0)),"")</f>
        <v>95000</v>
      </c>
      <c r="H199" s="246">
        <f t="shared" si="8"/>
        <v>0</v>
      </c>
      <c r="I199" s="247">
        <f t="shared" si="9"/>
        <v>0</v>
      </c>
      <c r="J199" s="246">
        <f t="shared" si="10"/>
        <v>0</v>
      </c>
      <c r="K199" s="246"/>
      <c r="L199" s="246" t="str">
        <f t="shared" si="11"/>
        <v/>
      </c>
      <c r="M199" s="244"/>
    </row>
    <row r="200" spans="2:13" ht="18.5" x14ac:dyDescent="0.45">
      <c r="B200" s="244" t="str">
        <f>IF('HCC Data Entry'!B195="","",'HCC Data Entry'!B195)</f>
        <v>Northwest Tri-County Intermediate Unit #5</v>
      </c>
      <c r="C200" s="244">
        <f>IF('HCC Data Entry'!C195="","",'HCC Data Entry'!C195)</f>
        <v>28109978</v>
      </c>
      <c r="D200" s="244" t="str">
        <f>IF('HCC Data Entry'!D195="","",'HCC Data Entry'!D195)</f>
        <v>Active</v>
      </c>
      <c r="E200" s="244" t="str">
        <f>IF('HCC Data Entry'!E195="","",'HCC Data Entry'!E195)</f>
        <v>Child</v>
      </c>
      <c r="F200" s="246">
        <f>IF('HCC Data Entry'!F195="","",'HCC Data Entry'!F195)</f>
        <v>32320.880000000001</v>
      </c>
      <c r="G200" s="246">
        <f>IFERROR(INDEX('HCC Data Entry'!$J$4:$J$22, MATCH('HCC Detail'!$B200,'HCC Data Entry'!$I$4:$I$22,0)),"")</f>
        <v>95000</v>
      </c>
      <c r="H200" s="246">
        <f t="shared" si="8"/>
        <v>0</v>
      </c>
      <c r="I200" s="247">
        <f t="shared" si="9"/>
        <v>0</v>
      </c>
      <c r="J200" s="246">
        <f t="shared" si="10"/>
        <v>0</v>
      </c>
      <c r="K200" s="246"/>
      <c r="L200" s="246" t="str">
        <f t="shared" si="11"/>
        <v/>
      </c>
      <c r="M200" s="244"/>
    </row>
    <row r="201" spans="2:13" ht="18.5" x14ac:dyDescent="0.45">
      <c r="B201" s="244" t="str">
        <f>IF('HCC Data Entry'!B196="","",'HCC Data Entry'!B196)</f>
        <v>Northwest Tri-County Intermediate Unit #5</v>
      </c>
      <c r="C201" s="244">
        <f>IF('HCC Data Entry'!C196="","",'HCC Data Entry'!C196)</f>
        <v>13602079</v>
      </c>
      <c r="D201" s="244" t="str">
        <f>IF('HCC Data Entry'!D196="","",'HCC Data Entry'!D196)</f>
        <v>Active</v>
      </c>
      <c r="E201" s="244" t="str">
        <f>IF('HCC Data Entry'!E196="","",'HCC Data Entry'!E196)</f>
        <v>Spouse</v>
      </c>
      <c r="F201" s="246">
        <f>IF('HCC Data Entry'!F196="","",'HCC Data Entry'!F196)</f>
        <v>32176.29</v>
      </c>
      <c r="G201" s="246">
        <f>IFERROR(INDEX('HCC Data Entry'!$J$4:$J$22, MATCH('HCC Detail'!$B201,'HCC Data Entry'!$I$4:$I$22,0)),"")</f>
        <v>95000</v>
      </c>
      <c r="H201" s="246">
        <f t="shared" ref="H201:H264" si="12">IF(B201="","",IF(G201="Unknown", "", IF(F201&gt;G201,F201-G201,0)))</f>
        <v>0</v>
      </c>
      <c r="I201" s="247">
        <f t="shared" ref="I201:I264" si="13">IF(H201="","",IF(H201=0,0, IF(F201&gt;$O$4,($O$4-G201),H201)))</f>
        <v>0</v>
      </c>
      <c r="J201" s="246">
        <f t="shared" ref="J201:J264" si="14">IF(I201="","",IF(I201=0,0,IF(F201&gt;$O$4,F201-$O$4,0)))</f>
        <v>0</v>
      </c>
    </row>
    <row r="202" spans="2:13" ht="18.5" x14ac:dyDescent="0.45">
      <c r="B202" s="244" t="str">
        <f>IF('HCC Data Entry'!B197="","",'HCC Data Entry'!B197)</f>
        <v>Northwest Tri-County Intermediate Unit #5</v>
      </c>
      <c r="C202" s="244">
        <f>IF('HCC Data Entry'!C197="","",'HCC Data Entry'!C197)</f>
        <v>13608355</v>
      </c>
      <c r="D202" s="244" t="str">
        <f>IF('HCC Data Entry'!D197="","",'HCC Data Entry'!D197)</f>
        <v>Active</v>
      </c>
      <c r="E202" s="244" t="str">
        <f>IF('HCC Data Entry'!E197="","",'HCC Data Entry'!E197)</f>
        <v>Spouse</v>
      </c>
      <c r="F202" s="246">
        <f>IF('HCC Data Entry'!F197="","",'HCC Data Entry'!F197)</f>
        <v>32037.66</v>
      </c>
      <c r="G202" s="246">
        <f>IFERROR(INDEX('HCC Data Entry'!$J$4:$J$22, MATCH('HCC Detail'!$B202,'HCC Data Entry'!$I$4:$I$22,0)),"")</f>
        <v>95000</v>
      </c>
      <c r="H202" s="246">
        <f t="shared" si="12"/>
        <v>0</v>
      </c>
      <c r="I202" s="247">
        <f t="shared" si="13"/>
        <v>0</v>
      </c>
      <c r="J202" s="246">
        <f t="shared" si="14"/>
        <v>0</v>
      </c>
    </row>
    <row r="203" spans="2:13" ht="18.5" x14ac:dyDescent="0.45">
      <c r="B203" s="244" t="str">
        <f>IF('HCC Data Entry'!B198="","",'HCC Data Entry'!B198)</f>
        <v>Northwest Tri-County Intermediate Unit #5</v>
      </c>
      <c r="C203" s="244">
        <f>IF('HCC Data Entry'!C198="","",'HCC Data Entry'!C198)</f>
        <v>13610800</v>
      </c>
      <c r="D203" s="244" t="str">
        <f>IF('HCC Data Entry'!D198="","",'HCC Data Entry'!D198)</f>
        <v>Active</v>
      </c>
      <c r="E203" s="244" t="str">
        <f>IF('HCC Data Entry'!E198="","",'HCC Data Entry'!E198)</f>
        <v>Self</v>
      </c>
      <c r="F203" s="246">
        <f>IF('HCC Data Entry'!F198="","",'HCC Data Entry'!F198)</f>
        <v>31489.52</v>
      </c>
      <c r="G203" s="246">
        <f>IFERROR(INDEX('HCC Data Entry'!$J$4:$J$22, MATCH('HCC Detail'!$B203,'HCC Data Entry'!$I$4:$I$22,0)),"")</f>
        <v>95000</v>
      </c>
      <c r="H203" s="246">
        <f t="shared" si="12"/>
        <v>0</v>
      </c>
      <c r="I203" s="247">
        <f t="shared" si="13"/>
        <v>0</v>
      </c>
      <c r="J203" s="246">
        <f t="shared" si="14"/>
        <v>0</v>
      </c>
    </row>
    <row r="204" spans="2:13" ht="18.5" x14ac:dyDescent="0.45">
      <c r="B204" s="244" t="str">
        <f>IF('HCC Data Entry'!B199="","",'HCC Data Entry'!B199)</f>
        <v>Northwest Tri-County Intermediate Unit #5</v>
      </c>
      <c r="C204" s="244">
        <f>IF('HCC Data Entry'!C199="","",'HCC Data Entry'!C199)</f>
        <v>13594941</v>
      </c>
      <c r="D204" s="244" t="str">
        <f>IF('HCC Data Entry'!D199="","",'HCC Data Entry'!D199)</f>
        <v>Active</v>
      </c>
      <c r="E204" s="244" t="str">
        <f>IF('HCC Data Entry'!E199="","",'HCC Data Entry'!E199)</f>
        <v>Self</v>
      </c>
      <c r="F204" s="246">
        <f>IF('HCC Data Entry'!F199="","",'HCC Data Entry'!F199)</f>
        <v>31456.86</v>
      </c>
      <c r="G204" s="246">
        <f>IFERROR(INDEX('HCC Data Entry'!$J$4:$J$22, MATCH('HCC Detail'!$B204,'HCC Data Entry'!$I$4:$I$22,0)),"")</f>
        <v>95000</v>
      </c>
      <c r="H204" s="246">
        <f t="shared" si="12"/>
        <v>0</v>
      </c>
      <c r="I204" s="247">
        <f t="shared" si="13"/>
        <v>0</v>
      </c>
      <c r="J204" s="246">
        <f t="shared" si="14"/>
        <v>0</v>
      </c>
    </row>
    <row r="205" spans="2:13" ht="18.5" x14ac:dyDescent="0.45">
      <c r="B205" s="244" t="str">
        <f>IF('HCC Data Entry'!B200="","",'HCC Data Entry'!B200)</f>
        <v>Northwest Tri-County Intermediate Unit #5</v>
      </c>
      <c r="C205" s="244">
        <f>IF('HCC Data Entry'!C200="","",'HCC Data Entry'!C200)</f>
        <v>13607104</v>
      </c>
      <c r="D205" s="244" t="str">
        <f>IF('HCC Data Entry'!D200="","",'HCC Data Entry'!D200)</f>
        <v>Active</v>
      </c>
      <c r="E205" s="244" t="str">
        <f>IF('HCC Data Entry'!E200="","",'HCC Data Entry'!E200)</f>
        <v>Child</v>
      </c>
      <c r="F205" s="246">
        <f>IF('HCC Data Entry'!F200="","",'HCC Data Entry'!F200)</f>
        <v>29905.94</v>
      </c>
      <c r="G205" s="246">
        <f>IFERROR(INDEX('HCC Data Entry'!$J$4:$J$22, MATCH('HCC Detail'!$B205,'HCC Data Entry'!$I$4:$I$22,0)),"")</f>
        <v>95000</v>
      </c>
      <c r="H205" s="246">
        <f t="shared" si="12"/>
        <v>0</v>
      </c>
      <c r="I205" s="247">
        <f t="shared" si="13"/>
        <v>0</v>
      </c>
      <c r="J205" s="246">
        <f t="shared" si="14"/>
        <v>0</v>
      </c>
    </row>
    <row r="206" spans="2:13" ht="18.5" x14ac:dyDescent="0.45">
      <c r="B206" s="244" t="str">
        <f>IF('HCC Data Entry'!B201="","",'HCC Data Entry'!B201)</f>
        <v>Northwest Tri-County Intermediate Unit #5</v>
      </c>
      <c r="C206" s="244">
        <f>IF('HCC Data Entry'!C201="","",'HCC Data Entry'!C201)</f>
        <v>13601395</v>
      </c>
      <c r="D206" s="244" t="str">
        <f>IF('HCC Data Entry'!D201="","",'HCC Data Entry'!D201)</f>
        <v>Active</v>
      </c>
      <c r="E206" s="244" t="str">
        <f>IF('HCC Data Entry'!E201="","",'HCC Data Entry'!E201)</f>
        <v>Child</v>
      </c>
      <c r="F206" s="246">
        <f>IF('HCC Data Entry'!F201="","",'HCC Data Entry'!F201)</f>
        <v>26576.47</v>
      </c>
      <c r="G206" s="246">
        <f>IFERROR(INDEX('HCC Data Entry'!$J$4:$J$22, MATCH('HCC Detail'!$B206,'HCC Data Entry'!$I$4:$I$22,0)),"")</f>
        <v>95000</v>
      </c>
      <c r="H206" s="246">
        <f t="shared" si="12"/>
        <v>0</v>
      </c>
      <c r="I206" s="247">
        <f t="shared" si="13"/>
        <v>0</v>
      </c>
      <c r="J206" s="246">
        <f t="shared" si="14"/>
        <v>0</v>
      </c>
    </row>
    <row r="207" spans="2:13" ht="18.5" x14ac:dyDescent="0.45">
      <c r="B207" s="244" t="str">
        <f>IF('HCC Data Entry'!B202="","",'HCC Data Entry'!B202)</f>
        <v>Northwest Tri-County Intermediate Unit #5</v>
      </c>
      <c r="C207" s="244">
        <f>IF('HCC Data Entry'!C202="","",'HCC Data Entry'!C202)</f>
        <v>13602830</v>
      </c>
      <c r="D207" s="244" t="str">
        <f>IF('HCC Data Entry'!D202="","",'HCC Data Entry'!D202)</f>
        <v>Active</v>
      </c>
      <c r="E207" s="244" t="str">
        <f>IF('HCC Data Entry'!E202="","",'HCC Data Entry'!E202)</f>
        <v>Self</v>
      </c>
      <c r="F207" s="246">
        <f>IF('HCC Data Entry'!F202="","",'HCC Data Entry'!F202)</f>
        <v>26274.68</v>
      </c>
      <c r="G207" s="246">
        <f>IFERROR(INDEX('HCC Data Entry'!$J$4:$J$22, MATCH('HCC Detail'!$B207,'HCC Data Entry'!$I$4:$I$22,0)),"")</f>
        <v>95000</v>
      </c>
      <c r="H207" s="246">
        <f t="shared" si="12"/>
        <v>0</v>
      </c>
      <c r="I207" s="247">
        <f t="shared" si="13"/>
        <v>0</v>
      </c>
      <c r="J207" s="246">
        <f t="shared" si="14"/>
        <v>0</v>
      </c>
    </row>
    <row r="208" spans="2:13" ht="18.5" x14ac:dyDescent="0.45">
      <c r="B208" s="244" t="str">
        <f>IF('HCC Data Entry'!B203="","",'HCC Data Entry'!B203)</f>
        <v>Northwest Tri-County Intermediate Unit #5</v>
      </c>
      <c r="C208" s="244">
        <f>IF('HCC Data Entry'!C203="","",'HCC Data Entry'!C203)</f>
        <v>13607967</v>
      </c>
      <c r="D208" s="244" t="str">
        <f>IF('HCC Data Entry'!D203="","",'HCC Data Entry'!D203)</f>
        <v>Active</v>
      </c>
      <c r="E208" s="244" t="str">
        <f>IF('HCC Data Entry'!E203="","",'HCC Data Entry'!E203)</f>
        <v>Child</v>
      </c>
      <c r="F208" s="246">
        <f>IF('HCC Data Entry'!F203="","",'HCC Data Entry'!F203)</f>
        <v>26173.99</v>
      </c>
      <c r="G208" s="246">
        <f>IFERROR(INDEX('HCC Data Entry'!$J$4:$J$22, MATCH('HCC Detail'!$B208,'HCC Data Entry'!$I$4:$I$22,0)),"")</f>
        <v>95000</v>
      </c>
      <c r="H208" s="246">
        <f t="shared" si="12"/>
        <v>0</v>
      </c>
      <c r="I208" s="247">
        <f t="shared" si="13"/>
        <v>0</v>
      </c>
      <c r="J208" s="246">
        <f t="shared" si="14"/>
        <v>0</v>
      </c>
    </row>
    <row r="209" spans="2:10" ht="18.5" x14ac:dyDescent="0.45">
      <c r="B209" s="244" t="str">
        <f>IF('HCC Data Entry'!B204="","",'HCC Data Entry'!B204)</f>
        <v>Northwest Tri-County Intermediate Unit #5</v>
      </c>
      <c r="C209" s="244">
        <f>IF('HCC Data Entry'!C204="","",'HCC Data Entry'!C204)</f>
        <v>13603184</v>
      </c>
      <c r="D209" s="244" t="str">
        <f>IF('HCC Data Entry'!D204="","",'HCC Data Entry'!D204)</f>
        <v>Retiree</v>
      </c>
      <c r="E209" s="244" t="str">
        <f>IF('HCC Data Entry'!E204="","",'HCC Data Entry'!E204)</f>
        <v>Self</v>
      </c>
      <c r="F209" s="246">
        <f>IF('HCC Data Entry'!F204="","",'HCC Data Entry'!F204)</f>
        <v>25400.25</v>
      </c>
      <c r="G209" s="246">
        <f>IFERROR(INDEX('HCC Data Entry'!$J$4:$J$22, MATCH('HCC Detail'!$B209,'HCC Data Entry'!$I$4:$I$22,0)),"")</f>
        <v>95000</v>
      </c>
      <c r="H209" s="246">
        <f t="shared" si="12"/>
        <v>0</v>
      </c>
      <c r="I209" s="247">
        <f t="shared" si="13"/>
        <v>0</v>
      </c>
      <c r="J209" s="246">
        <f t="shared" si="14"/>
        <v>0</v>
      </c>
    </row>
    <row r="210" spans="2:10" ht="18.5" x14ac:dyDescent="0.45">
      <c r="B210" s="244" t="str">
        <f>IF('HCC Data Entry'!B205="","",'HCC Data Entry'!B205)</f>
        <v>Northwestern School District</v>
      </c>
      <c r="C210" s="244">
        <f>IF('HCC Data Entry'!C205="","",'HCC Data Entry'!C205)</f>
        <v>13617410</v>
      </c>
      <c r="D210" s="244" t="str">
        <f>IF('HCC Data Entry'!D205="","",'HCC Data Entry'!D205)</f>
        <v>Active</v>
      </c>
      <c r="E210" s="244" t="str">
        <f>IF('HCC Data Entry'!E205="","",'HCC Data Entry'!E205)</f>
        <v>Spouse</v>
      </c>
      <c r="F210" s="246">
        <f>IF('HCC Data Entry'!F205="","",'HCC Data Entry'!F205)</f>
        <v>527015.11</v>
      </c>
      <c r="G210" s="246">
        <f>IFERROR(INDEX('HCC Data Entry'!$J$4:$J$22, MATCH('HCC Detail'!$B210,'HCC Data Entry'!$I$4:$I$22,0)),"")</f>
        <v>75000</v>
      </c>
      <c r="H210" s="246">
        <f t="shared" si="12"/>
        <v>452015.11</v>
      </c>
      <c r="I210" s="247">
        <f t="shared" si="13"/>
        <v>225000</v>
      </c>
      <c r="J210" s="246">
        <f t="shared" si="14"/>
        <v>227015.11</v>
      </c>
    </row>
    <row r="211" spans="2:10" ht="18.5" x14ac:dyDescent="0.45">
      <c r="B211" s="244" t="str">
        <f>IF('HCC Data Entry'!B206="","",'HCC Data Entry'!B206)</f>
        <v>Northwestern School District</v>
      </c>
      <c r="C211" s="244">
        <f>IF('HCC Data Entry'!C206="","",'HCC Data Entry'!C206)</f>
        <v>13620341</v>
      </c>
      <c r="D211" s="244" t="str">
        <f>IF('HCC Data Entry'!D206="","",'HCC Data Entry'!D206)</f>
        <v>Active</v>
      </c>
      <c r="E211" s="244" t="str">
        <f>IF('HCC Data Entry'!E206="","",'HCC Data Entry'!E206)</f>
        <v>Child</v>
      </c>
      <c r="F211" s="246">
        <f>IF('HCC Data Entry'!F206="","",'HCC Data Entry'!F206)</f>
        <v>411508.11</v>
      </c>
      <c r="G211" s="246">
        <f>IFERROR(INDEX('HCC Data Entry'!$J$4:$J$22, MATCH('HCC Detail'!$B211,'HCC Data Entry'!$I$4:$I$22,0)),"")</f>
        <v>75000</v>
      </c>
      <c r="H211" s="246">
        <f t="shared" si="12"/>
        <v>336508.11</v>
      </c>
      <c r="I211" s="247">
        <f t="shared" si="13"/>
        <v>225000</v>
      </c>
      <c r="J211" s="246">
        <f t="shared" si="14"/>
        <v>111508.10999999999</v>
      </c>
    </row>
    <row r="212" spans="2:10" ht="18.5" x14ac:dyDescent="0.45">
      <c r="B212" s="244" t="str">
        <f>IF('HCC Data Entry'!B207="","",'HCC Data Entry'!B207)</f>
        <v>Northwestern School District</v>
      </c>
      <c r="C212" s="244">
        <f>IF('HCC Data Entry'!C207="","",'HCC Data Entry'!C207)</f>
        <v>13615725</v>
      </c>
      <c r="D212" s="244" t="str">
        <f>IF('HCC Data Entry'!D207="","",'HCC Data Entry'!D207)</f>
        <v>Active</v>
      </c>
      <c r="E212" s="244" t="str">
        <f>IF('HCC Data Entry'!E207="","",'HCC Data Entry'!E207)</f>
        <v>Self</v>
      </c>
      <c r="F212" s="246">
        <f>IF('HCC Data Entry'!F207="","",'HCC Data Entry'!F207)</f>
        <v>325802.57</v>
      </c>
      <c r="G212" s="246">
        <f>IFERROR(INDEX('HCC Data Entry'!$J$4:$J$22, MATCH('HCC Detail'!$B212,'HCC Data Entry'!$I$4:$I$22,0)),"")</f>
        <v>75000</v>
      </c>
      <c r="H212" s="246">
        <f t="shared" si="12"/>
        <v>250802.57</v>
      </c>
      <c r="I212" s="247">
        <f t="shared" si="13"/>
        <v>225000</v>
      </c>
      <c r="J212" s="246">
        <f t="shared" si="14"/>
        <v>25802.570000000007</v>
      </c>
    </row>
    <row r="213" spans="2:10" ht="18.5" x14ac:dyDescent="0.45">
      <c r="B213" s="244" t="str">
        <f>IF('HCC Data Entry'!B208="","",'HCC Data Entry'!B208)</f>
        <v>Northwestern School District</v>
      </c>
      <c r="C213" s="244">
        <f>IF('HCC Data Entry'!C208="","",'HCC Data Entry'!C208)</f>
        <v>13616521</v>
      </c>
      <c r="D213" s="244" t="str">
        <f>IF('HCC Data Entry'!D208="","",'HCC Data Entry'!D208)</f>
        <v>Active</v>
      </c>
      <c r="E213" s="244" t="str">
        <f>IF('HCC Data Entry'!E208="","",'HCC Data Entry'!E208)</f>
        <v>Self</v>
      </c>
      <c r="F213" s="246">
        <f>IF('HCC Data Entry'!F208="","",'HCC Data Entry'!F208)</f>
        <v>232939.38</v>
      </c>
      <c r="G213" s="246">
        <f>IFERROR(INDEX('HCC Data Entry'!$J$4:$J$22, MATCH('HCC Detail'!$B213,'HCC Data Entry'!$I$4:$I$22,0)),"")</f>
        <v>75000</v>
      </c>
      <c r="H213" s="246">
        <f t="shared" si="12"/>
        <v>157939.38</v>
      </c>
      <c r="I213" s="247">
        <f t="shared" si="13"/>
        <v>157939.38</v>
      </c>
      <c r="J213" s="246">
        <f t="shared" si="14"/>
        <v>0</v>
      </c>
    </row>
    <row r="214" spans="2:10" ht="18.5" x14ac:dyDescent="0.45">
      <c r="B214" s="244" t="str">
        <f>IF('HCC Data Entry'!B209="","",'HCC Data Entry'!B209)</f>
        <v>Northwestern School District</v>
      </c>
      <c r="C214" s="244">
        <f>IF('HCC Data Entry'!C209="","",'HCC Data Entry'!C209)</f>
        <v>13619583</v>
      </c>
      <c r="D214" s="244" t="str">
        <f>IF('HCC Data Entry'!D209="","",'HCC Data Entry'!D209)</f>
        <v>Active</v>
      </c>
      <c r="E214" s="244" t="str">
        <f>IF('HCC Data Entry'!E209="","",'HCC Data Entry'!E209)</f>
        <v>Child</v>
      </c>
      <c r="F214" s="246">
        <f>IF('HCC Data Entry'!F209="","",'HCC Data Entry'!F209)</f>
        <v>163529.17000000001</v>
      </c>
      <c r="G214" s="246">
        <f>IFERROR(INDEX('HCC Data Entry'!$J$4:$J$22, MATCH('HCC Detail'!$B214,'HCC Data Entry'!$I$4:$I$22,0)),"")</f>
        <v>75000</v>
      </c>
      <c r="H214" s="246">
        <f t="shared" si="12"/>
        <v>88529.170000000013</v>
      </c>
      <c r="I214" s="247">
        <f t="shared" si="13"/>
        <v>88529.170000000013</v>
      </c>
      <c r="J214" s="246">
        <f t="shared" si="14"/>
        <v>0</v>
      </c>
    </row>
    <row r="215" spans="2:10" ht="18.5" x14ac:dyDescent="0.45">
      <c r="B215" s="244" t="str">
        <f>IF('HCC Data Entry'!B210="","",'HCC Data Entry'!B210)</f>
        <v>Northwestern School District</v>
      </c>
      <c r="C215" s="244">
        <f>IF('HCC Data Entry'!C210="","",'HCC Data Entry'!C210)</f>
        <v>13619876</v>
      </c>
      <c r="D215" s="244" t="str">
        <f>IF('HCC Data Entry'!D210="","",'HCC Data Entry'!D210)</f>
        <v>Active</v>
      </c>
      <c r="E215" s="244" t="str">
        <f>IF('HCC Data Entry'!E210="","",'HCC Data Entry'!E210)</f>
        <v>Spouse</v>
      </c>
      <c r="F215" s="246">
        <f>IF('HCC Data Entry'!F210="","",'HCC Data Entry'!F210)</f>
        <v>158658.18</v>
      </c>
      <c r="G215" s="246">
        <f>IFERROR(INDEX('HCC Data Entry'!$J$4:$J$22, MATCH('HCC Detail'!$B215,'HCC Data Entry'!$I$4:$I$22,0)),"")</f>
        <v>75000</v>
      </c>
      <c r="H215" s="246">
        <f t="shared" si="12"/>
        <v>83658.179999999993</v>
      </c>
      <c r="I215" s="247">
        <f t="shared" si="13"/>
        <v>83658.179999999993</v>
      </c>
      <c r="J215" s="246">
        <f t="shared" si="14"/>
        <v>0</v>
      </c>
    </row>
    <row r="216" spans="2:10" ht="18.5" x14ac:dyDescent="0.45">
      <c r="B216" s="244" t="str">
        <f>IF('HCC Data Entry'!B211="","",'HCC Data Entry'!B211)</f>
        <v>Northwestern School District</v>
      </c>
      <c r="C216" s="244">
        <f>IF('HCC Data Entry'!C211="","",'HCC Data Entry'!C211)</f>
        <v>13618063</v>
      </c>
      <c r="D216" s="244" t="str">
        <f>IF('HCC Data Entry'!D211="","",'HCC Data Entry'!D211)</f>
        <v>Active</v>
      </c>
      <c r="E216" s="244" t="str">
        <f>IF('HCC Data Entry'!E211="","",'HCC Data Entry'!E211)</f>
        <v>Self</v>
      </c>
      <c r="F216" s="246">
        <f>IF('HCC Data Entry'!F211="","",'HCC Data Entry'!F211)</f>
        <v>81071.210000000006</v>
      </c>
      <c r="G216" s="246">
        <f>IFERROR(INDEX('HCC Data Entry'!$J$4:$J$22, MATCH('HCC Detail'!$B216,'HCC Data Entry'!$I$4:$I$22,0)),"")</f>
        <v>75000</v>
      </c>
      <c r="H216" s="246">
        <f t="shared" si="12"/>
        <v>6071.2100000000064</v>
      </c>
      <c r="I216" s="247">
        <f t="shared" si="13"/>
        <v>6071.2100000000064</v>
      </c>
      <c r="J216" s="246">
        <f t="shared" si="14"/>
        <v>0</v>
      </c>
    </row>
    <row r="217" spans="2:10" ht="18.5" x14ac:dyDescent="0.45">
      <c r="B217" s="244" t="str">
        <f>IF('HCC Data Entry'!B212="","",'HCC Data Entry'!B212)</f>
        <v>Northwestern School District</v>
      </c>
      <c r="C217" s="244">
        <f>IF('HCC Data Entry'!C212="","",'HCC Data Entry'!C212)</f>
        <v>13614781</v>
      </c>
      <c r="D217" s="244" t="str">
        <f>IF('HCC Data Entry'!D212="","",'HCC Data Entry'!D212)</f>
        <v>Active</v>
      </c>
      <c r="E217" s="244" t="str">
        <f>IF('HCC Data Entry'!E212="","",'HCC Data Entry'!E212)</f>
        <v>Self</v>
      </c>
      <c r="F217" s="246">
        <f>IF('HCC Data Entry'!F212="","",'HCC Data Entry'!F212)</f>
        <v>73186.33</v>
      </c>
      <c r="G217" s="246">
        <f>IFERROR(INDEX('HCC Data Entry'!$J$4:$J$22, MATCH('HCC Detail'!$B217,'HCC Data Entry'!$I$4:$I$22,0)),"")</f>
        <v>75000</v>
      </c>
      <c r="H217" s="246">
        <f t="shared" si="12"/>
        <v>0</v>
      </c>
      <c r="I217" s="247">
        <f t="shared" si="13"/>
        <v>0</v>
      </c>
      <c r="J217" s="246">
        <f t="shared" si="14"/>
        <v>0</v>
      </c>
    </row>
    <row r="218" spans="2:10" ht="18.5" x14ac:dyDescent="0.45">
      <c r="B218" s="244" t="str">
        <f>IF('HCC Data Entry'!B213="","",'HCC Data Entry'!B213)</f>
        <v>Northwestern School District</v>
      </c>
      <c r="C218" s="244">
        <f>IF('HCC Data Entry'!C213="","",'HCC Data Entry'!C213)</f>
        <v>13620685</v>
      </c>
      <c r="D218" s="244" t="str">
        <f>IF('HCC Data Entry'!D213="","",'HCC Data Entry'!D213)</f>
        <v>Active</v>
      </c>
      <c r="E218" s="244" t="str">
        <f>IF('HCC Data Entry'!E213="","",'HCC Data Entry'!E213)</f>
        <v>Spouse</v>
      </c>
      <c r="F218" s="246">
        <f>IF('HCC Data Entry'!F213="","",'HCC Data Entry'!F213)</f>
        <v>70606.990000000005</v>
      </c>
      <c r="G218" s="246">
        <f>IFERROR(INDEX('HCC Data Entry'!$J$4:$J$22, MATCH('HCC Detail'!$B218,'HCC Data Entry'!$I$4:$I$22,0)),"")</f>
        <v>75000</v>
      </c>
      <c r="H218" s="246">
        <f t="shared" si="12"/>
        <v>0</v>
      </c>
      <c r="I218" s="247">
        <f t="shared" si="13"/>
        <v>0</v>
      </c>
      <c r="J218" s="246">
        <f t="shared" si="14"/>
        <v>0</v>
      </c>
    </row>
    <row r="219" spans="2:10" ht="18.5" x14ac:dyDescent="0.45">
      <c r="B219" s="244" t="str">
        <f>IF('HCC Data Entry'!B214="","",'HCC Data Entry'!B214)</f>
        <v>Northwestern School District</v>
      </c>
      <c r="C219" s="244">
        <f>IF('HCC Data Entry'!C214="","",'HCC Data Entry'!C214)</f>
        <v>13608831</v>
      </c>
      <c r="D219" s="244" t="str">
        <f>IF('HCC Data Entry'!D214="","",'HCC Data Entry'!D214)</f>
        <v>Active</v>
      </c>
      <c r="E219" s="244" t="str">
        <f>IF('HCC Data Entry'!E214="","",'HCC Data Entry'!E214)</f>
        <v>Spouse</v>
      </c>
      <c r="F219" s="246">
        <f>IF('HCC Data Entry'!F214="","",'HCC Data Entry'!F214)</f>
        <v>65764.56</v>
      </c>
      <c r="G219" s="246">
        <f>IFERROR(INDEX('HCC Data Entry'!$J$4:$J$22, MATCH('HCC Detail'!$B219,'HCC Data Entry'!$I$4:$I$22,0)),"")</f>
        <v>75000</v>
      </c>
      <c r="H219" s="246">
        <f t="shared" si="12"/>
        <v>0</v>
      </c>
      <c r="I219" s="247">
        <f t="shared" si="13"/>
        <v>0</v>
      </c>
      <c r="J219" s="246">
        <f t="shared" si="14"/>
        <v>0</v>
      </c>
    </row>
    <row r="220" spans="2:10" ht="18.5" x14ac:dyDescent="0.45">
      <c r="B220" s="244" t="str">
        <f>IF('HCC Data Entry'!B215="","",'HCC Data Entry'!B215)</f>
        <v>Northwestern School District</v>
      </c>
      <c r="C220" s="244">
        <f>IF('HCC Data Entry'!C215="","",'HCC Data Entry'!C215)</f>
        <v>13617071</v>
      </c>
      <c r="D220" s="244" t="str">
        <f>IF('HCC Data Entry'!D215="","",'HCC Data Entry'!D215)</f>
        <v>Active</v>
      </c>
      <c r="E220" s="244" t="str">
        <f>IF('HCC Data Entry'!E215="","",'HCC Data Entry'!E215)</f>
        <v>Self</v>
      </c>
      <c r="F220" s="246">
        <f>IF('HCC Data Entry'!F215="","",'HCC Data Entry'!F215)</f>
        <v>46094.45</v>
      </c>
      <c r="G220" s="246">
        <f>IFERROR(INDEX('HCC Data Entry'!$J$4:$J$22, MATCH('HCC Detail'!$B220,'HCC Data Entry'!$I$4:$I$22,0)),"")</f>
        <v>75000</v>
      </c>
      <c r="H220" s="246">
        <f t="shared" si="12"/>
        <v>0</v>
      </c>
      <c r="I220" s="247">
        <f t="shared" si="13"/>
        <v>0</v>
      </c>
      <c r="J220" s="246">
        <f t="shared" si="14"/>
        <v>0</v>
      </c>
    </row>
    <row r="221" spans="2:10" ht="18.5" x14ac:dyDescent="0.45">
      <c r="B221" s="244" t="str">
        <f>IF('HCC Data Entry'!B216="","",'HCC Data Entry'!B216)</f>
        <v>Northwestern School District</v>
      </c>
      <c r="C221" s="244">
        <f>IF('HCC Data Entry'!C216="","",'HCC Data Entry'!C216)</f>
        <v>13620141</v>
      </c>
      <c r="D221" s="244" t="str">
        <f>IF('HCC Data Entry'!D216="","",'HCC Data Entry'!D216)</f>
        <v>Active</v>
      </c>
      <c r="E221" s="244" t="str">
        <f>IF('HCC Data Entry'!E216="","",'HCC Data Entry'!E216)</f>
        <v>Spouse</v>
      </c>
      <c r="F221" s="246">
        <f>IF('HCC Data Entry'!F216="","",'HCC Data Entry'!F216)</f>
        <v>42885.21</v>
      </c>
      <c r="G221" s="246">
        <f>IFERROR(INDEX('HCC Data Entry'!$J$4:$J$22, MATCH('HCC Detail'!$B221,'HCC Data Entry'!$I$4:$I$22,0)),"")</f>
        <v>75000</v>
      </c>
      <c r="H221" s="246">
        <f t="shared" si="12"/>
        <v>0</v>
      </c>
      <c r="I221" s="247">
        <f t="shared" si="13"/>
        <v>0</v>
      </c>
      <c r="J221" s="246">
        <f t="shared" si="14"/>
        <v>0</v>
      </c>
    </row>
    <row r="222" spans="2:10" ht="18.5" x14ac:dyDescent="0.45">
      <c r="B222" s="244" t="str">
        <f>IF('HCC Data Entry'!B217="","",'HCC Data Entry'!B217)</f>
        <v>Northwestern School District</v>
      </c>
      <c r="C222" s="244">
        <f>IF('HCC Data Entry'!C217="","",'HCC Data Entry'!C217)</f>
        <v>20931112</v>
      </c>
      <c r="D222" s="244" t="str">
        <f>IF('HCC Data Entry'!D217="","",'HCC Data Entry'!D217)</f>
        <v>Active</v>
      </c>
      <c r="E222" s="244" t="str">
        <f>IF('HCC Data Entry'!E217="","",'HCC Data Entry'!E217)</f>
        <v>Spouse</v>
      </c>
      <c r="F222" s="246">
        <f>IF('HCC Data Entry'!F217="","",'HCC Data Entry'!F217)</f>
        <v>39525.910000000003</v>
      </c>
      <c r="G222" s="246">
        <f>IFERROR(INDEX('HCC Data Entry'!$J$4:$J$22, MATCH('HCC Detail'!$B222,'HCC Data Entry'!$I$4:$I$22,0)),"")</f>
        <v>75000</v>
      </c>
      <c r="H222" s="246">
        <f t="shared" si="12"/>
        <v>0</v>
      </c>
      <c r="I222" s="247">
        <f t="shared" si="13"/>
        <v>0</v>
      </c>
      <c r="J222" s="246">
        <f t="shared" si="14"/>
        <v>0</v>
      </c>
    </row>
    <row r="223" spans="2:10" ht="18.5" x14ac:dyDescent="0.45">
      <c r="B223" s="244" t="str">
        <f>IF('HCC Data Entry'!B218="","",'HCC Data Entry'!B218)</f>
        <v>Northwestern School District</v>
      </c>
      <c r="C223" s="244">
        <f>IF('HCC Data Entry'!C218="","",'HCC Data Entry'!C218)</f>
        <v>13607436</v>
      </c>
      <c r="D223" s="244" t="str">
        <f>IF('HCC Data Entry'!D218="","",'HCC Data Entry'!D218)</f>
        <v>Active</v>
      </c>
      <c r="E223" s="244" t="str">
        <f>IF('HCC Data Entry'!E218="","",'HCC Data Entry'!E218)</f>
        <v>Self</v>
      </c>
      <c r="F223" s="246">
        <f>IF('HCC Data Entry'!F218="","",'HCC Data Entry'!F218)</f>
        <v>32379.17</v>
      </c>
      <c r="G223" s="246">
        <f>IFERROR(INDEX('HCC Data Entry'!$J$4:$J$22, MATCH('HCC Detail'!$B223,'HCC Data Entry'!$I$4:$I$22,0)),"")</f>
        <v>75000</v>
      </c>
      <c r="H223" s="246">
        <f t="shared" si="12"/>
        <v>0</v>
      </c>
      <c r="I223" s="247">
        <f t="shared" si="13"/>
        <v>0</v>
      </c>
      <c r="J223" s="246">
        <f t="shared" si="14"/>
        <v>0</v>
      </c>
    </row>
    <row r="224" spans="2:10" ht="18.5" x14ac:dyDescent="0.45">
      <c r="B224" s="244" t="str">
        <f>IF('HCC Data Entry'!B219="","",'HCC Data Entry'!B219)</f>
        <v>Northwestern School District</v>
      </c>
      <c r="C224" s="244">
        <f>IF('HCC Data Entry'!C219="","",'HCC Data Entry'!C219)</f>
        <v>13617900</v>
      </c>
      <c r="D224" s="244" t="str">
        <f>IF('HCC Data Entry'!D219="","",'HCC Data Entry'!D219)</f>
        <v>Active</v>
      </c>
      <c r="E224" s="244" t="str">
        <f>IF('HCC Data Entry'!E219="","",'HCC Data Entry'!E219)</f>
        <v>Self</v>
      </c>
      <c r="F224" s="246">
        <f>IF('HCC Data Entry'!F219="","",'HCC Data Entry'!F219)</f>
        <v>30318.080000000002</v>
      </c>
      <c r="G224" s="246">
        <f>IFERROR(INDEX('HCC Data Entry'!$J$4:$J$22, MATCH('HCC Detail'!$B224,'HCC Data Entry'!$I$4:$I$22,0)),"")</f>
        <v>75000</v>
      </c>
      <c r="H224" s="246">
        <f t="shared" si="12"/>
        <v>0</v>
      </c>
      <c r="I224" s="247">
        <f t="shared" si="13"/>
        <v>0</v>
      </c>
      <c r="J224" s="246">
        <f t="shared" si="14"/>
        <v>0</v>
      </c>
    </row>
    <row r="225" spans="1:10" ht="18.5" x14ac:dyDescent="0.45">
      <c r="B225" s="244" t="str">
        <f>IF('HCC Data Entry'!B220="","",'HCC Data Entry'!B220)</f>
        <v>Northwestern School District</v>
      </c>
      <c r="C225" s="244">
        <f>IF('HCC Data Entry'!C220="","",'HCC Data Entry'!C220)</f>
        <v>13610630</v>
      </c>
      <c r="D225" s="244" t="str">
        <f>IF('HCC Data Entry'!D220="","",'HCC Data Entry'!D220)</f>
        <v>Active</v>
      </c>
      <c r="E225" s="244" t="str">
        <f>IF('HCC Data Entry'!E220="","",'HCC Data Entry'!E220)</f>
        <v>Spouse</v>
      </c>
      <c r="F225" s="246">
        <f>IF('HCC Data Entry'!F220="","",'HCC Data Entry'!F220)</f>
        <v>28847.360000000001</v>
      </c>
      <c r="G225" s="246">
        <f>IFERROR(INDEX('HCC Data Entry'!$J$4:$J$22, MATCH('HCC Detail'!$B225,'HCC Data Entry'!$I$4:$I$22,0)),"")</f>
        <v>75000</v>
      </c>
      <c r="H225" s="246">
        <f t="shared" si="12"/>
        <v>0</v>
      </c>
      <c r="I225" s="247">
        <f t="shared" si="13"/>
        <v>0</v>
      </c>
      <c r="J225" s="246">
        <f t="shared" si="14"/>
        <v>0</v>
      </c>
    </row>
    <row r="226" spans="1:10" ht="18.5" x14ac:dyDescent="0.45">
      <c r="B226" s="244" t="str">
        <f>IF('HCC Data Entry'!B221="","",'HCC Data Entry'!B221)</f>
        <v>Oil City Area School District</v>
      </c>
      <c r="C226" s="244">
        <f>IF('HCC Data Entry'!C221="","",'HCC Data Entry'!C221)</f>
        <v>13615924</v>
      </c>
      <c r="D226" s="244" t="str">
        <f>IF('HCC Data Entry'!D221="","",'HCC Data Entry'!D221)</f>
        <v>Active</v>
      </c>
      <c r="E226" s="244" t="str">
        <f>IF('HCC Data Entry'!E221="","",'HCC Data Entry'!E221)</f>
        <v>Spouse</v>
      </c>
      <c r="F226" s="246">
        <f>IF('HCC Data Entry'!F221="","",'HCC Data Entry'!F221)</f>
        <v>355363.28</v>
      </c>
      <c r="G226" s="246">
        <f>IFERROR(INDEX('HCC Data Entry'!$J$4:$J$22, MATCH('HCC Detail'!$B226,'HCC Data Entry'!$I$4:$I$22,0)),"")</f>
        <v>85000</v>
      </c>
      <c r="H226" s="246">
        <f t="shared" si="12"/>
        <v>270363.28000000003</v>
      </c>
      <c r="I226" s="247">
        <f t="shared" si="13"/>
        <v>215000</v>
      </c>
      <c r="J226" s="246">
        <f t="shared" si="14"/>
        <v>55363.280000000028</v>
      </c>
    </row>
    <row r="227" spans="1:10" ht="18.5" x14ac:dyDescent="0.45">
      <c r="B227" s="244" t="str">
        <f>IF('HCC Data Entry'!B222="","",'HCC Data Entry'!B222)</f>
        <v>Oil City Area School District</v>
      </c>
      <c r="C227" s="244">
        <f>IF('HCC Data Entry'!C222="","",'HCC Data Entry'!C222)</f>
        <v>21669676</v>
      </c>
      <c r="D227" s="244" t="str">
        <f>IF('HCC Data Entry'!D222="","",'HCC Data Entry'!D222)</f>
        <v>Active</v>
      </c>
      <c r="E227" s="244" t="str">
        <f>IF('HCC Data Entry'!E222="","",'HCC Data Entry'!E222)</f>
        <v>Child</v>
      </c>
      <c r="F227" s="246">
        <f>IF('HCC Data Entry'!F222="","",'HCC Data Entry'!F222)</f>
        <v>157024.99</v>
      </c>
      <c r="G227" s="246">
        <f>IFERROR(INDEX('HCC Data Entry'!$J$4:$J$22, MATCH('HCC Detail'!$B227,'HCC Data Entry'!$I$4:$I$22,0)),"")</f>
        <v>85000</v>
      </c>
      <c r="H227" s="246">
        <f t="shared" si="12"/>
        <v>72024.989999999991</v>
      </c>
      <c r="I227" s="247">
        <f t="shared" si="13"/>
        <v>72024.989999999991</v>
      </c>
      <c r="J227" s="246">
        <f t="shared" si="14"/>
        <v>0</v>
      </c>
    </row>
    <row r="228" spans="1:10" ht="18.5" x14ac:dyDescent="0.45">
      <c r="B228" s="244" t="str">
        <f>IF('HCC Data Entry'!B223="","",'HCC Data Entry'!B223)</f>
        <v>Oil City Area School District</v>
      </c>
      <c r="C228" s="244">
        <f>IF('HCC Data Entry'!C223="","",'HCC Data Entry'!C223)</f>
        <v>13598417</v>
      </c>
      <c r="D228" s="244" t="str">
        <f>IF('HCC Data Entry'!D223="","",'HCC Data Entry'!D223)</f>
        <v>Active</v>
      </c>
      <c r="E228" s="244" t="str">
        <f>IF('HCC Data Entry'!E223="","",'HCC Data Entry'!E223)</f>
        <v>Self</v>
      </c>
      <c r="F228" s="246">
        <f>IF('HCC Data Entry'!F223="","",'HCC Data Entry'!F223)</f>
        <v>124945.98</v>
      </c>
      <c r="G228" s="246">
        <f>IFERROR(INDEX('HCC Data Entry'!$J$4:$J$22, MATCH('HCC Detail'!$B228,'HCC Data Entry'!$I$4:$I$22,0)),"")</f>
        <v>85000</v>
      </c>
      <c r="H228" s="246">
        <f t="shared" si="12"/>
        <v>39945.979999999996</v>
      </c>
      <c r="I228" s="247">
        <f t="shared" si="13"/>
        <v>39945.979999999996</v>
      </c>
      <c r="J228" s="246">
        <f t="shared" si="14"/>
        <v>0</v>
      </c>
    </row>
    <row r="229" spans="1:10" ht="18.5" x14ac:dyDescent="0.45">
      <c r="B229" s="244" t="str">
        <f>IF('HCC Data Entry'!B224="","",'HCC Data Entry'!B224)</f>
        <v>Oil City Area School District</v>
      </c>
      <c r="C229" s="244">
        <f>IF('HCC Data Entry'!C224="","",'HCC Data Entry'!C224)</f>
        <v>13597105</v>
      </c>
      <c r="D229" s="244" t="str">
        <f>IF('HCC Data Entry'!D224="","",'HCC Data Entry'!D224)</f>
        <v>Active</v>
      </c>
      <c r="E229" s="244" t="str">
        <f>IF('HCC Data Entry'!E224="","",'HCC Data Entry'!E224)</f>
        <v>Child</v>
      </c>
      <c r="F229" s="246">
        <f>IF('HCC Data Entry'!F224="","",'HCC Data Entry'!F224)</f>
        <v>111422.37</v>
      </c>
      <c r="G229" s="246">
        <f>IFERROR(INDEX('HCC Data Entry'!$J$4:$J$22, MATCH('HCC Detail'!$B229,'HCC Data Entry'!$I$4:$I$22,0)),"")</f>
        <v>85000</v>
      </c>
      <c r="H229" s="246">
        <f t="shared" si="12"/>
        <v>26422.369999999995</v>
      </c>
      <c r="I229" s="247">
        <f t="shared" si="13"/>
        <v>26422.369999999995</v>
      </c>
      <c r="J229" s="246">
        <f t="shared" si="14"/>
        <v>0</v>
      </c>
    </row>
    <row r="230" spans="1:10" ht="18.5" x14ac:dyDescent="0.45">
      <c r="B230" s="244" t="str">
        <f>IF('HCC Data Entry'!B225="","",'HCC Data Entry'!B225)</f>
        <v>Oil City Area School District</v>
      </c>
      <c r="C230" s="244">
        <f>IF('HCC Data Entry'!C225="","",'HCC Data Entry'!C225)</f>
        <v>13595261</v>
      </c>
      <c r="D230" s="244" t="str">
        <f>IF('HCC Data Entry'!D225="","",'HCC Data Entry'!D225)</f>
        <v>Active</v>
      </c>
      <c r="E230" s="244" t="str">
        <f>IF('HCC Data Entry'!E225="","",'HCC Data Entry'!E225)</f>
        <v>Spouse</v>
      </c>
      <c r="F230" s="246">
        <f>IF('HCC Data Entry'!F225="","",'HCC Data Entry'!F225)</f>
        <v>92850.57</v>
      </c>
      <c r="G230" s="246">
        <f>IFERROR(INDEX('HCC Data Entry'!$J$4:$J$22, MATCH('HCC Detail'!$B230,'HCC Data Entry'!$I$4:$I$22,0)),"")</f>
        <v>85000</v>
      </c>
      <c r="H230" s="246">
        <f t="shared" si="12"/>
        <v>7850.570000000007</v>
      </c>
      <c r="I230" s="247">
        <f t="shared" si="13"/>
        <v>7850.570000000007</v>
      </c>
      <c r="J230" s="246">
        <f t="shared" si="14"/>
        <v>0</v>
      </c>
    </row>
    <row r="231" spans="1:10" ht="18.5" x14ac:dyDescent="0.45">
      <c r="A231" s="520"/>
      <c r="B231" s="244" t="str">
        <f>IF('HCC Data Entry'!B226="","",'HCC Data Entry'!B226)</f>
        <v>Oil City Area School District</v>
      </c>
      <c r="C231" s="244">
        <f>IF('HCC Data Entry'!C226="","",'HCC Data Entry'!C226)</f>
        <v>27855751</v>
      </c>
      <c r="D231" s="244" t="str">
        <f>IF('HCC Data Entry'!D226="","",'HCC Data Entry'!D226)</f>
        <v>Active</v>
      </c>
      <c r="E231" s="244" t="str">
        <f>IF('HCC Data Entry'!E226="","",'HCC Data Entry'!E226)</f>
        <v>Spouse</v>
      </c>
      <c r="F231" s="246">
        <f>IF('HCC Data Entry'!F226="","",'HCC Data Entry'!F226)</f>
        <v>91722.27</v>
      </c>
      <c r="G231" s="246">
        <f>IFERROR(INDEX('HCC Data Entry'!$J$4:$J$22, MATCH('HCC Detail'!$B231,'HCC Data Entry'!$I$4:$I$22,0)),"")</f>
        <v>85000</v>
      </c>
      <c r="H231" s="246">
        <f t="shared" si="12"/>
        <v>6722.2700000000041</v>
      </c>
      <c r="I231" s="247">
        <f t="shared" si="13"/>
        <v>6722.2700000000041</v>
      </c>
      <c r="J231" s="246">
        <f t="shared" si="14"/>
        <v>0</v>
      </c>
    </row>
    <row r="232" spans="1:10" ht="18.5" x14ac:dyDescent="0.45">
      <c r="B232" s="244" t="str">
        <f>IF('HCC Data Entry'!B227="","",'HCC Data Entry'!B227)</f>
        <v>Oil City Area School District</v>
      </c>
      <c r="C232" s="244">
        <f>IF('HCC Data Entry'!C227="","",'HCC Data Entry'!C227)</f>
        <v>13609741</v>
      </c>
      <c r="D232" s="244" t="str">
        <f>IF('HCC Data Entry'!D227="","",'HCC Data Entry'!D227)</f>
        <v>Active</v>
      </c>
      <c r="E232" s="244" t="str">
        <f>IF('HCC Data Entry'!E227="","",'HCC Data Entry'!E227)</f>
        <v>Spouse</v>
      </c>
      <c r="F232" s="246">
        <f>IF('HCC Data Entry'!F227="","",'HCC Data Entry'!F227)</f>
        <v>66577.240000000005</v>
      </c>
      <c r="G232" s="246">
        <f>IFERROR(INDEX('HCC Data Entry'!$J$4:$J$22, MATCH('HCC Detail'!$B232,'HCC Data Entry'!$I$4:$I$22,0)),"")</f>
        <v>85000</v>
      </c>
      <c r="H232" s="246">
        <f t="shared" si="12"/>
        <v>0</v>
      </c>
      <c r="I232" s="247">
        <f t="shared" si="13"/>
        <v>0</v>
      </c>
      <c r="J232" s="246">
        <f t="shared" si="14"/>
        <v>0</v>
      </c>
    </row>
    <row r="233" spans="1:10" ht="18.5" x14ac:dyDescent="0.45">
      <c r="B233" s="244" t="str">
        <f>IF('HCC Data Entry'!B228="","",'HCC Data Entry'!B228)</f>
        <v>Oil City Area School District</v>
      </c>
      <c r="C233" s="244">
        <f>IF('HCC Data Entry'!C228="","",'HCC Data Entry'!C228)</f>
        <v>13610622</v>
      </c>
      <c r="D233" s="244" t="str">
        <f>IF('HCC Data Entry'!D228="","",'HCC Data Entry'!D228)</f>
        <v>Active</v>
      </c>
      <c r="E233" s="244" t="str">
        <f>IF('HCC Data Entry'!E228="","",'HCC Data Entry'!E228)</f>
        <v>Self</v>
      </c>
      <c r="F233" s="246">
        <f>IF('HCC Data Entry'!F228="","",'HCC Data Entry'!F228)</f>
        <v>53684.53</v>
      </c>
      <c r="G233" s="246">
        <f>IFERROR(INDEX('HCC Data Entry'!$J$4:$J$22, MATCH('HCC Detail'!$B233,'HCC Data Entry'!$I$4:$I$22,0)),"")</f>
        <v>85000</v>
      </c>
      <c r="H233" s="246">
        <f t="shared" si="12"/>
        <v>0</v>
      </c>
      <c r="I233" s="247">
        <f t="shared" si="13"/>
        <v>0</v>
      </c>
      <c r="J233" s="246">
        <f t="shared" si="14"/>
        <v>0</v>
      </c>
    </row>
    <row r="234" spans="1:10" ht="18.5" x14ac:dyDescent="0.45">
      <c r="B234" s="244" t="str">
        <f>IF('HCC Data Entry'!B229="","",'HCC Data Entry'!B229)</f>
        <v>Oil City Area School District</v>
      </c>
      <c r="C234" s="244">
        <f>IF('HCC Data Entry'!C229="","",'HCC Data Entry'!C229)</f>
        <v>13603528</v>
      </c>
      <c r="D234" s="244" t="str">
        <f>IF('HCC Data Entry'!D229="","",'HCC Data Entry'!D229)</f>
        <v>COBRA</v>
      </c>
      <c r="E234" s="244" t="str">
        <f>IF('HCC Data Entry'!E229="","",'HCC Data Entry'!E229)</f>
        <v>Spouse</v>
      </c>
      <c r="F234" s="246">
        <f>IF('HCC Data Entry'!F229="","",'HCC Data Entry'!F229)</f>
        <v>47213.98</v>
      </c>
      <c r="G234" s="246">
        <f>IFERROR(INDEX('HCC Data Entry'!$J$4:$J$22, MATCH('HCC Detail'!$B234,'HCC Data Entry'!$I$4:$I$22,0)),"")</f>
        <v>85000</v>
      </c>
      <c r="H234" s="246">
        <f t="shared" si="12"/>
        <v>0</v>
      </c>
      <c r="I234" s="247">
        <f t="shared" si="13"/>
        <v>0</v>
      </c>
      <c r="J234" s="246">
        <f t="shared" si="14"/>
        <v>0</v>
      </c>
    </row>
    <row r="235" spans="1:10" ht="18.5" x14ac:dyDescent="0.45">
      <c r="B235" s="244" t="str">
        <f>IF('HCC Data Entry'!B230="","",'HCC Data Entry'!B230)</f>
        <v>Oil City Area School District</v>
      </c>
      <c r="C235" s="244">
        <f>IF('HCC Data Entry'!C230="","",'HCC Data Entry'!C230)</f>
        <v>13591097</v>
      </c>
      <c r="D235" s="244" t="str">
        <f>IF('HCC Data Entry'!D230="","",'HCC Data Entry'!D230)</f>
        <v>Active</v>
      </c>
      <c r="E235" s="244" t="str">
        <f>IF('HCC Data Entry'!E230="","",'HCC Data Entry'!E230)</f>
        <v>Spouse</v>
      </c>
      <c r="F235" s="246">
        <f>IF('HCC Data Entry'!F230="","",'HCC Data Entry'!F230)</f>
        <v>46570.13</v>
      </c>
      <c r="G235" s="246">
        <f>IFERROR(INDEX('HCC Data Entry'!$J$4:$J$22, MATCH('HCC Detail'!$B235,'HCC Data Entry'!$I$4:$I$22,0)),"")</f>
        <v>85000</v>
      </c>
      <c r="H235" s="246">
        <f t="shared" si="12"/>
        <v>0</v>
      </c>
      <c r="I235" s="247">
        <f t="shared" si="13"/>
        <v>0</v>
      </c>
      <c r="J235" s="246">
        <f t="shared" si="14"/>
        <v>0</v>
      </c>
    </row>
    <row r="236" spans="1:10" ht="18.5" x14ac:dyDescent="0.45">
      <c r="B236" s="244" t="str">
        <f>IF('HCC Data Entry'!B231="","",'HCC Data Entry'!B231)</f>
        <v>Oil City Area School District</v>
      </c>
      <c r="C236" s="244">
        <f>IF('HCC Data Entry'!C231="","",'HCC Data Entry'!C231)</f>
        <v>13595424</v>
      </c>
      <c r="D236" s="244" t="str">
        <f>IF('HCC Data Entry'!D231="","",'HCC Data Entry'!D231)</f>
        <v>Active</v>
      </c>
      <c r="E236" s="244" t="str">
        <f>IF('HCC Data Entry'!E231="","",'HCC Data Entry'!E231)</f>
        <v>Self</v>
      </c>
      <c r="F236" s="246">
        <f>IF('HCC Data Entry'!F231="","",'HCC Data Entry'!F231)</f>
        <v>46103.56</v>
      </c>
      <c r="G236" s="246">
        <f>IFERROR(INDEX('HCC Data Entry'!$J$4:$J$22, MATCH('HCC Detail'!$B236,'HCC Data Entry'!$I$4:$I$22,0)),"")</f>
        <v>85000</v>
      </c>
      <c r="H236" s="246">
        <f t="shared" si="12"/>
        <v>0</v>
      </c>
      <c r="I236" s="247">
        <f t="shared" si="13"/>
        <v>0</v>
      </c>
      <c r="J236" s="246">
        <f t="shared" si="14"/>
        <v>0</v>
      </c>
    </row>
    <row r="237" spans="1:10" ht="18.5" x14ac:dyDescent="0.45">
      <c r="B237" s="244" t="str">
        <f>IF('HCC Data Entry'!B232="","",'HCC Data Entry'!B232)</f>
        <v>Oil City Area School District</v>
      </c>
      <c r="C237" s="244">
        <f>IF('HCC Data Entry'!C232="","",'HCC Data Entry'!C232)</f>
        <v>13604881</v>
      </c>
      <c r="D237" s="244" t="str">
        <f>IF('HCC Data Entry'!D232="","",'HCC Data Entry'!D232)</f>
        <v>Active</v>
      </c>
      <c r="E237" s="244" t="str">
        <f>IF('HCC Data Entry'!E232="","",'HCC Data Entry'!E232)</f>
        <v>Spouse</v>
      </c>
      <c r="F237" s="246">
        <f>IF('HCC Data Entry'!F232="","",'HCC Data Entry'!F232)</f>
        <v>45803.43</v>
      </c>
      <c r="G237" s="246">
        <f>IFERROR(INDEX('HCC Data Entry'!$J$4:$J$22, MATCH('HCC Detail'!$B237,'HCC Data Entry'!$I$4:$I$22,0)),"")</f>
        <v>85000</v>
      </c>
      <c r="H237" s="246">
        <f t="shared" si="12"/>
        <v>0</v>
      </c>
      <c r="I237" s="247">
        <f t="shared" si="13"/>
        <v>0</v>
      </c>
      <c r="J237" s="246">
        <f t="shared" si="14"/>
        <v>0</v>
      </c>
    </row>
    <row r="238" spans="1:10" ht="18.5" x14ac:dyDescent="0.45">
      <c r="B238" s="244" t="str">
        <f>IF('HCC Data Entry'!B233="","",'HCC Data Entry'!B233)</f>
        <v>Oil City Area School District</v>
      </c>
      <c r="C238" s="244">
        <f>IF('HCC Data Entry'!C233="","",'HCC Data Entry'!C233)</f>
        <v>20854530</v>
      </c>
      <c r="D238" s="244" t="str">
        <f>IF('HCC Data Entry'!D233="","",'HCC Data Entry'!D233)</f>
        <v>Active</v>
      </c>
      <c r="E238" s="244" t="str">
        <f>IF('HCC Data Entry'!E233="","",'HCC Data Entry'!E233)</f>
        <v>Self</v>
      </c>
      <c r="F238" s="246">
        <f>IF('HCC Data Entry'!F233="","",'HCC Data Entry'!F233)</f>
        <v>38201.17</v>
      </c>
      <c r="G238" s="246">
        <f>IFERROR(INDEX('HCC Data Entry'!$J$4:$J$22, MATCH('HCC Detail'!$B238,'HCC Data Entry'!$I$4:$I$22,0)),"")</f>
        <v>85000</v>
      </c>
      <c r="H238" s="246">
        <f t="shared" si="12"/>
        <v>0</v>
      </c>
      <c r="I238" s="247">
        <f t="shared" si="13"/>
        <v>0</v>
      </c>
      <c r="J238" s="246">
        <f t="shared" si="14"/>
        <v>0</v>
      </c>
    </row>
    <row r="239" spans="1:10" ht="18.5" x14ac:dyDescent="0.45">
      <c r="B239" s="244" t="str">
        <f>IF('HCC Data Entry'!B234="","",'HCC Data Entry'!B234)</f>
        <v>Oil City Area School District</v>
      </c>
      <c r="C239" s="244">
        <f>IF('HCC Data Entry'!C234="","",'HCC Data Entry'!C234)</f>
        <v>13603528</v>
      </c>
      <c r="D239" s="244" t="str">
        <f>IF('HCC Data Entry'!D234="","",'HCC Data Entry'!D234)</f>
        <v>Active</v>
      </c>
      <c r="E239" s="244" t="str">
        <f>IF('HCC Data Entry'!E234="","",'HCC Data Entry'!E234)</f>
        <v>Spouse</v>
      </c>
      <c r="F239" s="246">
        <f>IF('HCC Data Entry'!F234="","",'HCC Data Entry'!F234)</f>
        <v>36756.03</v>
      </c>
      <c r="G239" s="246">
        <f>IFERROR(INDEX('HCC Data Entry'!$J$4:$J$22, MATCH('HCC Detail'!$B239,'HCC Data Entry'!$I$4:$I$22,0)),"")</f>
        <v>85000</v>
      </c>
      <c r="H239" s="246">
        <f t="shared" si="12"/>
        <v>0</v>
      </c>
      <c r="I239" s="247">
        <f t="shared" si="13"/>
        <v>0</v>
      </c>
      <c r="J239" s="246">
        <f t="shared" si="14"/>
        <v>0</v>
      </c>
    </row>
    <row r="240" spans="1:10" ht="18.5" x14ac:dyDescent="0.45">
      <c r="B240" s="244" t="str">
        <f>IF('HCC Data Entry'!B235="","",'HCC Data Entry'!B235)</f>
        <v>Oil City Area School District</v>
      </c>
      <c r="C240" s="244">
        <f>IF('HCC Data Entry'!C235="","",'HCC Data Entry'!C235)</f>
        <v>13599302</v>
      </c>
      <c r="D240" s="244" t="str">
        <f>IF('HCC Data Entry'!D235="","",'HCC Data Entry'!D235)</f>
        <v>Active</v>
      </c>
      <c r="E240" s="244" t="str">
        <f>IF('HCC Data Entry'!E235="","",'HCC Data Entry'!E235)</f>
        <v>Self</v>
      </c>
      <c r="F240" s="246">
        <f>IF('HCC Data Entry'!F235="","",'HCC Data Entry'!F235)</f>
        <v>34498.800000000003</v>
      </c>
      <c r="G240" s="246">
        <f>IFERROR(INDEX('HCC Data Entry'!$J$4:$J$22, MATCH('HCC Detail'!$B240,'HCC Data Entry'!$I$4:$I$22,0)),"")</f>
        <v>85000</v>
      </c>
      <c r="H240" s="246">
        <f t="shared" si="12"/>
        <v>0</v>
      </c>
      <c r="I240" s="247">
        <f t="shared" si="13"/>
        <v>0</v>
      </c>
      <c r="J240" s="246">
        <f t="shared" si="14"/>
        <v>0</v>
      </c>
    </row>
    <row r="241" spans="2:10" ht="18.5" x14ac:dyDescent="0.45">
      <c r="B241" s="244" t="str">
        <f>IF('HCC Data Entry'!B236="","",'HCC Data Entry'!B236)</f>
        <v>Oil City Area School District</v>
      </c>
      <c r="C241" s="244">
        <f>IF('HCC Data Entry'!C236="","",'HCC Data Entry'!C236)</f>
        <v>13597694</v>
      </c>
      <c r="D241" s="244" t="str">
        <f>IF('HCC Data Entry'!D236="","",'HCC Data Entry'!D236)</f>
        <v>Active</v>
      </c>
      <c r="E241" s="244" t="str">
        <f>IF('HCC Data Entry'!E236="","",'HCC Data Entry'!E236)</f>
        <v>Self</v>
      </c>
      <c r="F241" s="246">
        <f>IF('HCC Data Entry'!F236="","",'HCC Data Entry'!F236)</f>
        <v>34159.160000000003</v>
      </c>
      <c r="G241" s="246">
        <f>IFERROR(INDEX('HCC Data Entry'!$J$4:$J$22, MATCH('HCC Detail'!$B241,'HCC Data Entry'!$I$4:$I$22,0)),"")</f>
        <v>85000</v>
      </c>
      <c r="H241" s="246">
        <f t="shared" si="12"/>
        <v>0</v>
      </c>
      <c r="I241" s="247">
        <f t="shared" si="13"/>
        <v>0</v>
      </c>
      <c r="J241" s="246">
        <f t="shared" si="14"/>
        <v>0</v>
      </c>
    </row>
    <row r="242" spans="2:10" ht="18.5" x14ac:dyDescent="0.45">
      <c r="B242" s="244" t="str">
        <f>IF('HCC Data Entry'!B237="","",'HCC Data Entry'!B237)</f>
        <v>Oil City Area School District</v>
      </c>
      <c r="C242" s="244">
        <f>IF('HCC Data Entry'!C237="","",'HCC Data Entry'!C237)</f>
        <v>13602872</v>
      </c>
      <c r="D242" s="244" t="str">
        <f>IF('HCC Data Entry'!D237="","",'HCC Data Entry'!D237)</f>
        <v>Retiree</v>
      </c>
      <c r="E242" s="244" t="str">
        <f>IF('HCC Data Entry'!E237="","",'HCC Data Entry'!E237)</f>
        <v>Self</v>
      </c>
      <c r="F242" s="246">
        <f>IF('HCC Data Entry'!F237="","",'HCC Data Entry'!F237)</f>
        <v>33366.51</v>
      </c>
      <c r="G242" s="246">
        <f>IFERROR(INDEX('HCC Data Entry'!$J$4:$J$22, MATCH('HCC Detail'!$B242,'HCC Data Entry'!$I$4:$I$22,0)),"")</f>
        <v>85000</v>
      </c>
      <c r="H242" s="246">
        <f t="shared" si="12"/>
        <v>0</v>
      </c>
      <c r="I242" s="247">
        <f t="shared" si="13"/>
        <v>0</v>
      </c>
      <c r="J242" s="246">
        <f t="shared" si="14"/>
        <v>0</v>
      </c>
    </row>
    <row r="243" spans="2:10" ht="18.5" x14ac:dyDescent="0.45">
      <c r="B243" s="244" t="str">
        <f>IF('HCC Data Entry'!B238="","",'HCC Data Entry'!B238)</f>
        <v>Oil City Area School District</v>
      </c>
      <c r="C243" s="244">
        <f>IF('HCC Data Entry'!C238="","",'HCC Data Entry'!C238)</f>
        <v>13606727</v>
      </c>
      <c r="D243" s="244" t="str">
        <f>IF('HCC Data Entry'!D238="","",'HCC Data Entry'!D238)</f>
        <v>Retiree</v>
      </c>
      <c r="E243" s="244" t="str">
        <f>IF('HCC Data Entry'!E238="","",'HCC Data Entry'!E238)</f>
        <v>Spouse</v>
      </c>
      <c r="F243" s="246">
        <f>IF('HCC Data Entry'!F238="","",'HCC Data Entry'!F238)</f>
        <v>33113.11</v>
      </c>
      <c r="G243" s="246">
        <f>IFERROR(INDEX('HCC Data Entry'!$J$4:$J$22, MATCH('HCC Detail'!$B243,'HCC Data Entry'!$I$4:$I$22,0)),"")</f>
        <v>85000</v>
      </c>
      <c r="H243" s="246">
        <f t="shared" si="12"/>
        <v>0</v>
      </c>
      <c r="I243" s="247">
        <f t="shared" si="13"/>
        <v>0</v>
      </c>
      <c r="J243" s="246">
        <f t="shared" si="14"/>
        <v>0</v>
      </c>
    </row>
    <row r="244" spans="2:10" ht="18.5" x14ac:dyDescent="0.45">
      <c r="B244" s="244" t="str">
        <f>IF('HCC Data Entry'!B239="","",'HCC Data Entry'!B239)</f>
        <v>Oil City Area School District</v>
      </c>
      <c r="C244" s="244">
        <f>IF('HCC Data Entry'!C239="","",'HCC Data Entry'!C239)</f>
        <v>13610625</v>
      </c>
      <c r="D244" s="244" t="str">
        <f>IF('HCC Data Entry'!D239="","",'HCC Data Entry'!D239)</f>
        <v>Active</v>
      </c>
      <c r="E244" s="244" t="str">
        <f>IF('HCC Data Entry'!E239="","",'HCC Data Entry'!E239)</f>
        <v>Self</v>
      </c>
      <c r="F244" s="246">
        <f>IF('HCC Data Entry'!F239="","",'HCC Data Entry'!F239)</f>
        <v>26299.29</v>
      </c>
      <c r="G244" s="246">
        <f>IFERROR(INDEX('HCC Data Entry'!$J$4:$J$22, MATCH('HCC Detail'!$B244,'HCC Data Entry'!$I$4:$I$22,0)),"")</f>
        <v>85000</v>
      </c>
      <c r="H244" s="246">
        <f t="shared" si="12"/>
        <v>0</v>
      </c>
      <c r="I244" s="247">
        <f t="shared" si="13"/>
        <v>0</v>
      </c>
      <c r="J244" s="246">
        <f t="shared" si="14"/>
        <v>0</v>
      </c>
    </row>
    <row r="245" spans="2:10" ht="18.5" x14ac:dyDescent="0.45">
      <c r="B245" s="244" t="str">
        <f>IF('HCC Data Entry'!B240="","",'HCC Data Entry'!B240)</f>
        <v>Oil City Area School District</v>
      </c>
      <c r="C245" s="244">
        <f>IF('HCC Data Entry'!C240="","",'HCC Data Entry'!C240)</f>
        <v>13608786</v>
      </c>
      <c r="D245" s="244" t="str">
        <f>IF('HCC Data Entry'!D240="","",'HCC Data Entry'!D240)</f>
        <v>Active</v>
      </c>
      <c r="E245" s="244" t="str">
        <f>IF('HCC Data Entry'!E240="","",'HCC Data Entry'!E240)</f>
        <v>Self</v>
      </c>
      <c r="F245" s="246">
        <f>IF('HCC Data Entry'!F240="","",'HCC Data Entry'!F240)</f>
        <v>26224.12</v>
      </c>
      <c r="G245" s="246">
        <f>IFERROR(INDEX('HCC Data Entry'!$J$4:$J$22, MATCH('HCC Detail'!$B245,'HCC Data Entry'!$I$4:$I$22,0)),"")</f>
        <v>85000</v>
      </c>
      <c r="H245" s="246">
        <f t="shared" si="12"/>
        <v>0</v>
      </c>
      <c r="I245" s="247">
        <f t="shared" si="13"/>
        <v>0</v>
      </c>
      <c r="J245" s="246">
        <f t="shared" si="14"/>
        <v>0</v>
      </c>
    </row>
    <row r="246" spans="2:10" ht="18.5" x14ac:dyDescent="0.45">
      <c r="B246" s="244" t="str">
        <f>IF('HCC Data Entry'!B241="","",'HCC Data Entry'!B241)</f>
        <v>Oil City Area School District</v>
      </c>
      <c r="C246" s="244">
        <f>IF('HCC Data Entry'!C241="","",'HCC Data Entry'!C241)</f>
        <v>20936813</v>
      </c>
      <c r="D246" s="244" t="str">
        <f>IF('HCC Data Entry'!D241="","",'HCC Data Entry'!D241)</f>
        <v>Active</v>
      </c>
      <c r="E246" s="244" t="str">
        <f>IF('HCC Data Entry'!E241="","",'HCC Data Entry'!E241)</f>
        <v>Spouse</v>
      </c>
      <c r="F246" s="246">
        <f>IF('HCC Data Entry'!F241="","",'HCC Data Entry'!F241)</f>
        <v>25938.17</v>
      </c>
      <c r="G246" s="246">
        <f>IFERROR(INDEX('HCC Data Entry'!$J$4:$J$22, MATCH('HCC Detail'!$B246,'HCC Data Entry'!$I$4:$I$22,0)),"")</f>
        <v>85000</v>
      </c>
      <c r="H246" s="246">
        <f t="shared" si="12"/>
        <v>0</v>
      </c>
      <c r="I246" s="247">
        <f t="shared" si="13"/>
        <v>0</v>
      </c>
      <c r="J246" s="246">
        <f t="shared" si="14"/>
        <v>0</v>
      </c>
    </row>
    <row r="247" spans="2:10" ht="18.5" x14ac:dyDescent="0.45">
      <c r="B247" s="244" t="str">
        <f>IF('HCC Data Entry'!B242="","",'HCC Data Entry'!B242)</f>
        <v>Oil City Area School District</v>
      </c>
      <c r="C247" s="244">
        <f>IF('HCC Data Entry'!C242="","",'HCC Data Entry'!C242)</f>
        <v>26343807</v>
      </c>
      <c r="D247" s="244" t="str">
        <f>IF('HCC Data Entry'!D242="","",'HCC Data Entry'!D242)</f>
        <v>Active</v>
      </c>
      <c r="E247" s="244" t="str">
        <f>IF('HCC Data Entry'!E242="","",'HCC Data Entry'!E242)</f>
        <v>Spouse</v>
      </c>
      <c r="F247" s="246">
        <f>IF('HCC Data Entry'!F242="","",'HCC Data Entry'!F242)</f>
        <v>25401.24</v>
      </c>
      <c r="G247" s="246">
        <f>IFERROR(INDEX('HCC Data Entry'!$J$4:$J$22, MATCH('HCC Detail'!$B247,'HCC Data Entry'!$I$4:$I$22,0)),"")</f>
        <v>85000</v>
      </c>
      <c r="H247" s="246">
        <f t="shared" si="12"/>
        <v>0</v>
      </c>
      <c r="I247" s="247">
        <f t="shared" si="13"/>
        <v>0</v>
      </c>
      <c r="J247" s="246">
        <f t="shared" si="14"/>
        <v>0</v>
      </c>
    </row>
    <row r="248" spans="2:10" ht="18.5" x14ac:dyDescent="0.45">
      <c r="B248" s="244" t="str">
        <f>IF('HCC Data Entry'!B243="","",'HCC Data Entry'!B243)</f>
        <v>Oil City Area School District</v>
      </c>
      <c r="C248" s="244">
        <f>IF('HCC Data Entry'!C243="","",'HCC Data Entry'!C243)</f>
        <v>13601101</v>
      </c>
      <c r="D248" s="244" t="str">
        <f>IF('HCC Data Entry'!D243="","",'HCC Data Entry'!D243)</f>
        <v>Active</v>
      </c>
      <c r="E248" s="244" t="str">
        <f>IF('HCC Data Entry'!E243="","",'HCC Data Entry'!E243)</f>
        <v>Spouse</v>
      </c>
      <c r="F248" s="246">
        <f>IF('HCC Data Entry'!F243="","",'HCC Data Entry'!F243)</f>
        <v>25375.55</v>
      </c>
      <c r="G248" s="246">
        <f>IFERROR(INDEX('HCC Data Entry'!$J$4:$J$22, MATCH('HCC Detail'!$B248,'HCC Data Entry'!$I$4:$I$22,0)),"")</f>
        <v>85000</v>
      </c>
      <c r="H248" s="246">
        <f t="shared" si="12"/>
        <v>0</v>
      </c>
      <c r="I248" s="247">
        <f t="shared" si="13"/>
        <v>0</v>
      </c>
      <c r="J248" s="246">
        <f t="shared" si="14"/>
        <v>0</v>
      </c>
    </row>
    <row r="249" spans="2:10" ht="18.5" x14ac:dyDescent="0.45">
      <c r="B249" s="244" t="str">
        <f>IF('HCC Data Entry'!B244="","",'HCC Data Entry'!B244)</f>
        <v>Penncrest School District</v>
      </c>
      <c r="C249" s="244">
        <f>IF('HCC Data Entry'!C244="","",'HCC Data Entry'!C244)</f>
        <v>13612822</v>
      </c>
      <c r="D249" s="244" t="str">
        <f>IF('HCC Data Entry'!D244="","",'HCC Data Entry'!D244)</f>
        <v>Active</v>
      </c>
      <c r="E249" s="244" t="str">
        <f>IF('HCC Data Entry'!E244="","",'HCC Data Entry'!E244)</f>
        <v>Self</v>
      </c>
      <c r="F249" s="246">
        <f>IF('HCC Data Entry'!F244="","",'HCC Data Entry'!F244)</f>
        <v>416895.73</v>
      </c>
      <c r="G249" s="246">
        <f>IFERROR(INDEX('HCC Data Entry'!$J$4:$J$22, MATCH('HCC Detail'!$B249,'HCC Data Entry'!$I$4:$I$22,0)),"")</f>
        <v>110000</v>
      </c>
      <c r="H249" s="246">
        <f t="shared" si="12"/>
        <v>306895.73</v>
      </c>
      <c r="I249" s="247">
        <f t="shared" si="13"/>
        <v>190000</v>
      </c>
      <c r="J249" s="246">
        <f t="shared" si="14"/>
        <v>116895.72999999998</v>
      </c>
    </row>
    <row r="250" spans="2:10" ht="18.5" x14ac:dyDescent="0.45">
      <c r="B250" s="244" t="str">
        <f>IF('HCC Data Entry'!B245="","",'HCC Data Entry'!B245)</f>
        <v>Penncrest School District</v>
      </c>
      <c r="C250" s="244">
        <f>IF('HCC Data Entry'!C245="","",'HCC Data Entry'!C245)</f>
        <v>13612274</v>
      </c>
      <c r="D250" s="244" t="str">
        <f>IF('HCC Data Entry'!D245="","",'HCC Data Entry'!D245)</f>
        <v>Active</v>
      </c>
      <c r="E250" s="244" t="str">
        <f>IF('HCC Data Entry'!E245="","",'HCC Data Entry'!E245)</f>
        <v>Spouse</v>
      </c>
      <c r="F250" s="246">
        <f>IF('HCC Data Entry'!F245="","",'HCC Data Entry'!F245)</f>
        <v>381369</v>
      </c>
      <c r="G250" s="246">
        <f>IFERROR(INDEX('HCC Data Entry'!$J$4:$J$22, MATCH('HCC Detail'!$B250,'HCC Data Entry'!$I$4:$I$22,0)),"")</f>
        <v>110000</v>
      </c>
      <c r="H250" s="246">
        <f t="shared" si="12"/>
        <v>271369</v>
      </c>
      <c r="I250" s="247">
        <f t="shared" si="13"/>
        <v>190000</v>
      </c>
      <c r="J250" s="246">
        <f t="shared" si="14"/>
        <v>81369</v>
      </c>
    </row>
    <row r="251" spans="2:10" ht="18.5" x14ac:dyDescent="0.45">
      <c r="B251" s="244" t="str">
        <f>IF('HCC Data Entry'!B246="","",'HCC Data Entry'!B246)</f>
        <v>Penncrest School District</v>
      </c>
      <c r="C251" s="244">
        <f>IF('HCC Data Entry'!C246="","",'HCC Data Entry'!C246)</f>
        <v>13605668</v>
      </c>
      <c r="D251" s="244" t="str">
        <f>IF('HCC Data Entry'!D246="","",'HCC Data Entry'!D246)</f>
        <v>Active</v>
      </c>
      <c r="E251" s="244" t="str">
        <f>IF('HCC Data Entry'!E246="","",'HCC Data Entry'!E246)</f>
        <v>Spouse</v>
      </c>
      <c r="F251" s="246">
        <f>IF('HCC Data Entry'!F246="","",'HCC Data Entry'!F246)</f>
        <v>296576.12</v>
      </c>
      <c r="G251" s="246">
        <f>IFERROR(INDEX('HCC Data Entry'!$J$4:$J$22, MATCH('HCC Detail'!$B251,'HCC Data Entry'!$I$4:$I$22,0)),"")</f>
        <v>110000</v>
      </c>
      <c r="H251" s="246">
        <f t="shared" si="12"/>
        <v>186576.12</v>
      </c>
      <c r="I251" s="247">
        <f t="shared" si="13"/>
        <v>186576.12</v>
      </c>
      <c r="J251" s="246">
        <f t="shared" si="14"/>
        <v>0</v>
      </c>
    </row>
    <row r="252" spans="2:10" ht="18.5" x14ac:dyDescent="0.45">
      <c r="B252" s="244" t="str">
        <f>IF('HCC Data Entry'!B247="","",'HCC Data Entry'!B247)</f>
        <v>Penncrest School District</v>
      </c>
      <c r="C252" s="244">
        <f>IF('HCC Data Entry'!C247="","",'HCC Data Entry'!C247)</f>
        <v>13597629</v>
      </c>
      <c r="D252" s="244" t="str">
        <f>IF('HCC Data Entry'!D247="","",'HCC Data Entry'!D247)</f>
        <v>Active</v>
      </c>
      <c r="E252" s="244" t="str">
        <f>IF('HCC Data Entry'!E247="","",'HCC Data Entry'!E247)</f>
        <v>Self</v>
      </c>
      <c r="F252" s="246">
        <f>IF('HCC Data Entry'!F247="","",'HCC Data Entry'!F247)</f>
        <v>216605.04</v>
      </c>
      <c r="G252" s="246">
        <f>IFERROR(INDEX('HCC Data Entry'!$J$4:$J$22, MATCH('HCC Detail'!$B252,'HCC Data Entry'!$I$4:$I$22,0)),"")</f>
        <v>110000</v>
      </c>
      <c r="H252" s="246">
        <f t="shared" si="12"/>
        <v>106605.04000000001</v>
      </c>
      <c r="I252" s="247">
        <f t="shared" si="13"/>
        <v>106605.04000000001</v>
      </c>
      <c r="J252" s="246">
        <f t="shared" si="14"/>
        <v>0</v>
      </c>
    </row>
    <row r="253" spans="2:10" ht="18.5" x14ac:dyDescent="0.45">
      <c r="B253" s="244" t="str">
        <f>IF('HCC Data Entry'!B248="","",'HCC Data Entry'!B248)</f>
        <v>Penncrest School District</v>
      </c>
      <c r="C253" s="244">
        <f>IF('HCC Data Entry'!C248="","",'HCC Data Entry'!C248)</f>
        <v>27877903</v>
      </c>
      <c r="D253" s="244" t="str">
        <f>IF('HCC Data Entry'!D248="","",'HCC Data Entry'!D248)</f>
        <v>Active</v>
      </c>
      <c r="E253" s="244" t="str">
        <f>IF('HCC Data Entry'!E248="","",'HCC Data Entry'!E248)</f>
        <v>Self</v>
      </c>
      <c r="F253" s="246">
        <f>IF('HCC Data Entry'!F248="","",'HCC Data Entry'!F248)</f>
        <v>201791.15</v>
      </c>
      <c r="G253" s="246">
        <f>IFERROR(INDEX('HCC Data Entry'!$J$4:$J$22, MATCH('HCC Detail'!$B253,'HCC Data Entry'!$I$4:$I$22,0)),"")</f>
        <v>110000</v>
      </c>
      <c r="H253" s="246">
        <f t="shared" si="12"/>
        <v>91791.15</v>
      </c>
      <c r="I253" s="247">
        <f t="shared" si="13"/>
        <v>91791.15</v>
      </c>
      <c r="J253" s="246">
        <f t="shared" si="14"/>
        <v>0</v>
      </c>
    </row>
    <row r="254" spans="2:10" ht="18.5" x14ac:dyDescent="0.45">
      <c r="B254" s="244" t="str">
        <f>IF('HCC Data Entry'!B249="","",'HCC Data Entry'!B249)</f>
        <v>Penncrest School District</v>
      </c>
      <c r="C254" s="244">
        <f>IF('HCC Data Entry'!C249="","",'HCC Data Entry'!C249)</f>
        <v>13601953</v>
      </c>
      <c r="D254" s="244" t="str">
        <f>IF('HCC Data Entry'!D249="","",'HCC Data Entry'!D249)</f>
        <v>Active</v>
      </c>
      <c r="E254" s="244" t="str">
        <f>IF('HCC Data Entry'!E249="","",'HCC Data Entry'!E249)</f>
        <v>Spouse</v>
      </c>
      <c r="F254" s="246">
        <f>IF('HCC Data Entry'!F249="","",'HCC Data Entry'!F249)</f>
        <v>185128.95999999999</v>
      </c>
      <c r="G254" s="246">
        <f>IFERROR(INDEX('HCC Data Entry'!$J$4:$J$22, MATCH('HCC Detail'!$B254,'HCC Data Entry'!$I$4:$I$22,0)),"")</f>
        <v>110000</v>
      </c>
      <c r="H254" s="246">
        <f t="shared" si="12"/>
        <v>75128.959999999992</v>
      </c>
      <c r="I254" s="247">
        <f t="shared" si="13"/>
        <v>75128.959999999992</v>
      </c>
      <c r="J254" s="246">
        <f t="shared" si="14"/>
        <v>0</v>
      </c>
    </row>
    <row r="255" spans="2:10" ht="18.5" x14ac:dyDescent="0.45">
      <c r="B255" s="244" t="str">
        <f>IF('HCC Data Entry'!B250="","",'HCC Data Entry'!B250)</f>
        <v>Penncrest School District</v>
      </c>
      <c r="C255" s="244">
        <f>IF('HCC Data Entry'!C250="","",'HCC Data Entry'!C250)</f>
        <v>13599990</v>
      </c>
      <c r="D255" s="244" t="str">
        <f>IF('HCC Data Entry'!D250="","",'HCC Data Entry'!D250)</f>
        <v>Active</v>
      </c>
      <c r="E255" s="244" t="str">
        <f>IF('HCC Data Entry'!E250="","",'HCC Data Entry'!E250)</f>
        <v>Self</v>
      </c>
      <c r="F255" s="246">
        <f>IF('HCC Data Entry'!F250="","",'HCC Data Entry'!F250)</f>
        <v>118963.41</v>
      </c>
      <c r="G255" s="246">
        <f>IFERROR(INDEX('HCC Data Entry'!$J$4:$J$22, MATCH('HCC Detail'!$B255,'HCC Data Entry'!$I$4:$I$22,0)),"")</f>
        <v>110000</v>
      </c>
      <c r="H255" s="246">
        <f t="shared" si="12"/>
        <v>8963.4100000000035</v>
      </c>
      <c r="I255" s="247">
        <f t="shared" si="13"/>
        <v>8963.4100000000035</v>
      </c>
      <c r="J255" s="246">
        <f t="shared" si="14"/>
        <v>0</v>
      </c>
    </row>
    <row r="256" spans="2:10" ht="18.5" x14ac:dyDescent="0.45">
      <c r="B256" s="244" t="str">
        <f>IF('HCC Data Entry'!B251="","",'HCC Data Entry'!B251)</f>
        <v>Penncrest School District</v>
      </c>
      <c r="C256" s="244">
        <f>IF('HCC Data Entry'!C251="","",'HCC Data Entry'!C251)</f>
        <v>13596052</v>
      </c>
      <c r="D256" s="244" t="str">
        <f>IF('HCC Data Entry'!D251="","",'HCC Data Entry'!D251)</f>
        <v>COBRA</v>
      </c>
      <c r="E256" s="244" t="str">
        <f>IF('HCC Data Entry'!E251="","",'HCC Data Entry'!E251)</f>
        <v>Self</v>
      </c>
      <c r="F256" s="246">
        <f>IF('HCC Data Entry'!F251="","",'HCC Data Entry'!F251)</f>
        <v>95899.22</v>
      </c>
      <c r="G256" s="246">
        <f>IFERROR(INDEX('HCC Data Entry'!$J$4:$J$22, MATCH('HCC Detail'!$B256,'HCC Data Entry'!$I$4:$I$22,0)),"")</f>
        <v>110000</v>
      </c>
      <c r="H256" s="246">
        <f t="shared" si="12"/>
        <v>0</v>
      </c>
      <c r="I256" s="247">
        <f t="shared" si="13"/>
        <v>0</v>
      </c>
      <c r="J256" s="246">
        <f t="shared" si="14"/>
        <v>0</v>
      </c>
    </row>
    <row r="257" spans="2:10" ht="18.5" x14ac:dyDescent="0.45">
      <c r="B257" s="244" t="str">
        <f>IF('HCC Data Entry'!B252="","",'HCC Data Entry'!B252)</f>
        <v>Penncrest School District</v>
      </c>
      <c r="C257" s="244">
        <f>IF('HCC Data Entry'!C252="","",'HCC Data Entry'!C252)</f>
        <v>13604952</v>
      </c>
      <c r="D257" s="244" t="str">
        <f>IF('HCC Data Entry'!D252="","",'HCC Data Entry'!D252)</f>
        <v>Active</v>
      </c>
      <c r="E257" s="244" t="str">
        <f>IF('HCC Data Entry'!E252="","",'HCC Data Entry'!E252)</f>
        <v>Self</v>
      </c>
      <c r="F257" s="246">
        <f>IF('HCC Data Entry'!F252="","",'HCC Data Entry'!F252)</f>
        <v>81407.520000000004</v>
      </c>
      <c r="G257" s="246">
        <f>IFERROR(INDEX('HCC Data Entry'!$J$4:$J$22, MATCH('HCC Detail'!$B257,'HCC Data Entry'!$I$4:$I$22,0)),"")</f>
        <v>110000</v>
      </c>
      <c r="H257" s="246">
        <f t="shared" si="12"/>
        <v>0</v>
      </c>
      <c r="I257" s="247">
        <f t="shared" si="13"/>
        <v>0</v>
      </c>
      <c r="J257" s="246">
        <f t="shared" si="14"/>
        <v>0</v>
      </c>
    </row>
    <row r="258" spans="2:10" ht="18.5" x14ac:dyDescent="0.45">
      <c r="B258" s="244" t="str">
        <f>IF('HCC Data Entry'!B253="","",'HCC Data Entry'!B253)</f>
        <v>Penncrest School District</v>
      </c>
      <c r="C258" s="244">
        <f>IF('HCC Data Entry'!C253="","",'HCC Data Entry'!C253)</f>
        <v>13603446</v>
      </c>
      <c r="D258" s="244" t="str">
        <f>IF('HCC Data Entry'!D253="","",'HCC Data Entry'!D253)</f>
        <v>Active</v>
      </c>
      <c r="E258" s="244" t="str">
        <f>IF('HCC Data Entry'!E253="","",'HCC Data Entry'!E253)</f>
        <v>Spouse</v>
      </c>
      <c r="F258" s="246">
        <f>IF('HCC Data Entry'!F253="","",'HCC Data Entry'!F253)</f>
        <v>73198.679999999993</v>
      </c>
      <c r="G258" s="246">
        <f>IFERROR(INDEX('HCC Data Entry'!$J$4:$J$22, MATCH('HCC Detail'!$B258,'HCC Data Entry'!$I$4:$I$22,0)),"")</f>
        <v>110000</v>
      </c>
      <c r="H258" s="246">
        <f t="shared" si="12"/>
        <v>0</v>
      </c>
      <c r="I258" s="247">
        <f t="shared" si="13"/>
        <v>0</v>
      </c>
      <c r="J258" s="246">
        <f t="shared" si="14"/>
        <v>0</v>
      </c>
    </row>
    <row r="259" spans="2:10" ht="18.5" x14ac:dyDescent="0.45">
      <c r="B259" s="244" t="str">
        <f>IF('HCC Data Entry'!B254="","",'HCC Data Entry'!B254)</f>
        <v>Penncrest School District</v>
      </c>
      <c r="C259" s="244">
        <f>IF('HCC Data Entry'!C254="","",'HCC Data Entry'!C254)</f>
        <v>26341588</v>
      </c>
      <c r="D259" s="244" t="str">
        <f>IF('HCC Data Entry'!D254="","",'HCC Data Entry'!D254)</f>
        <v>Active</v>
      </c>
      <c r="E259" s="244" t="str">
        <f>IF('HCC Data Entry'!E254="","",'HCC Data Entry'!E254)</f>
        <v>Spouse</v>
      </c>
      <c r="F259" s="246">
        <f>IF('HCC Data Entry'!F254="","",'HCC Data Entry'!F254)</f>
        <v>71169.06</v>
      </c>
      <c r="G259" s="246">
        <f>IFERROR(INDEX('HCC Data Entry'!$J$4:$J$22, MATCH('HCC Detail'!$B259,'HCC Data Entry'!$I$4:$I$22,0)),"")</f>
        <v>110000</v>
      </c>
      <c r="H259" s="246">
        <f t="shared" si="12"/>
        <v>0</v>
      </c>
      <c r="I259" s="247">
        <f t="shared" si="13"/>
        <v>0</v>
      </c>
      <c r="J259" s="246">
        <f t="shared" si="14"/>
        <v>0</v>
      </c>
    </row>
    <row r="260" spans="2:10" ht="18.5" x14ac:dyDescent="0.45">
      <c r="B260" s="244" t="str">
        <f>IF('HCC Data Entry'!B255="","",'HCC Data Entry'!B255)</f>
        <v>Penncrest School District</v>
      </c>
      <c r="C260" s="244">
        <f>IF('HCC Data Entry'!C255="","",'HCC Data Entry'!C255)</f>
        <v>13612548</v>
      </c>
      <c r="D260" s="244" t="str">
        <f>IF('HCC Data Entry'!D255="","",'HCC Data Entry'!D255)</f>
        <v>Active</v>
      </c>
      <c r="E260" s="244" t="str">
        <f>IF('HCC Data Entry'!E255="","",'HCC Data Entry'!E255)</f>
        <v>Spouse</v>
      </c>
      <c r="F260" s="246">
        <f>IF('HCC Data Entry'!F255="","",'HCC Data Entry'!F255)</f>
        <v>69808.23</v>
      </c>
      <c r="G260" s="246">
        <f>IFERROR(INDEX('HCC Data Entry'!$J$4:$J$22, MATCH('HCC Detail'!$B260,'HCC Data Entry'!$I$4:$I$22,0)),"")</f>
        <v>110000</v>
      </c>
      <c r="H260" s="246">
        <f t="shared" si="12"/>
        <v>0</v>
      </c>
      <c r="I260" s="247">
        <f t="shared" si="13"/>
        <v>0</v>
      </c>
      <c r="J260" s="246">
        <f t="shared" si="14"/>
        <v>0</v>
      </c>
    </row>
    <row r="261" spans="2:10" ht="18.5" x14ac:dyDescent="0.45">
      <c r="B261" s="244" t="str">
        <f>IF('HCC Data Entry'!B256="","",'HCC Data Entry'!B256)</f>
        <v>Penncrest School District</v>
      </c>
      <c r="C261" s="244">
        <f>IF('HCC Data Entry'!C256="","",'HCC Data Entry'!C256)</f>
        <v>13609392</v>
      </c>
      <c r="D261" s="244" t="str">
        <f>IF('HCC Data Entry'!D256="","",'HCC Data Entry'!D256)</f>
        <v>Active</v>
      </c>
      <c r="E261" s="244" t="str">
        <f>IF('HCC Data Entry'!E256="","",'HCC Data Entry'!E256)</f>
        <v>Self</v>
      </c>
      <c r="F261" s="246">
        <f>IF('HCC Data Entry'!F256="","",'HCC Data Entry'!F256)</f>
        <v>63413.58</v>
      </c>
      <c r="G261" s="246">
        <f>IFERROR(INDEX('HCC Data Entry'!$J$4:$J$22, MATCH('HCC Detail'!$B261,'HCC Data Entry'!$I$4:$I$22,0)),"")</f>
        <v>110000</v>
      </c>
      <c r="H261" s="246">
        <f t="shared" si="12"/>
        <v>0</v>
      </c>
      <c r="I261" s="247">
        <f t="shared" si="13"/>
        <v>0</v>
      </c>
      <c r="J261" s="246">
        <f t="shared" si="14"/>
        <v>0</v>
      </c>
    </row>
    <row r="262" spans="2:10" ht="18.5" x14ac:dyDescent="0.45">
      <c r="B262" s="244" t="str">
        <f>IF('HCC Data Entry'!B257="","",'HCC Data Entry'!B257)</f>
        <v>Penncrest School District</v>
      </c>
      <c r="C262" s="244">
        <f>IF('HCC Data Entry'!C257="","",'HCC Data Entry'!C257)</f>
        <v>13606652</v>
      </c>
      <c r="D262" s="244" t="str">
        <f>IF('HCC Data Entry'!D257="","",'HCC Data Entry'!D257)</f>
        <v>Active</v>
      </c>
      <c r="E262" s="244" t="str">
        <f>IF('HCC Data Entry'!E257="","",'HCC Data Entry'!E257)</f>
        <v>Self</v>
      </c>
      <c r="F262" s="246">
        <f>IF('HCC Data Entry'!F257="","",'HCC Data Entry'!F257)</f>
        <v>62524.88</v>
      </c>
      <c r="G262" s="246">
        <f>IFERROR(INDEX('HCC Data Entry'!$J$4:$J$22, MATCH('HCC Detail'!$B262,'HCC Data Entry'!$I$4:$I$22,0)),"")</f>
        <v>110000</v>
      </c>
      <c r="H262" s="246">
        <f t="shared" si="12"/>
        <v>0</v>
      </c>
      <c r="I262" s="247">
        <f t="shared" si="13"/>
        <v>0</v>
      </c>
      <c r="J262" s="246">
        <f t="shared" si="14"/>
        <v>0</v>
      </c>
    </row>
    <row r="263" spans="2:10" ht="18.5" x14ac:dyDescent="0.45">
      <c r="B263" s="244" t="str">
        <f>IF('HCC Data Entry'!B258="","",'HCC Data Entry'!B258)</f>
        <v>Penncrest School District</v>
      </c>
      <c r="C263" s="244">
        <f>IF('HCC Data Entry'!C258="","",'HCC Data Entry'!C258)</f>
        <v>13594887</v>
      </c>
      <c r="D263" s="244" t="str">
        <f>IF('HCC Data Entry'!D258="","",'HCC Data Entry'!D258)</f>
        <v>Active</v>
      </c>
      <c r="E263" s="244" t="str">
        <f>IF('HCC Data Entry'!E258="","",'HCC Data Entry'!E258)</f>
        <v>Self</v>
      </c>
      <c r="F263" s="246">
        <f>IF('HCC Data Entry'!F258="","",'HCC Data Entry'!F258)</f>
        <v>60899.61</v>
      </c>
      <c r="G263" s="246">
        <f>IFERROR(INDEX('HCC Data Entry'!$J$4:$J$22, MATCH('HCC Detail'!$B263,'HCC Data Entry'!$I$4:$I$22,0)),"")</f>
        <v>110000</v>
      </c>
      <c r="H263" s="246">
        <f t="shared" si="12"/>
        <v>0</v>
      </c>
      <c r="I263" s="247">
        <f t="shared" si="13"/>
        <v>0</v>
      </c>
      <c r="J263" s="246">
        <f t="shared" si="14"/>
        <v>0</v>
      </c>
    </row>
    <row r="264" spans="2:10" ht="18.5" x14ac:dyDescent="0.45">
      <c r="B264" s="244" t="str">
        <f>IF('HCC Data Entry'!B259="","",'HCC Data Entry'!B259)</f>
        <v>Penncrest School District</v>
      </c>
      <c r="C264" s="244">
        <f>IF('HCC Data Entry'!C259="","",'HCC Data Entry'!C259)</f>
        <v>13609959</v>
      </c>
      <c r="D264" s="244" t="str">
        <f>IF('HCC Data Entry'!D259="","",'HCC Data Entry'!D259)</f>
        <v>Active</v>
      </c>
      <c r="E264" s="244" t="str">
        <f>IF('HCC Data Entry'!E259="","",'HCC Data Entry'!E259)</f>
        <v>Child</v>
      </c>
      <c r="F264" s="246">
        <f>IF('HCC Data Entry'!F259="","",'HCC Data Entry'!F259)</f>
        <v>59197.25</v>
      </c>
      <c r="G264" s="246">
        <f>IFERROR(INDEX('HCC Data Entry'!$J$4:$J$22, MATCH('HCC Detail'!$B264,'HCC Data Entry'!$I$4:$I$22,0)),"")</f>
        <v>110000</v>
      </c>
      <c r="H264" s="246">
        <f t="shared" si="12"/>
        <v>0</v>
      </c>
      <c r="I264" s="247">
        <f t="shared" si="13"/>
        <v>0</v>
      </c>
      <c r="J264" s="246">
        <f t="shared" si="14"/>
        <v>0</v>
      </c>
    </row>
    <row r="265" spans="2:10" ht="18.5" x14ac:dyDescent="0.45">
      <c r="B265" s="244" t="str">
        <f>IF('HCC Data Entry'!B260="","",'HCC Data Entry'!B260)</f>
        <v>Penncrest School District</v>
      </c>
      <c r="C265" s="244">
        <f>IF('HCC Data Entry'!C260="","",'HCC Data Entry'!C260)</f>
        <v>13606789</v>
      </c>
      <c r="D265" s="244" t="str">
        <f>IF('HCC Data Entry'!D260="","",'HCC Data Entry'!D260)</f>
        <v>Active</v>
      </c>
      <c r="E265" s="244" t="str">
        <f>IF('HCC Data Entry'!E260="","",'HCC Data Entry'!E260)</f>
        <v>Self</v>
      </c>
      <c r="F265" s="246">
        <f>IF('HCC Data Entry'!F260="","",'HCC Data Entry'!F260)</f>
        <v>54703.72</v>
      </c>
      <c r="G265" s="246">
        <f>IFERROR(INDEX('HCC Data Entry'!$J$4:$J$22, MATCH('HCC Detail'!$B265,'HCC Data Entry'!$I$4:$I$22,0)),"")</f>
        <v>110000</v>
      </c>
      <c r="H265" s="246">
        <f t="shared" ref="H265:H328" si="15">IF(B265="","",IF(G265="Unknown", "", IF(F265&gt;G265,F265-G265,0)))</f>
        <v>0</v>
      </c>
      <c r="I265" s="247">
        <f t="shared" ref="I265:I328" si="16">IF(H265="","",IF(H265=0,0, IF(F265&gt;$O$4,($O$4-G265),H265)))</f>
        <v>0</v>
      </c>
      <c r="J265" s="246">
        <f t="shared" ref="J265:J328" si="17">IF(I265="","",IF(I265=0,0,IF(F265&gt;$O$4,F265-$O$4,0)))</f>
        <v>0</v>
      </c>
    </row>
    <row r="266" spans="2:10" ht="18.5" x14ac:dyDescent="0.45">
      <c r="B266" s="244" t="str">
        <f>IF('HCC Data Entry'!B261="","",'HCC Data Entry'!B261)</f>
        <v>Penncrest School District</v>
      </c>
      <c r="C266" s="244">
        <f>IF('HCC Data Entry'!C261="","",'HCC Data Entry'!C261)</f>
        <v>13607676</v>
      </c>
      <c r="D266" s="244" t="str">
        <f>IF('HCC Data Entry'!D261="","",'HCC Data Entry'!D261)</f>
        <v>Active</v>
      </c>
      <c r="E266" s="244" t="str">
        <f>IF('HCC Data Entry'!E261="","",'HCC Data Entry'!E261)</f>
        <v>Spouse</v>
      </c>
      <c r="F266" s="246">
        <f>IF('HCC Data Entry'!F261="","",'HCC Data Entry'!F261)</f>
        <v>49977.52</v>
      </c>
      <c r="G266" s="246">
        <f>IFERROR(INDEX('HCC Data Entry'!$J$4:$J$22, MATCH('HCC Detail'!$B266,'HCC Data Entry'!$I$4:$I$22,0)),"")</f>
        <v>110000</v>
      </c>
      <c r="H266" s="246">
        <f t="shared" si="15"/>
        <v>0</v>
      </c>
      <c r="I266" s="247">
        <f t="shared" si="16"/>
        <v>0</v>
      </c>
      <c r="J266" s="246">
        <f t="shared" si="17"/>
        <v>0</v>
      </c>
    </row>
    <row r="267" spans="2:10" ht="18.5" x14ac:dyDescent="0.45">
      <c r="B267" s="244" t="str">
        <f>IF('HCC Data Entry'!B262="","",'HCC Data Entry'!B262)</f>
        <v>Penncrest School District</v>
      </c>
      <c r="C267" s="244">
        <f>IF('HCC Data Entry'!C262="","",'HCC Data Entry'!C262)</f>
        <v>13599001</v>
      </c>
      <c r="D267" s="244" t="str">
        <f>IF('HCC Data Entry'!D262="","",'HCC Data Entry'!D262)</f>
        <v>Active</v>
      </c>
      <c r="E267" s="244" t="str">
        <f>IF('HCC Data Entry'!E262="","",'HCC Data Entry'!E262)</f>
        <v>Self</v>
      </c>
      <c r="F267" s="246">
        <f>IF('HCC Data Entry'!F262="","",'HCC Data Entry'!F262)</f>
        <v>45429.74</v>
      </c>
      <c r="G267" s="246">
        <f>IFERROR(INDEX('HCC Data Entry'!$J$4:$J$22, MATCH('HCC Detail'!$B267,'HCC Data Entry'!$I$4:$I$22,0)),"")</f>
        <v>110000</v>
      </c>
      <c r="H267" s="246">
        <f t="shared" si="15"/>
        <v>0</v>
      </c>
      <c r="I267" s="247">
        <f t="shared" si="16"/>
        <v>0</v>
      </c>
      <c r="J267" s="246">
        <f t="shared" si="17"/>
        <v>0</v>
      </c>
    </row>
    <row r="268" spans="2:10" ht="18.5" x14ac:dyDescent="0.45">
      <c r="B268" s="244" t="str">
        <f>IF('HCC Data Entry'!B263="","",'HCC Data Entry'!B263)</f>
        <v>Penncrest School District</v>
      </c>
      <c r="C268" s="244">
        <f>IF('HCC Data Entry'!C263="","",'HCC Data Entry'!C263)</f>
        <v>13607100</v>
      </c>
      <c r="D268" s="244" t="str">
        <f>IF('HCC Data Entry'!D263="","",'HCC Data Entry'!D263)</f>
        <v>Active</v>
      </c>
      <c r="E268" s="244" t="str">
        <f>IF('HCC Data Entry'!E263="","",'HCC Data Entry'!E263)</f>
        <v>Child</v>
      </c>
      <c r="F268" s="246">
        <f>IF('HCC Data Entry'!F263="","",'HCC Data Entry'!F263)</f>
        <v>43936.13</v>
      </c>
      <c r="G268" s="246">
        <f>IFERROR(INDEX('HCC Data Entry'!$J$4:$J$22, MATCH('HCC Detail'!$B268,'HCC Data Entry'!$I$4:$I$22,0)),"")</f>
        <v>110000</v>
      </c>
      <c r="H268" s="246">
        <f t="shared" si="15"/>
        <v>0</v>
      </c>
      <c r="I268" s="247">
        <f t="shared" si="16"/>
        <v>0</v>
      </c>
      <c r="J268" s="246">
        <f t="shared" si="17"/>
        <v>0</v>
      </c>
    </row>
    <row r="269" spans="2:10" ht="18.5" x14ac:dyDescent="0.45">
      <c r="B269" s="244" t="str">
        <f>IF('HCC Data Entry'!B264="","",'HCC Data Entry'!B264)</f>
        <v>Penncrest School District</v>
      </c>
      <c r="C269" s="244">
        <f>IF('HCC Data Entry'!C264="","",'HCC Data Entry'!C264)</f>
        <v>13609833</v>
      </c>
      <c r="D269" s="244" t="str">
        <f>IF('HCC Data Entry'!D264="","",'HCC Data Entry'!D264)</f>
        <v>Active</v>
      </c>
      <c r="E269" s="244" t="str">
        <f>IF('HCC Data Entry'!E264="","",'HCC Data Entry'!E264)</f>
        <v>Spouse</v>
      </c>
      <c r="F269" s="246">
        <f>IF('HCC Data Entry'!F264="","",'HCC Data Entry'!F264)</f>
        <v>43547.65</v>
      </c>
      <c r="G269" s="246">
        <f>IFERROR(INDEX('HCC Data Entry'!$J$4:$J$22, MATCH('HCC Detail'!$B269,'HCC Data Entry'!$I$4:$I$22,0)),"")</f>
        <v>110000</v>
      </c>
      <c r="H269" s="246">
        <f t="shared" si="15"/>
        <v>0</v>
      </c>
      <c r="I269" s="247">
        <f t="shared" si="16"/>
        <v>0</v>
      </c>
      <c r="J269" s="246">
        <f t="shared" si="17"/>
        <v>0</v>
      </c>
    </row>
    <row r="270" spans="2:10" ht="18.5" x14ac:dyDescent="0.45">
      <c r="B270" s="244" t="str">
        <f>IF('HCC Data Entry'!B265="","",'HCC Data Entry'!B265)</f>
        <v>Penncrest School District</v>
      </c>
      <c r="C270" s="244">
        <f>IF('HCC Data Entry'!C265="","",'HCC Data Entry'!C265)</f>
        <v>13612840</v>
      </c>
      <c r="D270" s="244" t="str">
        <f>IF('HCC Data Entry'!D265="","",'HCC Data Entry'!D265)</f>
        <v>Active</v>
      </c>
      <c r="E270" s="244" t="str">
        <f>IF('HCC Data Entry'!E265="","",'HCC Data Entry'!E265)</f>
        <v>Self</v>
      </c>
      <c r="F270" s="246">
        <f>IF('HCC Data Entry'!F265="","",'HCC Data Entry'!F265)</f>
        <v>43045.83</v>
      </c>
      <c r="G270" s="246">
        <f>IFERROR(INDEX('HCC Data Entry'!$J$4:$J$22, MATCH('HCC Detail'!$B270,'HCC Data Entry'!$I$4:$I$22,0)),"")</f>
        <v>110000</v>
      </c>
      <c r="H270" s="246">
        <f t="shared" si="15"/>
        <v>0</v>
      </c>
      <c r="I270" s="247">
        <f t="shared" si="16"/>
        <v>0</v>
      </c>
      <c r="J270" s="246">
        <f t="shared" si="17"/>
        <v>0</v>
      </c>
    </row>
    <row r="271" spans="2:10" ht="18.5" x14ac:dyDescent="0.45">
      <c r="B271" s="244" t="str">
        <f>IF('HCC Data Entry'!B266="","",'HCC Data Entry'!B266)</f>
        <v>Penncrest School District</v>
      </c>
      <c r="C271" s="244">
        <f>IF('HCC Data Entry'!C266="","",'HCC Data Entry'!C266)</f>
        <v>13596169</v>
      </c>
      <c r="D271" s="244" t="str">
        <f>IF('HCC Data Entry'!D266="","",'HCC Data Entry'!D266)</f>
        <v>Active</v>
      </c>
      <c r="E271" s="244" t="str">
        <f>IF('HCC Data Entry'!E266="","",'HCC Data Entry'!E266)</f>
        <v>Self</v>
      </c>
      <c r="F271" s="246">
        <f>IF('HCC Data Entry'!F266="","",'HCC Data Entry'!F266)</f>
        <v>41186.1</v>
      </c>
      <c r="G271" s="246">
        <f>IFERROR(INDEX('HCC Data Entry'!$J$4:$J$22, MATCH('HCC Detail'!$B271,'HCC Data Entry'!$I$4:$I$22,0)),"")</f>
        <v>110000</v>
      </c>
      <c r="H271" s="246">
        <f t="shared" si="15"/>
        <v>0</v>
      </c>
      <c r="I271" s="247">
        <f t="shared" si="16"/>
        <v>0</v>
      </c>
      <c r="J271" s="246">
        <f t="shared" si="17"/>
        <v>0</v>
      </c>
    </row>
    <row r="272" spans="2:10" ht="18.5" x14ac:dyDescent="0.45">
      <c r="B272" s="244" t="str">
        <f>IF('HCC Data Entry'!B267="","",'HCC Data Entry'!B267)</f>
        <v>Penncrest School District</v>
      </c>
      <c r="C272" s="244">
        <f>IF('HCC Data Entry'!C267="","",'HCC Data Entry'!C267)</f>
        <v>13600001</v>
      </c>
      <c r="D272" s="244" t="str">
        <f>IF('HCC Data Entry'!D267="","",'HCC Data Entry'!D267)</f>
        <v>Active</v>
      </c>
      <c r="E272" s="244" t="str">
        <f>IF('HCC Data Entry'!E267="","",'HCC Data Entry'!E267)</f>
        <v>Self</v>
      </c>
      <c r="F272" s="246">
        <f>IF('HCC Data Entry'!F267="","",'HCC Data Entry'!F267)</f>
        <v>40491.89</v>
      </c>
      <c r="G272" s="246">
        <f>IFERROR(INDEX('HCC Data Entry'!$J$4:$J$22, MATCH('HCC Detail'!$B272,'HCC Data Entry'!$I$4:$I$22,0)),"")</f>
        <v>110000</v>
      </c>
      <c r="H272" s="246">
        <f t="shared" si="15"/>
        <v>0</v>
      </c>
      <c r="I272" s="247">
        <f t="shared" si="16"/>
        <v>0</v>
      </c>
      <c r="J272" s="246">
        <f t="shared" si="17"/>
        <v>0</v>
      </c>
    </row>
    <row r="273" spans="2:10" ht="18.5" x14ac:dyDescent="0.45">
      <c r="B273" s="244" t="str">
        <f>IF('HCC Data Entry'!B268="","",'HCC Data Entry'!B268)</f>
        <v>Penncrest School District</v>
      </c>
      <c r="C273" s="244">
        <f>IF('HCC Data Entry'!C268="","",'HCC Data Entry'!C268)</f>
        <v>26803351</v>
      </c>
      <c r="D273" s="244" t="str">
        <f>IF('HCC Data Entry'!D268="","",'HCC Data Entry'!D268)</f>
        <v>Active</v>
      </c>
      <c r="E273" s="244" t="str">
        <f>IF('HCC Data Entry'!E268="","",'HCC Data Entry'!E268)</f>
        <v>Spouse</v>
      </c>
      <c r="F273" s="246">
        <f>IF('HCC Data Entry'!F268="","",'HCC Data Entry'!F268)</f>
        <v>37974.11</v>
      </c>
      <c r="G273" s="246">
        <f>IFERROR(INDEX('HCC Data Entry'!$J$4:$J$22, MATCH('HCC Detail'!$B273,'HCC Data Entry'!$I$4:$I$22,0)),"")</f>
        <v>110000</v>
      </c>
      <c r="H273" s="246">
        <f t="shared" si="15"/>
        <v>0</v>
      </c>
      <c r="I273" s="247">
        <f t="shared" si="16"/>
        <v>0</v>
      </c>
      <c r="J273" s="246">
        <f t="shared" si="17"/>
        <v>0</v>
      </c>
    </row>
    <row r="274" spans="2:10" ht="18.5" x14ac:dyDescent="0.45">
      <c r="B274" s="244" t="str">
        <f>IF('HCC Data Entry'!B269="","",'HCC Data Entry'!B269)</f>
        <v>Penncrest School District</v>
      </c>
      <c r="C274" s="244">
        <f>IF('HCC Data Entry'!C269="","",'HCC Data Entry'!C269)</f>
        <v>13601456</v>
      </c>
      <c r="D274" s="244" t="str">
        <f>IF('HCC Data Entry'!D269="","",'HCC Data Entry'!D269)</f>
        <v>Active</v>
      </c>
      <c r="E274" s="244" t="str">
        <f>IF('HCC Data Entry'!E269="","",'HCC Data Entry'!E269)</f>
        <v>Self</v>
      </c>
      <c r="F274" s="246">
        <f>IF('HCC Data Entry'!F269="","",'HCC Data Entry'!F269)</f>
        <v>34691.57</v>
      </c>
      <c r="G274" s="246">
        <f>IFERROR(INDEX('HCC Data Entry'!$J$4:$J$22, MATCH('HCC Detail'!$B274,'HCC Data Entry'!$I$4:$I$22,0)),"")</f>
        <v>110000</v>
      </c>
      <c r="H274" s="246">
        <f t="shared" si="15"/>
        <v>0</v>
      </c>
      <c r="I274" s="247">
        <f t="shared" si="16"/>
        <v>0</v>
      </c>
      <c r="J274" s="246">
        <f t="shared" si="17"/>
        <v>0</v>
      </c>
    </row>
    <row r="275" spans="2:10" ht="18.5" x14ac:dyDescent="0.45">
      <c r="B275" s="244" t="str">
        <f>IF('HCC Data Entry'!B270="","",'HCC Data Entry'!B270)</f>
        <v>Penncrest School District</v>
      </c>
      <c r="C275" s="244">
        <f>IF('HCC Data Entry'!C270="","",'HCC Data Entry'!C270)</f>
        <v>13597473</v>
      </c>
      <c r="D275" s="244" t="str">
        <f>IF('HCC Data Entry'!D270="","",'HCC Data Entry'!D270)</f>
        <v>Active</v>
      </c>
      <c r="E275" s="244" t="str">
        <f>IF('HCC Data Entry'!E270="","",'HCC Data Entry'!E270)</f>
        <v>Spouse</v>
      </c>
      <c r="F275" s="246">
        <f>IF('HCC Data Entry'!F270="","",'HCC Data Entry'!F270)</f>
        <v>31656.080000000002</v>
      </c>
      <c r="G275" s="246">
        <f>IFERROR(INDEX('HCC Data Entry'!$J$4:$J$22, MATCH('HCC Detail'!$B275,'HCC Data Entry'!$I$4:$I$22,0)),"")</f>
        <v>110000</v>
      </c>
      <c r="H275" s="246">
        <f t="shared" si="15"/>
        <v>0</v>
      </c>
      <c r="I275" s="247">
        <f t="shared" si="16"/>
        <v>0</v>
      </c>
      <c r="J275" s="246">
        <f t="shared" si="17"/>
        <v>0</v>
      </c>
    </row>
    <row r="276" spans="2:10" ht="18.5" x14ac:dyDescent="0.45">
      <c r="B276" s="244" t="str">
        <f>IF('HCC Data Entry'!B271="","",'HCC Data Entry'!B271)</f>
        <v>Penncrest School District</v>
      </c>
      <c r="C276" s="244">
        <f>IF('HCC Data Entry'!C271="","",'HCC Data Entry'!C271)</f>
        <v>27145544</v>
      </c>
      <c r="D276" s="244" t="str">
        <f>IF('HCC Data Entry'!D271="","",'HCC Data Entry'!D271)</f>
        <v>Active</v>
      </c>
      <c r="E276" s="244" t="str">
        <f>IF('HCC Data Entry'!E271="","",'HCC Data Entry'!E271)</f>
        <v>Child</v>
      </c>
      <c r="F276" s="246">
        <f>IF('HCC Data Entry'!F271="","",'HCC Data Entry'!F271)</f>
        <v>31523.27</v>
      </c>
      <c r="G276" s="246">
        <f>IFERROR(INDEX('HCC Data Entry'!$J$4:$J$22, MATCH('HCC Detail'!$B276,'HCC Data Entry'!$I$4:$I$22,0)),"")</f>
        <v>110000</v>
      </c>
      <c r="H276" s="246">
        <f t="shared" si="15"/>
        <v>0</v>
      </c>
      <c r="I276" s="247">
        <f t="shared" si="16"/>
        <v>0</v>
      </c>
      <c r="J276" s="246">
        <f t="shared" si="17"/>
        <v>0</v>
      </c>
    </row>
    <row r="277" spans="2:10" ht="18.5" x14ac:dyDescent="0.45">
      <c r="B277" s="244" t="str">
        <f>IF('HCC Data Entry'!B272="","",'HCC Data Entry'!B272)</f>
        <v>Penncrest School District</v>
      </c>
      <c r="C277" s="244">
        <f>IF('HCC Data Entry'!C272="","",'HCC Data Entry'!C272)</f>
        <v>13604831</v>
      </c>
      <c r="D277" s="244" t="str">
        <f>IF('HCC Data Entry'!D272="","",'HCC Data Entry'!D272)</f>
        <v>Active</v>
      </c>
      <c r="E277" s="244" t="str">
        <f>IF('HCC Data Entry'!E272="","",'HCC Data Entry'!E272)</f>
        <v>Self</v>
      </c>
      <c r="F277" s="246">
        <f>IF('HCC Data Entry'!F272="","",'HCC Data Entry'!F272)</f>
        <v>31174.99</v>
      </c>
      <c r="G277" s="246">
        <f>IFERROR(INDEX('HCC Data Entry'!$J$4:$J$22, MATCH('HCC Detail'!$B277,'HCC Data Entry'!$I$4:$I$22,0)),"")</f>
        <v>110000</v>
      </c>
      <c r="H277" s="246">
        <f t="shared" si="15"/>
        <v>0</v>
      </c>
      <c r="I277" s="247">
        <f t="shared" si="16"/>
        <v>0</v>
      </c>
      <c r="J277" s="246">
        <f t="shared" si="17"/>
        <v>0</v>
      </c>
    </row>
    <row r="278" spans="2:10" ht="18.5" x14ac:dyDescent="0.45">
      <c r="B278" s="244" t="str">
        <f>IF('HCC Data Entry'!B273="","",'HCC Data Entry'!B273)</f>
        <v>Penncrest School District</v>
      </c>
      <c r="C278" s="244">
        <f>IF('HCC Data Entry'!C273="","",'HCC Data Entry'!C273)</f>
        <v>13608906</v>
      </c>
      <c r="D278" s="244" t="str">
        <f>IF('HCC Data Entry'!D273="","",'HCC Data Entry'!D273)</f>
        <v>Active</v>
      </c>
      <c r="E278" s="244" t="str">
        <f>IF('HCC Data Entry'!E273="","",'HCC Data Entry'!E273)</f>
        <v>Self</v>
      </c>
      <c r="F278" s="246">
        <f>IF('HCC Data Entry'!F273="","",'HCC Data Entry'!F273)</f>
        <v>30736.69</v>
      </c>
      <c r="G278" s="246">
        <f>IFERROR(INDEX('HCC Data Entry'!$J$4:$J$22, MATCH('HCC Detail'!$B278,'HCC Data Entry'!$I$4:$I$22,0)),"")</f>
        <v>110000</v>
      </c>
      <c r="H278" s="246">
        <f t="shared" si="15"/>
        <v>0</v>
      </c>
      <c r="I278" s="247">
        <f t="shared" si="16"/>
        <v>0</v>
      </c>
      <c r="J278" s="246">
        <f t="shared" si="17"/>
        <v>0</v>
      </c>
    </row>
    <row r="279" spans="2:10" ht="18.5" x14ac:dyDescent="0.45">
      <c r="B279" s="244" t="str">
        <f>IF('HCC Data Entry'!B274="","",'HCC Data Entry'!B274)</f>
        <v>Penncrest School District</v>
      </c>
      <c r="C279" s="244">
        <f>IF('HCC Data Entry'!C274="","",'HCC Data Entry'!C274)</f>
        <v>13602246</v>
      </c>
      <c r="D279" s="244" t="str">
        <f>IF('HCC Data Entry'!D274="","",'HCC Data Entry'!D274)</f>
        <v>Active</v>
      </c>
      <c r="E279" s="244" t="str">
        <f>IF('HCC Data Entry'!E274="","",'HCC Data Entry'!E274)</f>
        <v>Self</v>
      </c>
      <c r="F279" s="246">
        <f>IF('HCC Data Entry'!F274="","",'HCC Data Entry'!F274)</f>
        <v>30677.37</v>
      </c>
      <c r="G279" s="246">
        <f>IFERROR(INDEX('HCC Data Entry'!$J$4:$J$22, MATCH('HCC Detail'!$B279,'HCC Data Entry'!$I$4:$I$22,0)),"")</f>
        <v>110000</v>
      </c>
      <c r="H279" s="246">
        <f t="shared" si="15"/>
        <v>0</v>
      </c>
      <c r="I279" s="247">
        <f t="shared" si="16"/>
        <v>0</v>
      </c>
      <c r="J279" s="246">
        <f t="shared" si="17"/>
        <v>0</v>
      </c>
    </row>
    <row r="280" spans="2:10" ht="18.5" x14ac:dyDescent="0.45">
      <c r="B280" s="244" t="str">
        <f>IF('HCC Data Entry'!B275="","",'HCC Data Entry'!B275)</f>
        <v>Penncrest School District</v>
      </c>
      <c r="C280" s="244">
        <f>IF('HCC Data Entry'!C275="","",'HCC Data Entry'!C275)</f>
        <v>13602827</v>
      </c>
      <c r="D280" s="244" t="str">
        <f>IF('HCC Data Entry'!D275="","",'HCC Data Entry'!D275)</f>
        <v>Active</v>
      </c>
      <c r="E280" s="244" t="str">
        <f>IF('HCC Data Entry'!E275="","",'HCC Data Entry'!E275)</f>
        <v>Child</v>
      </c>
      <c r="F280" s="246">
        <f>IF('HCC Data Entry'!F275="","",'HCC Data Entry'!F275)</f>
        <v>28750.15</v>
      </c>
      <c r="G280" s="246">
        <f>IFERROR(INDEX('HCC Data Entry'!$J$4:$J$22, MATCH('HCC Detail'!$B280,'HCC Data Entry'!$I$4:$I$22,0)),"")</f>
        <v>110000</v>
      </c>
      <c r="H280" s="246">
        <f t="shared" si="15"/>
        <v>0</v>
      </c>
      <c r="I280" s="247">
        <f t="shared" si="16"/>
        <v>0</v>
      </c>
      <c r="J280" s="246">
        <f t="shared" si="17"/>
        <v>0</v>
      </c>
    </row>
    <row r="281" spans="2:10" ht="18.5" x14ac:dyDescent="0.45">
      <c r="B281" s="244" t="str">
        <f>IF('HCC Data Entry'!B276="","",'HCC Data Entry'!B276)</f>
        <v>Penncrest School District</v>
      </c>
      <c r="C281" s="244">
        <f>IF('HCC Data Entry'!C276="","",'HCC Data Entry'!C276)</f>
        <v>13609019</v>
      </c>
      <c r="D281" s="244" t="str">
        <f>IF('HCC Data Entry'!D276="","",'HCC Data Entry'!D276)</f>
        <v>Retirees</v>
      </c>
      <c r="E281" s="244" t="str">
        <f>IF('HCC Data Entry'!E276="","",'HCC Data Entry'!E276)</f>
        <v>Self</v>
      </c>
      <c r="F281" s="246">
        <f>IF('HCC Data Entry'!F276="","",'HCC Data Entry'!F276)</f>
        <v>28155.32</v>
      </c>
      <c r="G281" s="246">
        <f>IFERROR(INDEX('HCC Data Entry'!$J$4:$J$22, MATCH('HCC Detail'!$B281,'HCC Data Entry'!$I$4:$I$22,0)),"")</f>
        <v>110000</v>
      </c>
      <c r="H281" s="246">
        <f t="shared" si="15"/>
        <v>0</v>
      </c>
      <c r="I281" s="247">
        <f t="shared" si="16"/>
        <v>0</v>
      </c>
      <c r="J281" s="246">
        <f t="shared" si="17"/>
        <v>0</v>
      </c>
    </row>
    <row r="282" spans="2:10" ht="18.5" x14ac:dyDescent="0.45">
      <c r="B282" s="244" t="str">
        <f>IF('HCC Data Entry'!B277="","",'HCC Data Entry'!B277)</f>
        <v>Penncrest School District</v>
      </c>
      <c r="C282" s="244">
        <f>IF('HCC Data Entry'!C277="","",'HCC Data Entry'!C277)</f>
        <v>13604361</v>
      </c>
      <c r="D282" s="244" t="str">
        <f>IF('HCC Data Entry'!D277="","",'HCC Data Entry'!D277)</f>
        <v>Active</v>
      </c>
      <c r="E282" s="244" t="str">
        <f>IF('HCC Data Entry'!E277="","",'HCC Data Entry'!E277)</f>
        <v>Self</v>
      </c>
      <c r="F282" s="246">
        <f>IF('HCC Data Entry'!F277="","",'HCC Data Entry'!F277)</f>
        <v>27812.240000000002</v>
      </c>
      <c r="G282" s="246">
        <f>IFERROR(INDEX('HCC Data Entry'!$J$4:$J$22, MATCH('HCC Detail'!$B282,'HCC Data Entry'!$I$4:$I$22,0)),"")</f>
        <v>110000</v>
      </c>
      <c r="H282" s="246">
        <f t="shared" si="15"/>
        <v>0</v>
      </c>
      <c r="I282" s="247">
        <f t="shared" si="16"/>
        <v>0</v>
      </c>
      <c r="J282" s="246">
        <f t="shared" si="17"/>
        <v>0</v>
      </c>
    </row>
    <row r="283" spans="2:10" ht="18.5" x14ac:dyDescent="0.45">
      <c r="B283" s="244" t="str">
        <f>IF('HCC Data Entry'!B278="","",'HCC Data Entry'!B278)</f>
        <v>St Marys Area School District</v>
      </c>
      <c r="C283" s="244">
        <f>IF('HCC Data Entry'!C278="","",'HCC Data Entry'!C278)</f>
        <v>13595491</v>
      </c>
      <c r="D283" s="244" t="str">
        <f>IF('HCC Data Entry'!D278="","",'HCC Data Entry'!D278)</f>
        <v>Retirees</v>
      </c>
      <c r="E283" s="244" t="str">
        <f>IF('HCC Data Entry'!E278="","",'HCC Data Entry'!E278)</f>
        <v>Spouse</v>
      </c>
      <c r="F283" s="246">
        <f>IF('HCC Data Entry'!F278="","",'HCC Data Entry'!F278)</f>
        <v>198874.27</v>
      </c>
      <c r="G283" s="246">
        <f>IFERROR(INDEX('HCC Data Entry'!$J$4:$J$22, MATCH('HCC Detail'!$B283,'HCC Data Entry'!$I$4:$I$22,0)),"")</f>
        <v>85000</v>
      </c>
      <c r="H283" s="246">
        <f t="shared" si="15"/>
        <v>113874.26999999999</v>
      </c>
      <c r="I283" s="247">
        <f t="shared" si="16"/>
        <v>113874.26999999999</v>
      </c>
      <c r="J283" s="246">
        <f t="shared" si="17"/>
        <v>0</v>
      </c>
    </row>
    <row r="284" spans="2:10" ht="18.5" x14ac:dyDescent="0.45">
      <c r="B284" s="244" t="str">
        <f>IF('HCC Data Entry'!B279="","",'HCC Data Entry'!B279)</f>
        <v>St Marys Area School District</v>
      </c>
      <c r="C284" s="244">
        <f>IF('HCC Data Entry'!C279="","",'HCC Data Entry'!C279)</f>
        <v>13589556</v>
      </c>
      <c r="D284" s="244" t="str">
        <f>IF('HCC Data Entry'!D279="","",'HCC Data Entry'!D279)</f>
        <v>Active</v>
      </c>
      <c r="E284" s="244" t="str">
        <f>IF('HCC Data Entry'!E279="","",'HCC Data Entry'!E279)</f>
        <v>Spouse</v>
      </c>
      <c r="F284" s="246">
        <f>IF('HCC Data Entry'!F279="","",'HCC Data Entry'!F279)</f>
        <v>113299.05</v>
      </c>
      <c r="G284" s="246">
        <f>IFERROR(INDEX('HCC Data Entry'!$J$4:$J$22, MATCH('HCC Detail'!$B284,'HCC Data Entry'!$I$4:$I$22,0)),"")</f>
        <v>85000</v>
      </c>
      <c r="H284" s="246">
        <f t="shared" si="15"/>
        <v>28299.050000000003</v>
      </c>
      <c r="I284" s="247">
        <f t="shared" si="16"/>
        <v>28299.050000000003</v>
      </c>
      <c r="J284" s="246">
        <f t="shared" si="17"/>
        <v>0</v>
      </c>
    </row>
    <row r="285" spans="2:10" ht="18.5" x14ac:dyDescent="0.45">
      <c r="B285" s="244" t="str">
        <f>IF('HCC Data Entry'!B280="","",'HCC Data Entry'!B280)</f>
        <v>St Marys Area School District</v>
      </c>
      <c r="C285" s="244">
        <f>IF('HCC Data Entry'!C280="","",'HCC Data Entry'!C280)</f>
        <v>13597681</v>
      </c>
      <c r="D285" s="244" t="str">
        <f>IF('HCC Data Entry'!D280="","",'HCC Data Entry'!D280)</f>
        <v>Active</v>
      </c>
      <c r="E285" s="244" t="str">
        <f>IF('HCC Data Entry'!E280="","",'HCC Data Entry'!E280)</f>
        <v>Self</v>
      </c>
      <c r="F285" s="246">
        <f>IF('HCC Data Entry'!F280="","",'HCC Data Entry'!F280)</f>
        <v>90975.7</v>
      </c>
      <c r="G285" s="246">
        <f>IFERROR(INDEX('HCC Data Entry'!$J$4:$J$22, MATCH('HCC Detail'!$B285,'HCC Data Entry'!$I$4:$I$22,0)),"")</f>
        <v>85000</v>
      </c>
      <c r="H285" s="246">
        <f t="shared" si="15"/>
        <v>5975.6999999999971</v>
      </c>
      <c r="I285" s="247">
        <f t="shared" si="16"/>
        <v>5975.6999999999971</v>
      </c>
      <c r="J285" s="246">
        <f t="shared" si="17"/>
        <v>0</v>
      </c>
    </row>
    <row r="286" spans="2:10" ht="18.5" x14ac:dyDescent="0.45">
      <c r="B286" s="244" t="str">
        <f>IF('HCC Data Entry'!B281="","",'HCC Data Entry'!B281)</f>
        <v>St Marys Area School District</v>
      </c>
      <c r="C286" s="244">
        <f>IF('HCC Data Entry'!C281="","",'HCC Data Entry'!C281)</f>
        <v>13608908</v>
      </c>
      <c r="D286" s="244" t="str">
        <f>IF('HCC Data Entry'!D281="","",'HCC Data Entry'!D281)</f>
        <v>Active</v>
      </c>
      <c r="E286" s="244" t="str">
        <f>IF('HCC Data Entry'!E281="","",'HCC Data Entry'!E281)</f>
        <v>Spouse</v>
      </c>
      <c r="F286" s="246">
        <f>IF('HCC Data Entry'!F281="","",'HCC Data Entry'!F281)</f>
        <v>81937.440000000002</v>
      </c>
      <c r="G286" s="246">
        <f>IFERROR(INDEX('HCC Data Entry'!$J$4:$J$22, MATCH('HCC Detail'!$B286,'HCC Data Entry'!$I$4:$I$22,0)),"")</f>
        <v>85000</v>
      </c>
      <c r="H286" s="246">
        <f t="shared" si="15"/>
        <v>0</v>
      </c>
      <c r="I286" s="247">
        <f t="shared" si="16"/>
        <v>0</v>
      </c>
      <c r="J286" s="246">
        <f t="shared" si="17"/>
        <v>0</v>
      </c>
    </row>
    <row r="287" spans="2:10" ht="18.5" x14ac:dyDescent="0.45">
      <c r="B287" s="244" t="str">
        <f>IF('HCC Data Entry'!B282="","",'HCC Data Entry'!B282)</f>
        <v>St Marys Area School District</v>
      </c>
      <c r="C287" s="244">
        <f>IF('HCC Data Entry'!C282="","",'HCC Data Entry'!C282)</f>
        <v>15584332</v>
      </c>
      <c r="D287" s="244" t="str">
        <f>IF('HCC Data Entry'!D282="","",'HCC Data Entry'!D282)</f>
        <v>Active</v>
      </c>
      <c r="E287" s="244" t="str">
        <f>IF('HCC Data Entry'!E282="","",'HCC Data Entry'!E282)</f>
        <v>Spouse</v>
      </c>
      <c r="F287" s="246">
        <f>IF('HCC Data Entry'!F282="","",'HCC Data Entry'!F282)</f>
        <v>76236.83</v>
      </c>
      <c r="G287" s="246">
        <f>IFERROR(INDEX('HCC Data Entry'!$J$4:$J$22, MATCH('HCC Detail'!$B287,'HCC Data Entry'!$I$4:$I$22,0)),"")</f>
        <v>85000</v>
      </c>
      <c r="H287" s="246">
        <f t="shared" si="15"/>
        <v>0</v>
      </c>
      <c r="I287" s="247">
        <f t="shared" si="16"/>
        <v>0</v>
      </c>
      <c r="J287" s="246">
        <f t="shared" si="17"/>
        <v>0</v>
      </c>
    </row>
    <row r="288" spans="2:10" ht="18.5" x14ac:dyDescent="0.45">
      <c r="B288" s="244" t="str">
        <f>IF('HCC Data Entry'!B283="","",'HCC Data Entry'!B283)</f>
        <v>St Marys Area School District</v>
      </c>
      <c r="C288" s="244">
        <f>IF('HCC Data Entry'!C283="","",'HCC Data Entry'!C283)</f>
        <v>13607830</v>
      </c>
      <c r="D288" s="244" t="str">
        <f>IF('HCC Data Entry'!D283="","",'HCC Data Entry'!D283)</f>
        <v>Active</v>
      </c>
      <c r="E288" s="244" t="str">
        <f>IF('HCC Data Entry'!E283="","",'HCC Data Entry'!E283)</f>
        <v>Self</v>
      </c>
      <c r="F288" s="246">
        <f>IF('HCC Data Entry'!F283="","",'HCC Data Entry'!F283)</f>
        <v>73195.66</v>
      </c>
      <c r="G288" s="246">
        <f>IFERROR(INDEX('HCC Data Entry'!$J$4:$J$22, MATCH('HCC Detail'!$B288,'HCC Data Entry'!$I$4:$I$22,0)),"")</f>
        <v>85000</v>
      </c>
      <c r="H288" s="246">
        <f t="shared" si="15"/>
        <v>0</v>
      </c>
      <c r="I288" s="247">
        <f t="shared" si="16"/>
        <v>0</v>
      </c>
      <c r="J288" s="246">
        <f t="shared" si="17"/>
        <v>0</v>
      </c>
    </row>
    <row r="289" spans="2:10" ht="18.5" x14ac:dyDescent="0.45">
      <c r="B289" s="244" t="str">
        <f>IF('HCC Data Entry'!B284="","",'HCC Data Entry'!B284)</f>
        <v>St Marys Area School District</v>
      </c>
      <c r="C289" s="244">
        <f>IF('HCC Data Entry'!C284="","",'HCC Data Entry'!C284)</f>
        <v>13597209</v>
      </c>
      <c r="D289" s="244" t="str">
        <f>IF('HCC Data Entry'!D284="","",'HCC Data Entry'!D284)</f>
        <v>Active</v>
      </c>
      <c r="E289" s="244" t="str">
        <f>IF('HCC Data Entry'!E284="","",'HCC Data Entry'!E284)</f>
        <v>Self</v>
      </c>
      <c r="F289" s="246">
        <f>IF('HCC Data Entry'!F284="","",'HCC Data Entry'!F284)</f>
        <v>71639.59</v>
      </c>
      <c r="G289" s="246">
        <f>IFERROR(INDEX('HCC Data Entry'!$J$4:$J$22, MATCH('HCC Detail'!$B289,'HCC Data Entry'!$I$4:$I$22,0)),"")</f>
        <v>85000</v>
      </c>
      <c r="H289" s="246">
        <f t="shared" si="15"/>
        <v>0</v>
      </c>
      <c r="I289" s="247">
        <f t="shared" si="16"/>
        <v>0</v>
      </c>
      <c r="J289" s="246">
        <f t="shared" si="17"/>
        <v>0</v>
      </c>
    </row>
    <row r="290" spans="2:10" ht="18.5" x14ac:dyDescent="0.45">
      <c r="B290" s="244" t="str">
        <f>IF('HCC Data Entry'!B285="","",'HCC Data Entry'!B285)</f>
        <v>St Marys Area School District</v>
      </c>
      <c r="C290" s="244">
        <f>IF('HCC Data Entry'!C285="","",'HCC Data Entry'!C285)</f>
        <v>13609525</v>
      </c>
      <c r="D290" s="244" t="str">
        <f>IF('HCC Data Entry'!D285="","",'HCC Data Entry'!D285)</f>
        <v>Retirees</v>
      </c>
      <c r="E290" s="244" t="str">
        <f>IF('HCC Data Entry'!E285="","",'HCC Data Entry'!E285)</f>
        <v>Self</v>
      </c>
      <c r="F290" s="246">
        <f>IF('HCC Data Entry'!F285="","",'HCC Data Entry'!F285)</f>
        <v>70229.240000000005</v>
      </c>
      <c r="G290" s="246">
        <f>IFERROR(INDEX('HCC Data Entry'!$J$4:$J$22, MATCH('HCC Detail'!$B290,'HCC Data Entry'!$I$4:$I$22,0)),"")</f>
        <v>85000</v>
      </c>
      <c r="H290" s="246">
        <f t="shared" si="15"/>
        <v>0</v>
      </c>
      <c r="I290" s="247">
        <f t="shared" si="16"/>
        <v>0</v>
      </c>
      <c r="J290" s="246">
        <f t="shared" si="17"/>
        <v>0</v>
      </c>
    </row>
    <row r="291" spans="2:10" ht="18.5" x14ac:dyDescent="0.45">
      <c r="B291" s="244" t="str">
        <f>IF('HCC Data Entry'!B286="","",'HCC Data Entry'!B286)</f>
        <v>St Marys Area School District</v>
      </c>
      <c r="C291" s="244">
        <f>IF('HCC Data Entry'!C286="","",'HCC Data Entry'!C286)</f>
        <v>13611919</v>
      </c>
      <c r="D291" s="244" t="str">
        <f>IF('HCC Data Entry'!D286="","",'HCC Data Entry'!D286)</f>
        <v>Active</v>
      </c>
      <c r="E291" s="244" t="str">
        <f>IF('HCC Data Entry'!E286="","",'HCC Data Entry'!E286)</f>
        <v>Spouse</v>
      </c>
      <c r="F291" s="246">
        <f>IF('HCC Data Entry'!F286="","",'HCC Data Entry'!F286)</f>
        <v>62065.64</v>
      </c>
      <c r="G291" s="246">
        <f>IFERROR(INDEX('HCC Data Entry'!$J$4:$J$22, MATCH('HCC Detail'!$B291,'HCC Data Entry'!$I$4:$I$22,0)),"")</f>
        <v>85000</v>
      </c>
      <c r="H291" s="246">
        <f t="shared" si="15"/>
        <v>0</v>
      </c>
      <c r="I291" s="247">
        <f t="shared" si="16"/>
        <v>0</v>
      </c>
      <c r="J291" s="246">
        <f t="shared" si="17"/>
        <v>0</v>
      </c>
    </row>
    <row r="292" spans="2:10" ht="18.5" x14ac:dyDescent="0.45">
      <c r="B292" s="244" t="str">
        <f>IF('HCC Data Entry'!B287="","",'HCC Data Entry'!B287)</f>
        <v>St Marys Area School District</v>
      </c>
      <c r="C292" s="244">
        <f>IF('HCC Data Entry'!C287="","",'HCC Data Entry'!C287)</f>
        <v>13606814</v>
      </c>
      <c r="D292" s="244" t="str">
        <f>IF('HCC Data Entry'!D287="","",'HCC Data Entry'!D287)</f>
        <v>Active</v>
      </c>
      <c r="E292" s="244" t="str">
        <f>IF('HCC Data Entry'!E287="","",'HCC Data Entry'!E287)</f>
        <v>Self</v>
      </c>
      <c r="F292" s="246">
        <f>IF('HCC Data Entry'!F287="","",'HCC Data Entry'!F287)</f>
        <v>50163.15</v>
      </c>
      <c r="G292" s="246">
        <f>IFERROR(INDEX('HCC Data Entry'!$J$4:$J$22, MATCH('HCC Detail'!$B292,'HCC Data Entry'!$I$4:$I$22,0)),"")</f>
        <v>85000</v>
      </c>
      <c r="H292" s="246">
        <f t="shared" si="15"/>
        <v>0</v>
      </c>
      <c r="I292" s="247">
        <f t="shared" si="16"/>
        <v>0</v>
      </c>
      <c r="J292" s="246">
        <f t="shared" si="17"/>
        <v>0</v>
      </c>
    </row>
    <row r="293" spans="2:10" ht="18.5" x14ac:dyDescent="0.45">
      <c r="B293" s="244" t="str">
        <f>IF('HCC Data Entry'!B288="","",'HCC Data Entry'!B288)</f>
        <v>St Marys Area School District</v>
      </c>
      <c r="C293" s="244">
        <f>IF('HCC Data Entry'!C288="","",'HCC Data Entry'!C288)</f>
        <v>13606411</v>
      </c>
      <c r="D293" s="244" t="str">
        <f>IF('HCC Data Entry'!D288="","",'HCC Data Entry'!D288)</f>
        <v>Active</v>
      </c>
      <c r="E293" s="244" t="str">
        <f>IF('HCC Data Entry'!E288="","",'HCC Data Entry'!E288)</f>
        <v>Child</v>
      </c>
      <c r="F293" s="246">
        <f>IF('HCC Data Entry'!F288="","",'HCC Data Entry'!F288)</f>
        <v>45117.21</v>
      </c>
      <c r="G293" s="246">
        <f>IFERROR(INDEX('HCC Data Entry'!$J$4:$J$22, MATCH('HCC Detail'!$B293,'HCC Data Entry'!$I$4:$I$22,0)),"")</f>
        <v>85000</v>
      </c>
      <c r="H293" s="246">
        <f t="shared" si="15"/>
        <v>0</v>
      </c>
      <c r="I293" s="247">
        <f t="shared" si="16"/>
        <v>0</v>
      </c>
      <c r="J293" s="246">
        <f t="shared" si="17"/>
        <v>0</v>
      </c>
    </row>
    <row r="294" spans="2:10" ht="18.5" x14ac:dyDescent="0.45">
      <c r="B294" s="244" t="str">
        <f>IF('HCC Data Entry'!B289="","",'HCC Data Entry'!B289)</f>
        <v>St Marys Area School District</v>
      </c>
      <c r="C294" s="244">
        <f>IF('HCC Data Entry'!C289="","",'HCC Data Entry'!C289)</f>
        <v>13600714</v>
      </c>
      <c r="D294" s="244" t="str">
        <f>IF('HCC Data Entry'!D289="","",'HCC Data Entry'!D289)</f>
        <v>Retirees</v>
      </c>
      <c r="E294" s="244" t="str">
        <f>IF('HCC Data Entry'!E289="","",'HCC Data Entry'!E289)</f>
        <v>Self</v>
      </c>
      <c r="F294" s="246">
        <f>IF('HCC Data Entry'!F289="","",'HCC Data Entry'!F289)</f>
        <v>43898.6</v>
      </c>
      <c r="G294" s="246">
        <f>IFERROR(INDEX('HCC Data Entry'!$J$4:$J$22, MATCH('HCC Detail'!$B294,'HCC Data Entry'!$I$4:$I$22,0)),"")</f>
        <v>85000</v>
      </c>
      <c r="H294" s="246">
        <f t="shared" si="15"/>
        <v>0</v>
      </c>
      <c r="I294" s="247">
        <f t="shared" si="16"/>
        <v>0</v>
      </c>
      <c r="J294" s="246">
        <f t="shared" si="17"/>
        <v>0</v>
      </c>
    </row>
    <row r="295" spans="2:10" ht="18.5" x14ac:dyDescent="0.45">
      <c r="B295" s="244" t="str">
        <f>IF('HCC Data Entry'!B290="","",'HCC Data Entry'!B290)</f>
        <v>St Marys Area School District</v>
      </c>
      <c r="C295" s="244">
        <f>IF('HCC Data Entry'!C290="","",'HCC Data Entry'!C290)</f>
        <v>13605520</v>
      </c>
      <c r="D295" s="244" t="str">
        <f>IF('HCC Data Entry'!D290="","",'HCC Data Entry'!D290)</f>
        <v>Active</v>
      </c>
      <c r="E295" s="244" t="str">
        <f>IF('HCC Data Entry'!E290="","",'HCC Data Entry'!E290)</f>
        <v>Child</v>
      </c>
      <c r="F295" s="246">
        <f>IF('HCC Data Entry'!F290="","",'HCC Data Entry'!F290)</f>
        <v>38726.25</v>
      </c>
      <c r="G295" s="246">
        <f>IFERROR(INDEX('HCC Data Entry'!$J$4:$J$22, MATCH('HCC Detail'!$B295,'HCC Data Entry'!$I$4:$I$22,0)),"")</f>
        <v>85000</v>
      </c>
      <c r="H295" s="246">
        <f t="shared" si="15"/>
        <v>0</v>
      </c>
      <c r="I295" s="247">
        <f t="shared" si="16"/>
        <v>0</v>
      </c>
      <c r="J295" s="246">
        <f t="shared" si="17"/>
        <v>0</v>
      </c>
    </row>
    <row r="296" spans="2:10" ht="18.5" x14ac:dyDescent="0.45">
      <c r="B296" s="244" t="str">
        <f>IF('HCC Data Entry'!B291="","",'HCC Data Entry'!B291)</f>
        <v>St Marys Area School District</v>
      </c>
      <c r="C296" s="244">
        <f>IF('HCC Data Entry'!C291="","",'HCC Data Entry'!C291)</f>
        <v>13605200</v>
      </c>
      <c r="D296" s="244" t="str">
        <f>IF('HCC Data Entry'!D291="","",'HCC Data Entry'!D291)</f>
        <v>Active</v>
      </c>
      <c r="E296" s="244" t="str">
        <f>IF('HCC Data Entry'!E291="","",'HCC Data Entry'!E291)</f>
        <v>Self</v>
      </c>
      <c r="F296" s="246">
        <f>IF('HCC Data Entry'!F291="","",'HCC Data Entry'!F291)</f>
        <v>36788</v>
      </c>
      <c r="G296" s="246">
        <f>IFERROR(INDEX('HCC Data Entry'!$J$4:$J$22, MATCH('HCC Detail'!$B296,'HCC Data Entry'!$I$4:$I$22,0)),"")</f>
        <v>85000</v>
      </c>
      <c r="H296" s="246">
        <f t="shared" si="15"/>
        <v>0</v>
      </c>
      <c r="I296" s="247">
        <f t="shared" si="16"/>
        <v>0</v>
      </c>
      <c r="J296" s="246">
        <f t="shared" si="17"/>
        <v>0</v>
      </c>
    </row>
    <row r="297" spans="2:10" ht="18.5" x14ac:dyDescent="0.45">
      <c r="B297" s="244" t="str">
        <f>IF('HCC Data Entry'!B292="","",'HCC Data Entry'!B292)</f>
        <v>St Marys Area School District</v>
      </c>
      <c r="C297" s="244">
        <f>IF('HCC Data Entry'!C292="","",'HCC Data Entry'!C292)</f>
        <v>27096977</v>
      </c>
      <c r="D297" s="244" t="str">
        <f>IF('HCC Data Entry'!D292="","",'HCC Data Entry'!D292)</f>
        <v>Active</v>
      </c>
      <c r="E297" s="244" t="str">
        <f>IF('HCC Data Entry'!E292="","",'HCC Data Entry'!E292)</f>
        <v>Child</v>
      </c>
      <c r="F297" s="246">
        <f>IF('HCC Data Entry'!F292="","",'HCC Data Entry'!F292)</f>
        <v>35856.879999999997</v>
      </c>
      <c r="G297" s="246">
        <f>IFERROR(INDEX('HCC Data Entry'!$J$4:$J$22, MATCH('HCC Detail'!$B297,'HCC Data Entry'!$I$4:$I$22,0)),"")</f>
        <v>85000</v>
      </c>
      <c r="H297" s="246">
        <f t="shared" si="15"/>
        <v>0</v>
      </c>
      <c r="I297" s="247">
        <f t="shared" si="16"/>
        <v>0</v>
      </c>
      <c r="J297" s="246">
        <f t="shared" si="17"/>
        <v>0</v>
      </c>
    </row>
    <row r="298" spans="2:10" ht="18.5" x14ac:dyDescent="0.45">
      <c r="B298" s="244" t="str">
        <f>IF('HCC Data Entry'!B293="","",'HCC Data Entry'!B293)</f>
        <v>St Marys Area School District</v>
      </c>
      <c r="C298" s="244">
        <f>IF('HCC Data Entry'!C293="","",'HCC Data Entry'!C293)</f>
        <v>27244025</v>
      </c>
      <c r="D298" s="244" t="str">
        <f>IF('HCC Data Entry'!D293="","",'HCC Data Entry'!D293)</f>
        <v>Active</v>
      </c>
      <c r="E298" s="244" t="str">
        <f>IF('HCC Data Entry'!E293="","",'HCC Data Entry'!E293)</f>
        <v>Spouse</v>
      </c>
      <c r="F298" s="246">
        <f>IF('HCC Data Entry'!F293="","",'HCC Data Entry'!F293)</f>
        <v>33848.370000000003</v>
      </c>
      <c r="G298" s="246">
        <f>IFERROR(INDEX('HCC Data Entry'!$J$4:$J$22, MATCH('HCC Detail'!$B298,'HCC Data Entry'!$I$4:$I$22,0)),"")</f>
        <v>85000</v>
      </c>
      <c r="H298" s="246">
        <f t="shared" si="15"/>
        <v>0</v>
      </c>
      <c r="I298" s="247">
        <f t="shared" si="16"/>
        <v>0</v>
      </c>
      <c r="J298" s="246">
        <f t="shared" si="17"/>
        <v>0</v>
      </c>
    </row>
    <row r="299" spans="2:10" ht="18.5" x14ac:dyDescent="0.45">
      <c r="B299" s="244" t="str">
        <f>IF('HCC Data Entry'!B294="","",'HCC Data Entry'!B294)</f>
        <v>St Marys Area School District</v>
      </c>
      <c r="C299" s="244">
        <f>IF('HCC Data Entry'!C294="","",'HCC Data Entry'!C294)</f>
        <v>13639701</v>
      </c>
      <c r="D299" s="244" t="str">
        <f>IF('HCC Data Entry'!D294="","",'HCC Data Entry'!D294)</f>
        <v>Active</v>
      </c>
      <c r="E299" s="244" t="str">
        <f>IF('HCC Data Entry'!E294="","",'HCC Data Entry'!E294)</f>
        <v>Child</v>
      </c>
      <c r="F299" s="246">
        <f>IF('HCC Data Entry'!F294="","",'HCC Data Entry'!F294)</f>
        <v>32897.910000000003</v>
      </c>
      <c r="G299" s="246">
        <f>IFERROR(INDEX('HCC Data Entry'!$J$4:$J$22, MATCH('HCC Detail'!$B299,'HCC Data Entry'!$I$4:$I$22,0)),"")</f>
        <v>85000</v>
      </c>
      <c r="H299" s="246">
        <f t="shared" si="15"/>
        <v>0</v>
      </c>
      <c r="I299" s="247">
        <f t="shared" si="16"/>
        <v>0</v>
      </c>
      <c r="J299" s="246">
        <f t="shared" si="17"/>
        <v>0</v>
      </c>
    </row>
    <row r="300" spans="2:10" ht="18.5" x14ac:dyDescent="0.45">
      <c r="B300" s="244" t="str">
        <f>IF('HCC Data Entry'!B295="","",'HCC Data Entry'!B295)</f>
        <v>St Marys Area School District</v>
      </c>
      <c r="C300" s="244">
        <f>IF('HCC Data Entry'!C295="","",'HCC Data Entry'!C295)</f>
        <v>27361056</v>
      </c>
      <c r="D300" s="244" t="str">
        <f>IF('HCC Data Entry'!D295="","",'HCC Data Entry'!D295)</f>
        <v>Active</v>
      </c>
      <c r="E300" s="244" t="str">
        <f>IF('HCC Data Entry'!E295="","",'HCC Data Entry'!E295)</f>
        <v>Spouse</v>
      </c>
      <c r="F300" s="246">
        <f>IF('HCC Data Entry'!F295="","",'HCC Data Entry'!F295)</f>
        <v>31713.06</v>
      </c>
      <c r="G300" s="246">
        <f>IFERROR(INDEX('HCC Data Entry'!$J$4:$J$22, MATCH('HCC Detail'!$B300,'HCC Data Entry'!$I$4:$I$22,0)),"")</f>
        <v>85000</v>
      </c>
      <c r="H300" s="246">
        <f t="shared" si="15"/>
        <v>0</v>
      </c>
      <c r="I300" s="247">
        <f t="shared" si="16"/>
        <v>0</v>
      </c>
      <c r="J300" s="246">
        <f t="shared" si="17"/>
        <v>0</v>
      </c>
    </row>
    <row r="301" spans="2:10" ht="18.5" x14ac:dyDescent="0.45">
      <c r="B301" s="244" t="str">
        <f>IF('HCC Data Entry'!B296="","",'HCC Data Entry'!B296)</f>
        <v>St Marys Area School District</v>
      </c>
      <c r="C301" s="244">
        <f>IF('HCC Data Entry'!C296="","",'HCC Data Entry'!C296)</f>
        <v>13606379</v>
      </c>
      <c r="D301" s="244" t="str">
        <f>IF('HCC Data Entry'!D296="","",'HCC Data Entry'!D296)</f>
        <v>COBRA</v>
      </c>
      <c r="E301" s="244" t="str">
        <f>IF('HCC Data Entry'!E296="","",'HCC Data Entry'!E296)</f>
        <v>Self</v>
      </c>
      <c r="F301" s="246">
        <f>IF('HCC Data Entry'!F296="","",'HCC Data Entry'!F296)</f>
        <v>30758.21</v>
      </c>
      <c r="G301" s="246">
        <f>IFERROR(INDEX('HCC Data Entry'!$J$4:$J$22, MATCH('HCC Detail'!$B301,'HCC Data Entry'!$I$4:$I$22,0)),"")</f>
        <v>85000</v>
      </c>
      <c r="H301" s="246">
        <f t="shared" si="15"/>
        <v>0</v>
      </c>
      <c r="I301" s="247">
        <f t="shared" si="16"/>
        <v>0</v>
      </c>
      <c r="J301" s="246">
        <f t="shared" si="17"/>
        <v>0</v>
      </c>
    </row>
    <row r="302" spans="2:10" ht="18.5" x14ac:dyDescent="0.45">
      <c r="B302" s="244" t="str">
        <f>IF('HCC Data Entry'!B297="","",'HCC Data Entry'!B297)</f>
        <v>St Marys Area School District</v>
      </c>
      <c r="C302" s="244">
        <f>IF('HCC Data Entry'!C297="","",'HCC Data Entry'!C297)</f>
        <v>13595524</v>
      </c>
      <c r="D302" s="244" t="str">
        <f>IF('HCC Data Entry'!D297="","",'HCC Data Entry'!D297)</f>
        <v>Active</v>
      </c>
      <c r="E302" s="244" t="str">
        <f>IF('HCC Data Entry'!E297="","",'HCC Data Entry'!E297)</f>
        <v>Self</v>
      </c>
      <c r="F302" s="246">
        <f>IF('HCC Data Entry'!F297="","",'HCC Data Entry'!F297)</f>
        <v>29181.25</v>
      </c>
      <c r="G302" s="246">
        <f>IFERROR(INDEX('HCC Data Entry'!$J$4:$J$22, MATCH('HCC Detail'!$B302,'HCC Data Entry'!$I$4:$I$22,0)),"")</f>
        <v>85000</v>
      </c>
      <c r="H302" s="246">
        <f t="shared" si="15"/>
        <v>0</v>
      </c>
      <c r="I302" s="247">
        <f t="shared" si="16"/>
        <v>0</v>
      </c>
      <c r="J302" s="246">
        <f t="shared" si="17"/>
        <v>0</v>
      </c>
    </row>
    <row r="303" spans="2:10" ht="18.5" x14ac:dyDescent="0.45">
      <c r="B303" s="244" t="str">
        <f>IF('HCC Data Entry'!B298="","",'HCC Data Entry'!B298)</f>
        <v>St Marys Area School District</v>
      </c>
      <c r="C303" s="244">
        <f>IF('HCC Data Entry'!C298="","",'HCC Data Entry'!C298)</f>
        <v>13598592</v>
      </c>
      <c r="D303" s="244" t="str">
        <f>IF('HCC Data Entry'!D298="","",'HCC Data Entry'!D298)</f>
        <v>Active</v>
      </c>
      <c r="E303" s="244" t="str">
        <f>IF('HCC Data Entry'!E298="","",'HCC Data Entry'!E298)</f>
        <v>Spouse</v>
      </c>
      <c r="F303" s="246">
        <f>IF('HCC Data Entry'!F298="","",'HCC Data Entry'!F298)</f>
        <v>29134.91</v>
      </c>
      <c r="G303" s="246">
        <f>IFERROR(INDEX('HCC Data Entry'!$J$4:$J$22, MATCH('HCC Detail'!$B303,'HCC Data Entry'!$I$4:$I$22,0)),"")</f>
        <v>85000</v>
      </c>
      <c r="H303" s="246">
        <f t="shared" si="15"/>
        <v>0</v>
      </c>
      <c r="I303" s="247">
        <f t="shared" si="16"/>
        <v>0</v>
      </c>
      <c r="J303" s="246">
        <f t="shared" si="17"/>
        <v>0</v>
      </c>
    </row>
    <row r="304" spans="2:10" ht="18.5" x14ac:dyDescent="0.45">
      <c r="B304" s="244" t="str">
        <f>IF('HCC Data Entry'!B299="","",'HCC Data Entry'!B299)</f>
        <v>Valley Grove School District</v>
      </c>
      <c r="C304" s="244">
        <f>IF('HCC Data Entry'!C299="","",'HCC Data Entry'!C299)</f>
        <v>13614015</v>
      </c>
      <c r="D304" s="244" t="str">
        <f>IF('HCC Data Entry'!D299="","",'HCC Data Entry'!D299)</f>
        <v>Active</v>
      </c>
      <c r="E304" s="244" t="str">
        <f>IF('HCC Data Entry'!E299="","",'HCC Data Entry'!E299)</f>
        <v>Spouse</v>
      </c>
      <c r="F304" s="246">
        <f>IF('HCC Data Entry'!F299="","",'HCC Data Entry'!F299)</f>
        <v>154659.57</v>
      </c>
      <c r="G304" s="246">
        <f>IFERROR(INDEX('HCC Data Entry'!$J$4:$J$22, MATCH('HCC Detail'!$B304,'HCC Data Entry'!$I$4:$I$22,0)),"")</f>
        <v>68000</v>
      </c>
      <c r="H304" s="246">
        <f t="shared" si="15"/>
        <v>86659.57</v>
      </c>
      <c r="I304" s="247">
        <f t="shared" si="16"/>
        <v>86659.57</v>
      </c>
      <c r="J304" s="246">
        <f t="shared" si="17"/>
        <v>0</v>
      </c>
    </row>
    <row r="305" spans="2:10" ht="18.5" x14ac:dyDescent="0.45">
      <c r="B305" s="244" t="str">
        <f>IF('HCC Data Entry'!B300="","",'HCC Data Entry'!B300)</f>
        <v>Valley Grove School District</v>
      </c>
      <c r="C305" s="244">
        <f>IF('HCC Data Entry'!C300="","",'HCC Data Entry'!C300)</f>
        <v>13610682</v>
      </c>
      <c r="D305" s="244" t="str">
        <f>IF('HCC Data Entry'!D300="","",'HCC Data Entry'!D300)</f>
        <v>Active</v>
      </c>
      <c r="E305" s="244" t="str">
        <f>IF('HCC Data Entry'!E300="","",'HCC Data Entry'!E300)</f>
        <v>Spouse</v>
      </c>
      <c r="F305" s="246">
        <f>IF('HCC Data Entry'!F300="","",'HCC Data Entry'!F300)</f>
        <v>115699.42</v>
      </c>
      <c r="G305" s="246">
        <f>IFERROR(INDEX('HCC Data Entry'!$J$4:$J$22, MATCH('HCC Detail'!$B305,'HCC Data Entry'!$I$4:$I$22,0)),"")</f>
        <v>68000</v>
      </c>
      <c r="H305" s="246">
        <f t="shared" si="15"/>
        <v>47699.42</v>
      </c>
      <c r="I305" s="247">
        <f t="shared" si="16"/>
        <v>47699.42</v>
      </c>
      <c r="J305" s="246">
        <f t="shared" si="17"/>
        <v>0</v>
      </c>
    </row>
    <row r="306" spans="2:10" ht="18.5" x14ac:dyDescent="0.45">
      <c r="B306" s="244" t="str">
        <f>IF('HCC Data Entry'!B301="","",'HCC Data Entry'!B301)</f>
        <v>Valley Grove School District</v>
      </c>
      <c r="C306" s="244">
        <f>IF('HCC Data Entry'!C301="","",'HCC Data Entry'!C301)</f>
        <v>13611468</v>
      </c>
      <c r="D306" s="244" t="str">
        <f>IF('HCC Data Entry'!D301="","",'HCC Data Entry'!D301)</f>
        <v>Active</v>
      </c>
      <c r="E306" s="244" t="str">
        <f>IF('HCC Data Entry'!E301="","",'HCC Data Entry'!E301)</f>
        <v>Spouse</v>
      </c>
      <c r="F306" s="246">
        <f>IF('HCC Data Entry'!F301="","",'HCC Data Entry'!F301)</f>
        <v>112918.84</v>
      </c>
      <c r="G306" s="246">
        <f>IFERROR(INDEX('HCC Data Entry'!$J$4:$J$22, MATCH('HCC Detail'!$B306,'HCC Data Entry'!$I$4:$I$22,0)),"")</f>
        <v>68000</v>
      </c>
      <c r="H306" s="246">
        <f t="shared" si="15"/>
        <v>44918.84</v>
      </c>
      <c r="I306" s="247">
        <f t="shared" si="16"/>
        <v>44918.84</v>
      </c>
      <c r="J306" s="246">
        <f t="shared" si="17"/>
        <v>0</v>
      </c>
    </row>
    <row r="307" spans="2:10" ht="18.5" x14ac:dyDescent="0.45">
      <c r="B307" s="244" t="str">
        <f>IF('HCC Data Entry'!B302="","",'HCC Data Entry'!B302)</f>
        <v>Valley Grove School District</v>
      </c>
      <c r="C307" s="244">
        <f>IF('HCC Data Entry'!C302="","",'HCC Data Entry'!C302)</f>
        <v>13612101</v>
      </c>
      <c r="D307" s="244" t="str">
        <f>IF('HCC Data Entry'!D302="","",'HCC Data Entry'!D302)</f>
        <v>Active</v>
      </c>
      <c r="E307" s="244" t="str">
        <f>IF('HCC Data Entry'!E302="","",'HCC Data Entry'!E302)</f>
        <v>Self</v>
      </c>
      <c r="F307" s="246">
        <f>IF('HCC Data Entry'!F302="","",'HCC Data Entry'!F302)</f>
        <v>81378.19</v>
      </c>
      <c r="G307" s="246">
        <f>IFERROR(INDEX('HCC Data Entry'!$J$4:$J$22, MATCH('HCC Detail'!$B307,'HCC Data Entry'!$I$4:$I$22,0)),"")</f>
        <v>68000</v>
      </c>
      <c r="H307" s="246">
        <f t="shared" si="15"/>
        <v>13378.190000000002</v>
      </c>
      <c r="I307" s="247">
        <f t="shared" si="16"/>
        <v>13378.190000000002</v>
      </c>
      <c r="J307" s="246">
        <f t="shared" si="17"/>
        <v>0</v>
      </c>
    </row>
    <row r="308" spans="2:10" ht="18.5" x14ac:dyDescent="0.45">
      <c r="B308" s="244" t="str">
        <f>IF('HCC Data Entry'!B303="","",'HCC Data Entry'!B303)</f>
        <v>Valley Grove School District</v>
      </c>
      <c r="C308" s="244">
        <f>IF('HCC Data Entry'!C303="","",'HCC Data Entry'!C303)</f>
        <v>13616784</v>
      </c>
      <c r="D308" s="244" t="str">
        <f>IF('HCC Data Entry'!D303="","",'HCC Data Entry'!D303)</f>
        <v>Active</v>
      </c>
      <c r="E308" s="244" t="str">
        <f>IF('HCC Data Entry'!E303="","",'HCC Data Entry'!E303)</f>
        <v>Self</v>
      </c>
      <c r="F308" s="246">
        <f>IF('HCC Data Entry'!F303="","",'HCC Data Entry'!F303)</f>
        <v>60039.96</v>
      </c>
      <c r="G308" s="246">
        <f>IFERROR(INDEX('HCC Data Entry'!$J$4:$J$22, MATCH('HCC Detail'!$B308,'HCC Data Entry'!$I$4:$I$22,0)),"")</f>
        <v>68000</v>
      </c>
      <c r="H308" s="246">
        <f t="shared" si="15"/>
        <v>0</v>
      </c>
      <c r="I308" s="247">
        <f t="shared" si="16"/>
        <v>0</v>
      </c>
      <c r="J308" s="246">
        <f t="shared" si="17"/>
        <v>0</v>
      </c>
    </row>
    <row r="309" spans="2:10" ht="18.5" x14ac:dyDescent="0.45">
      <c r="B309" s="244" t="str">
        <f>IF('HCC Data Entry'!B304="","",'HCC Data Entry'!B304)</f>
        <v>Valley Grove School District</v>
      </c>
      <c r="C309" s="244">
        <f>IF('HCC Data Entry'!C304="","",'HCC Data Entry'!C304)</f>
        <v>15927379</v>
      </c>
      <c r="D309" s="244" t="str">
        <f>IF('HCC Data Entry'!D304="","",'HCC Data Entry'!D304)</f>
        <v>Retiree</v>
      </c>
      <c r="E309" s="244" t="str">
        <f>IF('HCC Data Entry'!E304="","",'HCC Data Entry'!E304)</f>
        <v>Self</v>
      </c>
      <c r="F309" s="246">
        <f>IF('HCC Data Entry'!F304="","",'HCC Data Entry'!F304)</f>
        <v>45196.1</v>
      </c>
      <c r="G309" s="246">
        <f>IFERROR(INDEX('HCC Data Entry'!$J$4:$J$22, MATCH('HCC Detail'!$B309,'HCC Data Entry'!$I$4:$I$22,0)),"")</f>
        <v>68000</v>
      </c>
      <c r="H309" s="246">
        <f t="shared" si="15"/>
        <v>0</v>
      </c>
      <c r="I309" s="247">
        <f t="shared" si="16"/>
        <v>0</v>
      </c>
      <c r="J309" s="246">
        <f t="shared" si="17"/>
        <v>0</v>
      </c>
    </row>
    <row r="310" spans="2:10" ht="18.5" x14ac:dyDescent="0.45">
      <c r="B310" s="244" t="str">
        <f>IF('HCC Data Entry'!B305="","",'HCC Data Entry'!B305)</f>
        <v>Valley Grove School District</v>
      </c>
      <c r="C310" s="244">
        <f>IF('HCC Data Entry'!C305="","",'HCC Data Entry'!C305)</f>
        <v>13615219</v>
      </c>
      <c r="D310" s="244" t="str">
        <f>IF('HCC Data Entry'!D305="","",'HCC Data Entry'!D305)</f>
        <v>Active</v>
      </c>
      <c r="E310" s="244" t="str">
        <f>IF('HCC Data Entry'!E305="","",'HCC Data Entry'!E305)</f>
        <v>Self</v>
      </c>
      <c r="F310" s="246">
        <f>IF('HCC Data Entry'!F305="","",'HCC Data Entry'!F305)</f>
        <v>31646.65</v>
      </c>
      <c r="G310" s="246">
        <f>IFERROR(INDEX('HCC Data Entry'!$J$4:$J$22, MATCH('HCC Detail'!$B310,'HCC Data Entry'!$I$4:$I$22,0)),"")</f>
        <v>68000</v>
      </c>
      <c r="H310" s="246">
        <f t="shared" si="15"/>
        <v>0</v>
      </c>
      <c r="I310" s="247">
        <f t="shared" si="16"/>
        <v>0</v>
      </c>
      <c r="J310" s="246">
        <f t="shared" si="17"/>
        <v>0</v>
      </c>
    </row>
    <row r="311" spans="2:10" ht="18.5" x14ac:dyDescent="0.45">
      <c r="B311" s="244" t="str">
        <f>IF('HCC Data Entry'!B306="","",'HCC Data Entry'!B306)</f>
        <v>Valley Grove School District</v>
      </c>
      <c r="C311" s="244">
        <f>IF('HCC Data Entry'!C306="","",'HCC Data Entry'!C306)</f>
        <v>13629584</v>
      </c>
      <c r="D311" s="244" t="str">
        <f>IF('HCC Data Entry'!D306="","",'HCC Data Entry'!D306)</f>
        <v>Active</v>
      </c>
      <c r="E311" s="244" t="str">
        <f>IF('HCC Data Entry'!E306="","",'HCC Data Entry'!E306)</f>
        <v>Self</v>
      </c>
      <c r="F311" s="246">
        <f>IF('HCC Data Entry'!F306="","",'HCC Data Entry'!F306)</f>
        <v>28840.13</v>
      </c>
      <c r="G311" s="246">
        <f>IFERROR(INDEX('HCC Data Entry'!$J$4:$J$22, MATCH('HCC Detail'!$B311,'HCC Data Entry'!$I$4:$I$22,0)),"")</f>
        <v>68000</v>
      </c>
      <c r="H311" s="246">
        <f t="shared" si="15"/>
        <v>0</v>
      </c>
      <c r="I311" s="247">
        <f t="shared" si="16"/>
        <v>0</v>
      </c>
      <c r="J311" s="246">
        <f t="shared" si="17"/>
        <v>0</v>
      </c>
    </row>
    <row r="312" spans="2:10" ht="18.5" x14ac:dyDescent="0.45">
      <c r="B312" s="244" t="str">
        <f>IF('HCC Data Entry'!B307="","",'HCC Data Entry'!B307)</f>
        <v>Valley Grove School District</v>
      </c>
      <c r="C312" s="244">
        <f>IF('HCC Data Entry'!C307="","",'HCC Data Entry'!C307)</f>
        <v>13618568</v>
      </c>
      <c r="D312" s="244" t="str">
        <f>IF('HCC Data Entry'!D307="","",'HCC Data Entry'!D307)</f>
        <v>Active</v>
      </c>
      <c r="E312" s="244" t="str">
        <f>IF('HCC Data Entry'!E307="","",'HCC Data Entry'!E307)</f>
        <v>Self</v>
      </c>
      <c r="F312" s="246">
        <f>IF('HCC Data Entry'!F307="","",'HCC Data Entry'!F307)</f>
        <v>25260.720000000001</v>
      </c>
      <c r="G312" s="246">
        <f>IFERROR(INDEX('HCC Data Entry'!$J$4:$J$22, MATCH('HCC Detail'!$B312,'HCC Data Entry'!$I$4:$I$22,0)),"")</f>
        <v>68000</v>
      </c>
      <c r="H312" s="246">
        <f t="shared" si="15"/>
        <v>0</v>
      </c>
      <c r="I312" s="247">
        <f t="shared" si="16"/>
        <v>0</v>
      </c>
      <c r="J312" s="246">
        <f t="shared" si="17"/>
        <v>0</v>
      </c>
    </row>
    <row r="313" spans="2:10" ht="18.5" x14ac:dyDescent="0.45">
      <c r="B313" s="244" t="str">
        <f>IF('HCC Data Entry'!B308="","",'HCC Data Entry'!B308)</f>
        <v>Venango Technology Center</v>
      </c>
      <c r="C313" s="244">
        <f>IF('HCC Data Entry'!C308="","",'HCC Data Entry'!C308)</f>
        <v>13615081</v>
      </c>
      <c r="D313" s="244" t="str">
        <f>IF('HCC Data Entry'!D308="","",'HCC Data Entry'!D308)</f>
        <v>Active</v>
      </c>
      <c r="E313" s="244" t="str">
        <f>IF('HCC Data Entry'!E308="","",'HCC Data Entry'!E308)</f>
        <v>Spouse</v>
      </c>
      <c r="F313" s="246">
        <f>IF('HCC Data Entry'!F308="","",'HCC Data Entry'!F308)</f>
        <v>38705.82</v>
      </c>
      <c r="G313" s="246">
        <f>IFERROR(INDEX('HCC Data Entry'!$J$4:$J$22, MATCH('HCC Detail'!$B313,'HCC Data Entry'!$I$4:$I$22,0)),"")</f>
        <v>50000</v>
      </c>
      <c r="H313" s="246">
        <f t="shared" si="15"/>
        <v>0</v>
      </c>
      <c r="I313" s="247">
        <f t="shared" si="16"/>
        <v>0</v>
      </c>
      <c r="J313" s="246">
        <f t="shared" si="17"/>
        <v>0</v>
      </c>
    </row>
    <row r="314" spans="2:10" ht="18.5" x14ac:dyDescent="0.45">
      <c r="B314" s="244" t="str">
        <f>IF('HCC Data Entry'!B309="","",'HCC Data Entry'!B309)</f>
        <v>Venango Technology Center</v>
      </c>
      <c r="C314" s="244">
        <f>IF('HCC Data Entry'!C309="","",'HCC Data Entry'!C309)</f>
        <v>13624478</v>
      </c>
      <c r="D314" s="244" t="str">
        <f>IF('HCC Data Entry'!D309="","",'HCC Data Entry'!D309)</f>
        <v>Active</v>
      </c>
      <c r="E314" s="244" t="str">
        <f>IF('HCC Data Entry'!E309="","",'HCC Data Entry'!E309)</f>
        <v>Self</v>
      </c>
      <c r="F314" s="246">
        <f>IF('HCC Data Entry'!F309="","",'HCC Data Entry'!F309)</f>
        <v>31830.89</v>
      </c>
      <c r="G314" s="246">
        <f>IFERROR(INDEX('HCC Data Entry'!$J$4:$J$22, MATCH('HCC Detail'!$B314,'HCC Data Entry'!$I$4:$I$22,0)),"")</f>
        <v>50000</v>
      </c>
      <c r="H314" s="246">
        <f t="shared" si="15"/>
        <v>0</v>
      </c>
      <c r="I314" s="247">
        <f t="shared" si="16"/>
        <v>0</v>
      </c>
      <c r="J314" s="246">
        <f t="shared" si="17"/>
        <v>0</v>
      </c>
    </row>
    <row r="315" spans="2:10" ht="18.5" x14ac:dyDescent="0.45">
      <c r="B315" s="244" t="str">
        <f>IF('HCC Data Entry'!B310="","",'HCC Data Entry'!B310)</f>
        <v>Venango Technology Center</v>
      </c>
      <c r="C315" s="244">
        <f>IF('HCC Data Entry'!C310="","",'HCC Data Entry'!C310)</f>
        <v>13617597</v>
      </c>
      <c r="D315" s="244" t="str">
        <f>IF('HCC Data Entry'!D310="","",'HCC Data Entry'!D310)</f>
        <v>Active</v>
      </c>
      <c r="E315" s="244" t="str">
        <f>IF('HCC Data Entry'!E310="","",'HCC Data Entry'!E310)</f>
        <v>Self</v>
      </c>
      <c r="F315" s="246">
        <f>IF('HCC Data Entry'!F310="","",'HCC Data Entry'!F310)</f>
        <v>28415.18</v>
      </c>
      <c r="G315" s="246">
        <f>IFERROR(INDEX('HCC Data Entry'!$J$4:$J$22, MATCH('HCC Detail'!$B315,'HCC Data Entry'!$I$4:$I$22,0)),"")</f>
        <v>50000</v>
      </c>
      <c r="H315" s="246">
        <f t="shared" si="15"/>
        <v>0</v>
      </c>
      <c r="I315" s="247">
        <f t="shared" si="16"/>
        <v>0</v>
      </c>
      <c r="J315" s="246">
        <f t="shared" si="17"/>
        <v>0</v>
      </c>
    </row>
    <row r="316" spans="2:10" ht="18.5" x14ac:dyDescent="0.45">
      <c r="B316" s="244" t="str">
        <f>IF('HCC Data Entry'!B311="","",'HCC Data Entry'!B311)</f>
        <v>Venango Technology Center</v>
      </c>
      <c r="C316" s="244">
        <f>IF('HCC Data Entry'!C311="","",'HCC Data Entry'!C311)</f>
        <v>13612110</v>
      </c>
      <c r="D316" s="244" t="str">
        <f>IF('HCC Data Entry'!D311="","",'HCC Data Entry'!D311)</f>
        <v>Active</v>
      </c>
      <c r="E316" s="244" t="str">
        <f>IF('HCC Data Entry'!E311="","",'HCC Data Entry'!E311)</f>
        <v>Self</v>
      </c>
      <c r="F316" s="246">
        <f>IF('HCC Data Entry'!F311="","",'HCC Data Entry'!F311)</f>
        <v>26866.37</v>
      </c>
      <c r="G316" s="246">
        <f>IFERROR(INDEX('HCC Data Entry'!$J$4:$J$22, MATCH('HCC Detail'!$B316,'HCC Data Entry'!$I$4:$I$22,0)),"")</f>
        <v>50000</v>
      </c>
      <c r="H316" s="246">
        <f t="shared" si="15"/>
        <v>0</v>
      </c>
      <c r="I316" s="247">
        <f t="shared" si="16"/>
        <v>0</v>
      </c>
      <c r="J316" s="246">
        <f t="shared" si="17"/>
        <v>0</v>
      </c>
    </row>
    <row r="317" spans="2:10" ht="18.5" x14ac:dyDescent="0.45">
      <c r="B317" s="244" t="str">
        <f>IF('HCC Data Entry'!B312="","",'HCC Data Entry'!B312)</f>
        <v>Wattsburg Area School District</v>
      </c>
      <c r="C317" s="244">
        <f>IF('HCC Data Entry'!C312="","",'HCC Data Entry'!C312)</f>
        <v>13622150</v>
      </c>
      <c r="D317" s="244" t="str">
        <f>IF('HCC Data Entry'!D312="","",'HCC Data Entry'!D312)</f>
        <v>Active</v>
      </c>
      <c r="E317" s="244" t="str">
        <f>IF('HCC Data Entry'!E312="","",'HCC Data Entry'!E312)</f>
        <v>Spouse</v>
      </c>
      <c r="F317" s="246">
        <f>IF('HCC Data Entry'!F312="","",'HCC Data Entry'!F312)</f>
        <v>349435.46</v>
      </c>
      <c r="G317" s="246">
        <f>IFERROR(INDEX('HCC Data Entry'!$J$4:$J$22, MATCH('HCC Detail'!$B317,'HCC Data Entry'!$I$4:$I$22,0)),"")</f>
        <v>68000</v>
      </c>
      <c r="H317" s="246">
        <f t="shared" si="15"/>
        <v>281435.46000000002</v>
      </c>
      <c r="I317" s="247">
        <f t="shared" si="16"/>
        <v>232000</v>
      </c>
      <c r="J317" s="246">
        <f t="shared" si="17"/>
        <v>49435.460000000021</v>
      </c>
    </row>
    <row r="318" spans="2:10" ht="18.5" x14ac:dyDescent="0.45">
      <c r="B318" s="244" t="str">
        <f>IF('HCC Data Entry'!B313="","",'HCC Data Entry'!B313)</f>
        <v>Wattsburg Area School District</v>
      </c>
      <c r="C318" s="244">
        <f>IF('HCC Data Entry'!C313="","",'HCC Data Entry'!C313)</f>
        <v>20387375</v>
      </c>
      <c r="D318" s="244" t="str">
        <f>IF('HCC Data Entry'!D313="","",'HCC Data Entry'!D313)</f>
        <v>Active</v>
      </c>
      <c r="E318" s="244" t="str">
        <f>IF('HCC Data Entry'!E313="","",'HCC Data Entry'!E313)</f>
        <v>Child</v>
      </c>
      <c r="F318" s="246">
        <f>IF('HCC Data Entry'!F313="","",'HCC Data Entry'!F313)</f>
        <v>85083.36</v>
      </c>
      <c r="G318" s="246">
        <f>IFERROR(INDEX('HCC Data Entry'!$J$4:$J$22, MATCH('HCC Detail'!$B318,'HCC Data Entry'!$I$4:$I$22,0)),"")</f>
        <v>68000</v>
      </c>
      <c r="H318" s="246">
        <f t="shared" si="15"/>
        <v>17083.36</v>
      </c>
      <c r="I318" s="247">
        <f t="shared" si="16"/>
        <v>17083.36</v>
      </c>
      <c r="J318" s="246">
        <f t="shared" si="17"/>
        <v>0</v>
      </c>
    </row>
    <row r="319" spans="2:10" ht="18.5" x14ac:dyDescent="0.45">
      <c r="B319" s="244" t="str">
        <f>IF('HCC Data Entry'!B314="","",'HCC Data Entry'!B314)</f>
        <v>Wattsburg Area School District</v>
      </c>
      <c r="C319" s="244">
        <f>IF('HCC Data Entry'!C314="","",'HCC Data Entry'!C314)</f>
        <v>13621052</v>
      </c>
      <c r="D319" s="244" t="str">
        <f>IF('HCC Data Entry'!D314="","",'HCC Data Entry'!D314)</f>
        <v>Retiree</v>
      </c>
      <c r="E319" s="244" t="str">
        <f>IF('HCC Data Entry'!E314="","",'HCC Data Entry'!E314)</f>
        <v>Self</v>
      </c>
      <c r="F319" s="246">
        <f>IF('HCC Data Entry'!F314="","",'HCC Data Entry'!F314)</f>
        <v>82826.28</v>
      </c>
      <c r="G319" s="246">
        <f>IFERROR(INDEX('HCC Data Entry'!$J$4:$J$22, MATCH('HCC Detail'!$B319,'HCC Data Entry'!$I$4:$I$22,0)),"")</f>
        <v>68000</v>
      </c>
      <c r="H319" s="246">
        <f t="shared" si="15"/>
        <v>14826.279999999999</v>
      </c>
      <c r="I319" s="247">
        <f t="shared" si="16"/>
        <v>14826.279999999999</v>
      </c>
      <c r="J319" s="246">
        <f t="shared" si="17"/>
        <v>0</v>
      </c>
    </row>
    <row r="320" spans="2:10" ht="18.5" x14ac:dyDescent="0.45">
      <c r="B320" s="244" t="str">
        <f>IF('HCC Data Entry'!B315="","",'HCC Data Entry'!B315)</f>
        <v>Wattsburg Area School District</v>
      </c>
      <c r="C320" s="244">
        <f>IF('HCC Data Entry'!C315="","",'HCC Data Entry'!C315)</f>
        <v>13625342</v>
      </c>
      <c r="D320" s="244" t="str">
        <f>IF('HCC Data Entry'!D315="","",'HCC Data Entry'!D315)</f>
        <v>Active</v>
      </c>
      <c r="E320" s="244" t="str">
        <f>IF('HCC Data Entry'!E315="","",'HCC Data Entry'!E315)</f>
        <v>Spouse</v>
      </c>
      <c r="F320" s="246">
        <f>IF('HCC Data Entry'!F315="","",'HCC Data Entry'!F315)</f>
        <v>77752.5</v>
      </c>
      <c r="G320" s="246">
        <f>IFERROR(INDEX('HCC Data Entry'!$J$4:$J$22, MATCH('HCC Detail'!$B320,'HCC Data Entry'!$I$4:$I$22,0)),"")</f>
        <v>68000</v>
      </c>
      <c r="H320" s="246">
        <f t="shared" si="15"/>
        <v>9752.5</v>
      </c>
      <c r="I320" s="247">
        <f t="shared" si="16"/>
        <v>9752.5</v>
      </c>
      <c r="J320" s="246">
        <f t="shared" si="17"/>
        <v>0</v>
      </c>
    </row>
    <row r="321" spans="2:10" ht="18.5" x14ac:dyDescent="0.45">
      <c r="B321" s="244" t="str">
        <f>IF('HCC Data Entry'!B316="","",'HCC Data Entry'!B316)</f>
        <v>Wattsburg Area School District</v>
      </c>
      <c r="C321" s="244">
        <f>IF('HCC Data Entry'!C316="","",'HCC Data Entry'!C316)</f>
        <v>13623115</v>
      </c>
      <c r="D321" s="244" t="str">
        <f>IF('HCC Data Entry'!D316="","",'HCC Data Entry'!D316)</f>
        <v>Active</v>
      </c>
      <c r="E321" s="244" t="str">
        <f>IF('HCC Data Entry'!E316="","",'HCC Data Entry'!E316)</f>
        <v>Self</v>
      </c>
      <c r="F321" s="246">
        <f>IF('HCC Data Entry'!F316="","",'HCC Data Entry'!F316)</f>
        <v>76561.94</v>
      </c>
      <c r="G321" s="246">
        <f>IFERROR(INDEX('HCC Data Entry'!$J$4:$J$22, MATCH('HCC Detail'!$B321,'HCC Data Entry'!$I$4:$I$22,0)),"")</f>
        <v>68000</v>
      </c>
      <c r="H321" s="246">
        <f t="shared" si="15"/>
        <v>8561.9400000000023</v>
      </c>
      <c r="I321" s="247">
        <f t="shared" si="16"/>
        <v>8561.9400000000023</v>
      </c>
      <c r="J321" s="246">
        <f t="shared" si="17"/>
        <v>0</v>
      </c>
    </row>
    <row r="322" spans="2:10" ht="18.5" x14ac:dyDescent="0.45">
      <c r="B322" s="244" t="str">
        <f>IF('HCC Data Entry'!B317="","",'HCC Data Entry'!B317)</f>
        <v>Wattsburg Area School District</v>
      </c>
      <c r="C322" s="244">
        <f>IF('HCC Data Entry'!C317="","",'HCC Data Entry'!C317)</f>
        <v>13614867</v>
      </c>
      <c r="D322" s="244" t="str">
        <f>IF('HCC Data Entry'!D317="","",'HCC Data Entry'!D317)</f>
        <v>Retiree</v>
      </c>
      <c r="E322" s="244" t="str">
        <f>IF('HCC Data Entry'!E317="","",'HCC Data Entry'!E317)</f>
        <v>Self</v>
      </c>
      <c r="F322" s="246">
        <f>IF('HCC Data Entry'!F317="","",'HCC Data Entry'!F317)</f>
        <v>68578.67</v>
      </c>
      <c r="G322" s="246">
        <f>IFERROR(INDEX('HCC Data Entry'!$J$4:$J$22, MATCH('HCC Detail'!$B322,'HCC Data Entry'!$I$4:$I$22,0)),"")</f>
        <v>68000</v>
      </c>
      <c r="H322" s="246">
        <f t="shared" si="15"/>
        <v>578.66999999999825</v>
      </c>
      <c r="I322" s="247">
        <f t="shared" si="16"/>
        <v>578.66999999999825</v>
      </c>
      <c r="J322" s="246">
        <f t="shared" si="17"/>
        <v>0</v>
      </c>
    </row>
    <row r="323" spans="2:10" ht="18.5" x14ac:dyDescent="0.45">
      <c r="B323" s="244" t="str">
        <f>IF('HCC Data Entry'!B318="","",'HCC Data Entry'!B318)</f>
        <v>Wattsburg Area School District</v>
      </c>
      <c r="C323" s="244">
        <f>IF('HCC Data Entry'!C318="","",'HCC Data Entry'!C318)</f>
        <v>13607756</v>
      </c>
      <c r="D323" s="244" t="str">
        <f>IF('HCC Data Entry'!D318="","",'HCC Data Entry'!D318)</f>
        <v>Active</v>
      </c>
      <c r="E323" s="244" t="str">
        <f>IF('HCC Data Entry'!E318="","",'HCC Data Entry'!E318)</f>
        <v>Spouse</v>
      </c>
      <c r="F323" s="246">
        <f>IF('HCC Data Entry'!F318="","",'HCC Data Entry'!F318)</f>
        <v>61762.1</v>
      </c>
      <c r="G323" s="246">
        <f>IFERROR(INDEX('HCC Data Entry'!$J$4:$J$22, MATCH('HCC Detail'!$B323,'HCC Data Entry'!$I$4:$I$22,0)),"")</f>
        <v>68000</v>
      </c>
      <c r="H323" s="246">
        <f t="shared" si="15"/>
        <v>0</v>
      </c>
      <c r="I323" s="247">
        <f t="shared" si="16"/>
        <v>0</v>
      </c>
      <c r="J323" s="246">
        <f t="shared" si="17"/>
        <v>0</v>
      </c>
    </row>
    <row r="324" spans="2:10" ht="18.5" x14ac:dyDescent="0.45">
      <c r="B324" s="244" t="str">
        <f>IF('HCC Data Entry'!B319="","",'HCC Data Entry'!B319)</f>
        <v>Wattsburg Area School District</v>
      </c>
      <c r="C324" s="244">
        <f>IF('HCC Data Entry'!C319="","",'HCC Data Entry'!C319)</f>
        <v>13606216</v>
      </c>
      <c r="D324" s="244" t="str">
        <f>IF('HCC Data Entry'!D319="","",'HCC Data Entry'!D319)</f>
        <v>Active</v>
      </c>
      <c r="E324" s="244" t="str">
        <f>IF('HCC Data Entry'!E319="","",'HCC Data Entry'!E319)</f>
        <v>Self</v>
      </c>
      <c r="F324" s="246">
        <f>IF('HCC Data Entry'!F319="","",'HCC Data Entry'!F319)</f>
        <v>59692.36</v>
      </c>
      <c r="G324" s="246">
        <f>IFERROR(INDEX('HCC Data Entry'!$J$4:$J$22, MATCH('HCC Detail'!$B324,'HCC Data Entry'!$I$4:$I$22,0)),"")</f>
        <v>68000</v>
      </c>
      <c r="H324" s="246">
        <f t="shared" si="15"/>
        <v>0</v>
      </c>
      <c r="I324" s="247">
        <f t="shared" si="16"/>
        <v>0</v>
      </c>
      <c r="J324" s="246">
        <f t="shared" si="17"/>
        <v>0</v>
      </c>
    </row>
    <row r="325" spans="2:10" ht="18.5" x14ac:dyDescent="0.45">
      <c r="B325" s="244" t="str">
        <f>IF('HCC Data Entry'!B320="","",'HCC Data Entry'!B320)</f>
        <v>Wattsburg Area School District</v>
      </c>
      <c r="C325" s="244">
        <f>IF('HCC Data Entry'!C320="","",'HCC Data Entry'!C320)</f>
        <v>13615301</v>
      </c>
      <c r="D325" s="244" t="str">
        <f>IF('HCC Data Entry'!D320="","",'HCC Data Entry'!D320)</f>
        <v>Active</v>
      </c>
      <c r="E325" s="244" t="str">
        <f>IF('HCC Data Entry'!E320="","",'HCC Data Entry'!E320)</f>
        <v>Spouse</v>
      </c>
      <c r="F325" s="246">
        <f>IF('HCC Data Entry'!F320="","",'HCC Data Entry'!F320)</f>
        <v>56613.63</v>
      </c>
      <c r="G325" s="246">
        <f>IFERROR(INDEX('HCC Data Entry'!$J$4:$J$22, MATCH('HCC Detail'!$B325,'HCC Data Entry'!$I$4:$I$22,0)),"")</f>
        <v>68000</v>
      </c>
      <c r="H325" s="246">
        <f t="shared" si="15"/>
        <v>0</v>
      </c>
      <c r="I325" s="247">
        <f t="shared" si="16"/>
        <v>0</v>
      </c>
      <c r="J325" s="246">
        <f t="shared" si="17"/>
        <v>0</v>
      </c>
    </row>
    <row r="326" spans="2:10" ht="18.5" x14ac:dyDescent="0.45">
      <c r="B326" s="244" t="str">
        <f>IF('HCC Data Entry'!B321="","",'HCC Data Entry'!B321)</f>
        <v>Wattsburg Area School District</v>
      </c>
      <c r="C326" s="244">
        <f>IF('HCC Data Entry'!C321="","",'HCC Data Entry'!C321)</f>
        <v>13613168</v>
      </c>
      <c r="D326" s="244" t="str">
        <f>IF('HCC Data Entry'!D321="","",'HCC Data Entry'!D321)</f>
        <v>Active</v>
      </c>
      <c r="E326" s="244" t="str">
        <f>IF('HCC Data Entry'!E321="","",'HCC Data Entry'!E321)</f>
        <v>Spouse</v>
      </c>
      <c r="F326" s="246">
        <f>IF('HCC Data Entry'!F321="","",'HCC Data Entry'!F321)</f>
        <v>55927.67</v>
      </c>
      <c r="G326" s="246">
        <f>IFERROR(INDEX('HCC Data Entry'!$J$4:$J$22, MATCH('HCC Detail'!$B326,'HCC Data Entry'!$I$4:$I$22,0)),"")</f>
        <v>68000</v>
      </c>
      <c r="H326" s="246">
        <f t="shared" si="15"/>
        <v>0</v>
      </c>
      <c r="I326" s="247">
        <f t="shared" si="16"/>
        <v>0</v>
      </c>
      <c r="J326" s="246">
        <f t="shared" si="17"/>
        <v>0</v>
      </c>
    </row>
    <row r="327" spans="2:10" ht="18.5" x14ac:dyDescent="0.45">
      <c r="B327" s="244" t="str">
        <f>IF('HCC Data Entry'!B322="","",'HCC Data Entry'!B322)</f>
        <v>Wattsburg Area School District</v>
      </c>
      <c r="C327" s="244">
        <f>IF('HCC Data Entry'!C322="","",'HCC Data Entry'!C322)</f>
        <v>13612122</v>
      </c>
      <c r="D327" s="244" t="str">
        <f>IF('HCC Data Entry'!D322="","",'HCC Data Entry'!D322)</f>
        <v>Active</v>
      </c>
      <c r="E327" s="244" t="str">
        <f>IF('HCC Data Entry'!E322="","",'HCC Data Entry'!E322)</f>
        <v>Self</v>
      </c>
      <c r="F327" s="246">
        <f>IF('HCC Data Entry'!F322="","",'HCC Data Entry'!F322)</f>
        <v>53856.49</v>
      </c>
      <c r="G327" s="246">
        <f>IFERROR(INDEX('HCC Data Entry'!$J$4:$J$22, MATCH('HCC Detail'!$B327,'HCC Data Entry'!$I$4:$I$22,0)),"")</f>
        <v>68000</v>
      </c>
      <c r="H327" s="246">
        <f t="shared" si="15"/>
        <v>0</v>
      </c>
      <c r="I327" s="247">
        <f t="shared" si="16"/>
        <v>0</v>
      </c>
      <c r="J327" s="246">
        <f t="shared" si="17"/>
        <v>0</v>
      </c>
    </row>
    <row r="328" spans="2:10" ht="18.5" x14ac:dyDescent="0.45">
      <c r="B328" s="244" t="str">
        <f>IF('HCC Data Entry'!B323="","",'HCC Data Entry'!B323)</f>
        <v>Wattsburg Area School District</v>
      </c>
      <c r="C328" s="244">
        <f>IF('HCC Data Entry'!C323="","",'HCC Data Entry'!C323)</f>
        <v>13614488</v>
      </c>
      <c r="D328" s="244" t="str">
        <f>IF('HCC Data Entry'!D323="","",'HCC Data Entry'!D323)</f>
        <v>Active</v>
      </c>
      <c r="E328" s="244" t="str">
        <f>IF('HCC Data Entry'!E323="","",'HCC Data Entry'!E323)</f>
        <v>Self</v>
      </c>
      <c r="F328" s="246">
        <f>IF('HCC Data Entry'!F323="","",'HCC Data Entry'!F323)</f>
        <v>48939.31</v>
      </c>
      <c r="G328" s="246">
        <f>IFERROR(INDEX('HCC Data Entry'!$J$4:$J$22, MATCH('HCC Detail'!$B328,'HCC Data Entry'!$I$4:$I$22,0)),"")</f>
        <v>68000</v>
      </c>
      <c r="H328" s="246">
        <f t="shared" si="15"/>
        <v>0</v>
      </c>
      <c r="I328" s="247">
        <f t="shared" si="16"/>
        <v>0</v>
      </c>
      <c r="J328" s="246">
        <f t="shared" si="17"/>
        <v>0</v>
      </c>
    </row>
    <row r="329" spans="2:10" ht="18.5" x14ac:dyDescent="0.45">
      <c r="B329" s="244" t="str">
        <f>IF('HCC Data Entry'!B324="","",'HCC Data Entry'!B324)</f>
        <v>Wattsburg Area School District</v>
      </c>
      <c r="C329" s="244">
        <f>IF('HCC Data Entry'!C324="","",'HCC Data Entry'!C324)</f>
        <v>13620034</v>
      </c>
      <c r="D329" s="244" t="str">
        <f>IF('HCC Data Entry'!D324="","",'HCC Data Entry'!D324)</f>
        <v>Active</v>
      </c>
      <c r="E329" s="244" t="str">
        <f>IF('HCC Data Entry'!E324="","",'HCC Data Entry'!E324)</f>
        <v>Self</v>
      </c>
      <c r="F329" s="246">
        <f>IF('HCC Data Entry'!F324="","",'HCC Data Entry'!F324)</f>
        <v>45369.79</v>
      </c>
      <c r="G329" s="246">
        <f>IFERROR(INDEX('HCC Data Entry'!$J$4:$J$22, MATCH('HCC Detail'!$B329,'HCC Data Entry'!$I$4:$I$22,0)),"")</f>
        <v>68000</v>
      </c>
      <c r="H329" s="246">
        <f t="shared" ref="H329:H392" si="18">IF(B329="","",IF(G329="Unknown", "", IF(F329&gt;G329,F329-G329,0)))</f>
        <v>0</v>
      </c>
      <c r="I329" s="247">
        <f t="shared" ref="I329:I392" si="19">IF(H329="","",IF(H329=0,0, IF(F329&gt;$O$4,($O$4-G329),H329)))</f>
        <v>0</v>
      </c>
      <c r="J329" s="246">
        <f t="shared" ref="J329:J392" si="20">IF(I329="","",IF(I329=0,0,IF(F329&gt;$O$4,F329-$O$4,0)))</f>
        <v>0</v>
      </c>
    </row>
    <row r="330" spans="2:10" ht="18.5" x14ac:dyDescent="0.45">
      <c r="B330" s="244" t="str">
        <f>IF('HCC Data Entry'!B325="","",'HCC Data Entry'!B325)</f>
        <v>Wattsburg Area School District</v>
      </c>
      <c r="C330" s="244">
        <f>IF('HCC Data Entry'!C325="","",'HCC Data Entry'!C325)</f>
        <v>13618776</v>
      </c>
      <c r="D330" s="244" t="str">
        <f>IF('HCC Data Entry'!D325="","",'HCC Data Entry'!D325)</f>
        <v>Retiree</v>
      </c>
      <c r="E330" s="244" t="str">
        <f>IF('HCC Data Entry'!E325="","",'HCC Data Entry'!E325)</f>
        <v>Spouse</v>
      </c>
      <c r="F330" s="246">
        <f>IF('HCC Data Entry'!F325="","",'HCC Data Entry'!F325)</f>
        <v>44226.3</v>
      </c>
      <c r="G330" s="246">
        <f>IFERROR(INDEX('HCC Data Entry'!$J$4:$J$22, MATCH('HCC Detail'!$B330,'HCC Data Entry'!$I$4:$I$22,0)),"")</f>
        <v>68000</v>
      </c>
      <c r="H330" s="246">
        <f t="shared" si="18"/>
        <v>0</v>
      </c>
      <c r="I330" s="247">
        <f t="shared" si="19"/>
        <v>0</v>
      </c>
      <c r="J330" s="246">
        <f t="shared" si="20"/>
        <v>0</v>
      </c>
    </row>
    <row r="331" spans="2:10" ht="18.5" x14ac:dyDescent="0.45">
      <c r="B331" s="244" t="str">
        <f>IF('HCC Data Entry'!B326="","",'HCC Data Entry'!B326)</f>
        <v>Wattsburg Area School District</v>
      </c>
      <c r="C331" s="244">
        <f>IF('HCC Data Entry'!C326="","",'HCC Data Entry'!C326)</f>
        <v>13623278</v>
      </c>
      <c r="D331" s="244" t="str">
        <f>IF('HCC Data Entry'!D326="","",'HCC Data Entry'!D326)</f>
        <v>Active</v>
      </c>
      <c r="E331" s="244" t="str">
        <f>IF('HCC Data Entry'!E326="","",'HCC Data Entry'!E326)</f>
        <v>Child</v>
      </c>
      <c r="F331" s="246">
        <f>IF('HCC Data Entry'!F326="","",'HCC Data Entry'!F326)</f>
        <v>43666.2</v>
      </c>
      <c r="G331" s="246">
        <f>IFERROR(INDEX('HCC Data Entry'!$J$4:$J$22, MATCH('HCC Detail'!$B331,'HCC Data Entry'!$I$4:$I$22,0)),"")</f>
        <v>68000</v>
      </c>
      <c r="H331" s="246">
        <f t="shared" si="18"/>
        <v>0</v>
      </c>
      <c r="I331" s="247">
        <f t="shared" si="19"/>
        <v>0</v>
      </c>
      <c r="J331" s="246">
        <f t="shared" si="20"/>
        <v>0</v>
      </c>
    </row>
    <row r="332" spans="2:10" ht="18.5" x14ac:dyDescent="0.45">
      <c r="B332" s="244" t="str">
        <f>IF('HCC Data Entry'!B327="","",'HCC Data Entry'!B327)</f>
        <v>Wattsburg Area School District</v>
      </c>
      <c r="C332" s="244">
        <f>IF('HCC Data Entry'!C327="","",'HCC Data Entry'!C327)</f>
        <v>26331954</v>
      </c>
      <c r="D332" s="244" t="str">
        <f>IF('HCC Data Entry'!D327="","",'HCC Data Entry'!D327)</f>
        <v>Active</v>
      </c>
      <c r="E332" s="244" t="str">
        <f>IF('HCC Data Entry'!E327="","",'HCC Data Entry'!E327)</f>
        <v>Child</v>
      </c>
      <c r="F332" s="246">
        <f>IF('HCC Data Entry'!F327="","",'HCC Data Entry'!F327)</f>
        <v>42310.37</v>
      </c>
      <c r="G332" s="246">
        <f>IFERROR(INDEX('HCC Data Entry'!$J$4:$J$22, MATCH('HCC Detail'!$B332,'HCC Data Entry'!$I$4:$I$22,0)),"")</f>
        <v>68000</v>
      </c>
      <c r="H332" s="246">
        <f t="shared" si="18"/>
        <v>0</v>
      </c>
      <c r="I332" s="247">
        <f t="shared" si="19"/>
        <v>0</v>
      </c>
      <c r="J332" s="246">
        <f t="shared" si="20"/>
        <v>0</v>
      </c>
    </row>
    <row r="333" spans="2:10" ht="18.5" x14ac:dyDescent="0.45">
      <c r="B333" s="244" t="str">
        <f>IF('HCC Data Entry'!B328="","",'HCC Data Entry'!B328)</f>
        <v>Wattsburg Area School District</v>
      </c>
      <c r="C333" s="244">
        <f>IF('HCC Data Entry'!C328="","",'HCC Data Entry'!C328)</f>
        <v>13610925</v>
      </c>
      <c r="D333" s="244" t="str">
        <f>IF('HCC Data Entry'!D328="","",'HCC Data Entry'!D328)</f>
        <v>Active</v>
      </c>
      <c r="E333" s="244" t="str">
        <f>IF('HCC Data Entry'!E328="","",'HCC Data Entry'!E328)</f>
        <v>Self</v>
      </c>
      <c r="F333" s="246">
        <f>IF('HCC Data Entry'!F328="","",'HCC Data Entry'!F328)</f>
        <v>40742.04</v>
      </c>
      <c r="G333" s="246">
        <f>IFERROR(INDEX('HCC Data Entry'!$J$4:$J$22, MATCH('HCC Detail'!$B333,'HCC Data Entry'!$I$4:$I$22,0)),"")</f>
        <v>68000</v>
      </c>
      <c r="H333" s="246">
        <f t="shared" si="18"/>
        <v>0</v>
      </c>
      <c r="I333" s="247">
        <f t="shared" si="19"/>
        <v>0</v>
      </c>
      <c r="J333" s="246">
        <f t="shared" si="20"/>
        <v>0</v>
      </c>
    </row>
    <row r="334" spans="2:10" ht="18.5" x14ac:dyDescent="0.45">
      <c r="B334" s="244" t="str">
        <f>IF('HCC Data Entry'!B329="","",'HCC Data Entry'!B329)</f>
        <v>Wattsburg Area School District</v>
      </c>
      <c r="C334" s="244">
        <f>IF('HCC Data Entry'!C329="","",'HCC Data Entry'!C329)</f>
        <v>26587422</v>
      </c>
      <c r="D334" s="244" t="str">
        <f>IF('HCC Data Entry'!D329="","",'HCC Data Entry'!D329)</f>
        <v>Active</v>
      </c>
      <c r="E334" s="244" t="str">
        <f>IF('HCC Data Entry'!E329="","",'HCC Data Entry'!E329)</f>
        <v>Self</v>
      </c>
      <c r="F334" s="246">
        <f>IF('HCC Data Entry'!F329="","",'HCC Data Entry'!F329)</f>
        <v>40706.42</v>
      </c>
      <c r="G334" s="246">
        <f>IFERROR(INDEX('HCC Data Entry'!$J$4:$J$22, MATCH('HCC Detail'!$B334,'HCC Data Entry'!$I$4:$I$22,0)),"")</f>
        <v>68000</v>
      </c>
      <c r="H334" s="246">
        <f t="shared" si="18"/>
        <v>0</v>
      </c>
      <c r="I334" s="247">
        <f t="shared" si="19"/>
        <v>0</v>
      </c>
      <c r="J334" s="246">
        <f t="shared" si="20"/>
        <v>0</v>
      </c>
    </row>
    <row r="335" spans="2:10" ht="18.5" x14ac:dyDescent="0.45">
      <c r="B335" s="244" t="str">
        <f>IF('HCC Data Entry'!B330="","",'HCC Data Entry'!B330)</f>
        <v>Wattsburg Area School District</v>
      </c>
      <c r="C335" s="244">
        <f>IF('HCC Data Entry'!C330="","",'HCC Data Entry'!C330)</f>
        <v>28919470</v>
      </c>
      <c r="D335" s="244" t="str">
        <f>IF('HCC Data Entry'!D330="","",'HCC Data Entry'!D330)</f>
        <v>Active</v>
      </c>
      <c r="E335" s="244" t="str">
        <f>IF('HCC Data Entry'!E330="","",'HCC Data Entry'!E330)</f>
        <v>Child</v>
      </c>
      <c r="F335" s="246">
        <f>IF('HCC Data Entry'!F330="","",'HCC Data Entry'!F330)</f>
        <v>34218.269999999997</v>
      </c>
      <c r="G335" s="246">
        <f>IFERROR(INDEX('HCC Data Entry'!$J$4:$J$22, MATCH('HCC Detail'!$B335,'HCC Data Entry'!$I$4:$I$22,0)),"")</f>
        <v>68000</v>
      </c>
      <c r="H335" s="246">
        <f t="shared" si="18"/>
        <v>0</v>
      </c>
      <c r="I335" s="247">
        <f t="shared" si="19"/>
        <v>0</v>
      </c>
      <c r="J335" s="246">
        <f t="shared" si="20"/>
        <v>0</v>
      </c>
    </row>
    <row r="336" spans="2:10" ht="18.5" x14ac:dyDescent="0.45">
      <c r="B336" s="244" t="str">
        <f>IF('HCC Data Entry'!B331="","",'HCC Data Entry'!B331)</f>
        <v>Wattsburg Area School District</v>
      </c>
      <c r="C336" s="244">
        <f>IF('HCC Data Entry'!C331="","",'HCC Data Entry'!C331)</f>
        <v>21868176</v>
      </c>
      <c r="D336" s="244" t="str">
        <f>IF('HCC Data Entry'!D331="","",'HCC Data Entry'!D331)</f>
        <v>Active</v>
      </c>
      <c r="E336" s="244" t="str">
        <f>IF('HCC Data Entry'!E331="","",'HCC Data Entry'!E331)</f>
        <v>Self</v>
      </c>
      <c r="F336" s="246">
        <f>IF('HCC Data Entry'!F331="","",'HCC Data Entry'!F331)</f>
        <v>32683.88</v>
      </c>
      <c r="G336" s="246">
        <f>IFERROR(INDEX('HCC Data Entry'!$J$4:$J$22, MATCH('HCC Detail'!$B336,'HCC Data Entry'!$I$4:$I$22,0)),"")</f>
        <v>68000</v>
      </c>
      <c r="H336" s="246">
        <f t="shared" si="18"/>
        <v>0</v>
      </c>
      <c r="I336" s="247">
        <f t="shared" si="19"/>
        <v>0</v>
      </c>
      <c r="J336" s="246">
        <f t="shared" si="20"/>
        <v>0</v>
      </c>
    </row>
    <row r="337" spans="2:10" ht="18.5" x14ac:dyDescent="0.45">
      <c r="B337" s="244" t="str">
        <f>IF('HCC Data Entry'!B332="","",'HCC Data Entry'!B332)</f>
        <v>Wattsburg Area School District</v>
      </c>
      <c r="C337" s="244">
        <f>IF('HCC Data Entry'!C332="","",'HCC Data Entry'!C332)</f>
        <v>13628064</v>
      </c>
      <c r="D337" s="244" t="str">
        <f>IF('HCC Data Entry'!D332="","",'HCC Data Entry'!D332)</f>
        <v>Active</v>
      </c>
      <c r="E337" s="244" t="str">
        <f>IF('HCC Data Entry'!E332="","",'HCC Data Entry'!E332)</f>
        <v>Self</v>
      </c>
      <c r="F337" s="246">
        <f>IF('HCC Data Entry'!F332="","",'HCC Data Entry'!F332)</f>
        <v>29895.439999999999</v>
      </c>
      <c r="G337" s="246">
        <f>IFERROR(INDEX('HCC Data Entry'!$J$4:$J$22, MATCH('HCC Detail'!$B337,'HCC Data Entry'!$I$4:$I$22,0)),"")</f>
        <v>68000</v>
      </c>
      <c r="H337" s="246">
        <f t="shared" si="18"/>
        <v>0</v>
      </c>
      <c r="I337" s="247">
        <f t="shared" si="19"/>
        <v>0</v>
      </c>
      <c r="J337" s="246">
        <f t="shared" si="20"/>
        <v>0</v>
      </c>
    </row>
    <row r="338" spans="2:10" ht="18.5" x14ac:dyDescent="0.45">
      <c r="B338" s="244" t="str">
        <f>IF('HCC Data Entry'!B333="","",'HCC Data Entry'!B333)</f>
        <v>Wattsburg Area School District</v>
      </c>
      <c r="C338" s="244">
        <f>IF('HCC Data Entry'!C333="","",'HCC Data Entry'!C333)</f>
        <v>14153703</v>
      </c>
      <c r="D338" s="244" t="str">
        <f>IF('HCC Data Entry'!D333="","",'HCC Data Entry'!D333)</f>
        <v>Active</v>
      </c>
      <c r="E338" s="244" t="str">
        <f>IF('HCC Data Entry'!E333="","",'HCC Data Entry'!E333)</f>
        <v>Self</v>
      </c>
      <c r="F338" s="246">
        <f>IF('HCC Data Entry'!F333="","",'HCC Data Entry'!F333)</f>
        <v>27062.25</v>
      </c>
      <c r="G338" s="246">
        <f>IFERROR(INDEX('HCC Data Entry'!$J$4:$J$22, MATCH('HCC Detail'!$B338,'HCC Data Entry'!$I$4:$I$22,0)),"")</f>
        <v>68000</v>
      </c>
      <c r="H338" s="246">
        <f t="shared" si="18"/>
        <v>0</v>
      </c>
      <c r="I338" s="247">
        <f t="shared" si="19"/>
        <v>0</v>
      </c>
      <c r="J338" s="246">
        <f t="shared" si="20"/>
        <v>0</v>
      </c>
    </row>
    <row r="339" spans="2:10" ht="18.5" x14ac:dyDescent="0.45">
      <c r="B339" s="244" t="str">
        <f>IF('HCC Data Entry'!B334="","",'HCC Data Entry'!B334)</f>
        <v>Wattsburg Area School District</v>
      </c>
      <c r="C339" s="244">
        <f>IF('HCC Data Entry'!C334="","",'HCC Data Entry'!C334)</f>
        <v>13615583</v>
      </c>
      <c r="D339" s="244" t="str">
        <f>IF('HCC Data Entry'!D334="","",'HCC Data Entry'!D334)</f>
        <v>Retiree</v>
      </c>
      <c r="E339" s="244" t="str">
        <f>IF('HCC Data Entry'!E334="","",'HCC Data Entry'!E334)</f>
        <v>Child</v>
      </c>
      <c r="F339" s="246">
        <f>IF('HCC Data Entry'!F334="","",'HCC Data Entry'!F334)</f>
        <v>26478.18</v>
      </c>
      <c r="G339" s="246">
        <f>IFERROR(INDEX('HCC Data Entry'!$J$4:$J$22, MATCH('HCC Detail'!$B339,'HCC Data Entry'!$I$4:$I$22,0)),"")</f>
        <v>68000</v>
      </c>
      <c r="H339" s="246">
        <f t="shared" si="18"/>
        <v>0</v>
      </c>
      <c r="I339" s="247">
        <f t="shared" si="19"/>
        <v>0</v>
      </c>
      <c r="J339" s="246">
        <f t="shared" si="20"/>
        <v>0</v>
      </c>
    </row>
    <row r="340" spans="2:10" ht="18.5" x14ac:dyDescent="0.45">
      <c r="B340" s="244" t="str">
        <f>IF('HCC Data Entry'!B335="","",'HCC Data Entry'!B335)</f>
        <v/>
      </c>
      <c r="C340" s="244" t="str">
        <f>IF('HCC Data Entry'!C335="","",'HCC Data Entry'!C335)</f>
        <v/>
      </c>
      <c r="D340" s="244" t="str">
        <f>IF('HCC Data Entry'!D335="","",'HCC Data Entry'!D335)</f>
        <v/>
      </c>
      <c r="E340" s="244" t="str">
        <f>IF('HCC Data Entry'!E335="","",'HCC Data Entry'!E335)</f>
        <v/>
      </c>
      <c r="F340" s="246" t="str">
        <f>IF('HCC Data Entry'!F335="","",'HCC Data Entry'!F335)</f>
        <v/>
      </c>
      <c r="G340" s="246" t="str">
        <f>IFERROR(INDEX('HCC Data Entry'!$J$4:$J$22, MATCH('HCC Detail'!$B340,'HCC Data Entry'!$I$4:$I$22,0)),"")</f>
        <v/>
      </c>
      <c r="H340" s="246" t="str">
        <f t="shared" si="18"/>
        <v/>
      </c>
      <c r="I340" s="247" t="str">
        <f t="shared" si="19"/>
        <v/>
      </c>
      <c r="J340" s="246" t="str">
        <f t="shared" si="20"/>
        <v/>
      </c>
    </row>
    <row r="341" spans="2:10" ht="18.5" x14ac:dyDescent="0.45">
      <c r="B341" s="244" t="str">
        <f>IF('HCC Data Entry'!B336="","",'HCC Data Entry'!B336)</f>
        <v/>
      </c>
      <c r="C341" s="244" t="str">
        <f>IF('HCC Data Entry'!C336="","",'HCC Data Entry'!C336)</f>
        <v/>
      </c>
      <c r="D341" s="244" t="str">
        <f>IF('HCC Data Entry'!D336="","",'HCC Data Entry'!D336)</f>
        <v/>
      </c>
      <c r="E341" s="244" t="str">
        <f>IF('HCC Data Entry'!E336="","",'HCC Data Entry'!E336)</f>
        <v/>
      </c>
      <c r="F341" s="246" t="str">
        <f>IF('HCC Data Entry'!F336="","",'HCC Data Entry'!F336)</f>
        <v/>
      </c>
      <c r="G341" s="246" t="str">
        <f>IFERROR(INDEX('HCC Data Entry'!$J$4:$J$22, MATCH('HCC Detail'!$B341,'HCC Data Entry'!$I$4:$I$22,0)),"")</f>
        <v/>
      </c>
      <c r="H341" s="246" t="str">
        <f t="shared" si="18"/>
        <v/>
      </c>
      <c r="I341" s="247" t="str">
        <f t="shared" si="19"/>
        <v/>
      </c>
      <c r="J341" s="246" t="str">
        <f t="shared" si="20"/>
        <v/>
      </c>
    </row>
    <row r="342" spans="2:10" ht="18.5" x14ac:dyDescent="0.45">
      <c r="B342" s="244" t="str">
        <f>IF('HCC Data Entry'!B337="","",'HCC Data Entry'!B337)</f>
        <v/>
      </c>
      <c r="C342" s="244" t="str">
        <f>IF('HCC Data Entry'!C337="","",'HCC Data Entry'!C337)</f>
        <v/>
      </c>
      <c r="D342" s="244" t="str">
        <f>IF('HCC Data Entry'!D337="","",'HCC Data Entry'!D337)</f>
        <v/>
      </c>
      <c r="E342" s="244" t="str">
        <f>IF('HCC Data Entry'!E337="","",'HCC Data Entry'!E337)</f>
        <v/>
      </c>
      <c r="F342" s="246" t="str">
        <f>IF('HCC Data Entry'!F337="","",'HCC Data Entry'!F337)</f>
        <v/>
      </c>
      <c r="G342" s="246" t="str">
        <f>IFERROR(INDEX('HCC Data Entry'!$J$4:$J$22, MATCH('HCC Detail'!$B342,'HCC Data Entry'!$I$4:$I$22,0)),"")</f>
        <v/>
      </c>
      <c r="H342" s="246" t="str">
        <f t="shared" si="18"/>
        <v/>
      </c>
      <c r="I342" s="247" t="str">
        <f t="shared" si="19"/>
        <v/>
      </c>
      <c r="J342" s="246" t="str">
        <f t="shared" si="20"/>
        <v/>
      </c>
    </row>
    <row r="343" spans="2:10" ht="18.5" x14ac:dyDescent="0.45">
      <c r="B343" s="244" t="str">
        <f>IF('HCC Data Entry'!B338="","",'HCC Data Entry'!B338)</f>
        <v/>
      </c>
      <c r="C343" s="244" t="str">
        <f>IF('HCC Data Entry'!C338="","",'HCC Data Entry'!C338)</f>
        <v/>
      </c>
      <c r="D343" s="244" t="str">
        <f>IF('HCC Data Entry'!D338="","",'HCC Data Entry'!D338)</f>
        <v/>
      </c>
      <c r="E343" s="244" t="str">
        <f>IF('HCC Data Entry'!E338="","",'HCC Data Entry'!E338)</f>
        <v/>
      </c>
      <c r="F343" s="246" t="str">
        <f>IF('HCC Data Entry'!F338="","",'HCC Data Entry'!F338)</f>
        <v/>
      </c>
      <c r="G343" s="246" t="str">
        <f>IFERROR(INDEX('HCC Data Entry'!$J$4:$J$22, MATCH('HCC Detail'!$B343,'HCC Data Entry'!$I$4:$I$22,0)),"")</f>
        <v/>
      </c>
      <c r="H343" s="246" t="str">
        <f t="shared" si="18"/>
        <v/>
      </c>
      <c r="I343" s="247" t="str">
        <f t="shared" si="19"/>
        <v/>
      </c>
      <c r="J343" s="246" t="str">
        <f t="shared" si="20"/>
        <v/>
      </c>
    </row>
    <row r="344" spans="2:10" ht="18.5" x14ac:dyDescent="0.45">
      <c r="B344" s="244" t="str">
        <f>IF('HCC Data Entry'!B339="","",'HCC Data Entry'!B339)</f>
        <v/>
      </c>
      <c r="C344" s="244" t="str">
        <f>IF('HCC Data Entry'!C339="","",'HCC Data Entry'!C339)</f>
        <v/>
      </c>
      <c r="D344" s="244" t="str">
        <f>IF('HCC Data Entry'!D339="","",'HCC Data Entry'!D339)</f>
        <v/>
      </c>
      <c r="E344" s="244" t="str">
        <f>IF('HCC Data Entry'!E339="","",'HCC Data Entry'!E339)</f>
        <v/>
      </c>
      <c r="F344" s="246" t="str">
        <f>IF('HCC Data Entry'!F339="","",'HCC Data Entry'!F339)</f>
        <v/>
      </c>
      <c r="G344" s="246" t="str">
        <f>IFERROR(INDEX('HCC Data Entry'!$J$4:$J$22, MATCH('HCC Detail'!$B344,'HCC Data Entry'!$I$4:$I$22,0)),"")</f>
        <v/>
      </c>
      <c r="H344" s="246" t="str">
        <f t="shared" si="18"/>
        <v/>
      </c>
      <c r="I344" s="247" t="str">
        <f t="shared" si="19"/>
        <v/>
      </c>
      <c r="J344" s="246" t="str">
        <f t="shared" si="20"/>
        <v/>
      </c>
    </row>
    <row r="345" spans="2:10" ht="18.5" x14ac:dyDescent="0.45">
      <c r="B345" s="244" t="str">
        <f>IF('HCC Data Entry'!B340="","",'HCC Data Entry'!B340)</f>
        <v/>
      </c>
      <c r="C345" s="244" t="str">
        <f>IF('HCC Data Entry'!C340="","",'HCC Data Entry'!C340)</f>
        <v/>
      </c>
      <c r="D345" s="244" t="str">
        <f>IF('HCC Data Entry'!D340="","",'HCC Data Entry'!D340)</f>
        <v/>
      </c>
      <c r="E345" s="244" t="str">
        <f>IF('HCC Data Entry'!E340="","",'HCC Data Entry'!E340)</f>
        <v/>
      </c>
      <c r="F345" s="246" t="str">
        <f>IF('HCC Data Entry'!F340="","",'HCC Data Entry'!F340)</f>
        <v/>
      </c>
      <c r="G345" s="246" t="str">
        <f>IFERROR(INDEX('HCC Data Entry'!$J$4:$J$22, MATCH('HCC Detail'!$B345,'HCC Data Entry'!$I$4:$I$22,0)),"")</f>
        <v/>
      </c>
      <c r="H345" s="246" t="str">
        <f t="shared" si="18"/>
        <v/>
      </c>
      <c r="I345" s="247" t="str">
        <f t="shared" si="19"/>
        <v/>
      </c>
      <c r="J345" s="246" t="str">
        <f t="shared" si="20"/>
        <v/>
      </c>
    </row>
    <row r="346" spans="2:10" ht="18.5" x14ac:dyDescent="0.45">
      <c r="B346" s="244" t="str">
        <f>IF('HCC Data Entry'!B341="","",'HCC Data Entry'!B341)</f>
        <v/>
      </c>
      <c r="C346" s="244" t="str">
        <f>IF('HCC Data Entry'!C341="","",'HCC Data Entry'!C341)</f>
        <v/>
      </c>
      <c r="D346" s="244" t="str">
        <f>IF('HCC Data Entry'!D341="","",'HCC Data Entry'!D341)</f>
        <v/>
      </c>
      <c r="E346" s="244" t="str">
        <f>IF('HCC Data Entry'!E341="","",'HCC Data Entry'!E341)</f>
        <v/>
      </c>
      <c r="F346" s="246" t="str">
        <f>IF('HCC Data Entry'!F341="","",'HCC Data Entry'!F341)</f>
        <v/>
      </c>
      <c r="G346" s="246" t="str">
        <f>IFERROR(INDEX('HCC Data Entry'!$J$4:$J$22, MATCH('HCC Detail'!$B346,'HCC Data Entry'!$I$4:$I$22,0)),"")</f>
        <v/>
      </c>
      <c r="H346" s="246" t="str">
        <f t="shared" si="18"/>
        <v/>
      </c>
      <c r="I346" s="247" t="str">
        <f t="shared" si="19"/>
        <v/>
      </c>
      <c r="J346" s="246" t="str">
        <f t="shared" si="20"/>
        <v/>
      </c>
    </row>
    <row r="347" spans="2:10" ht="18.5" x14ac:dyDescent="0.45">
      <c r="B347" s="244" t="str">
        <f>IF('HCC Data Entry'!B342="","",'HCC Data Entry'!B342)</f>
        <v/>
      </c>
      <c r="C347" s="244" t="str">
        <f>IF('HCC Data Entry'!C342="","",'HCC Data Entry'!C342)</f>
        <v/>
      </c>
      <c r="D347" s="244" t="str">
        <f>IF('HCC Data Entry'!D342="","",'HCC Data Entry'!D342)</f>
        <v/>
      </c>
      <c r="E347" s="244" t="str">
        <f>IF('HCC Data Entry'!E342="","",'HCC Data Entry'!E342)</f>
        <v/>
      </c>
      <c r="F347" s="246" t="str">
        <f>IF('HCC Data Entry'!F342="","",'HCC Data Entry'!F342)</f>
        <v/>
      </c>
      <c r="G347" s="246" t="str">
        <f>IFERROR(INDEX('HCC Data Entry'!$J$4:$J$22, MATCH('HCC Detail'!$B347,'HCC Data Entry'!$I$4:$I$22,0)),"")</f>
        <v/>
      </c>
      <c r="H347" s="246" t="str">
        <f t="shared" si="18"/>
        <v/>
      </c>
      <c r="I347" s="247" t="str">
        <f t="shared" si="19"/>
        <v/>
      </c>
      <c r="J347" s="246" t="str">
        <f t="shared" si="20"/>
        <v/>
      </c>
    </row>
    <row r="348" spans="2:10" ht="18.5" x14ac:dyDescent="0.45">
      <c r="B348" s="244" t="str">
        <f>IF('HCC Data Entry'!B343="","",'HCC Data Entry'!B343)</f>
        <v/>
      </c>
      <c r="C348" s="244" t="str">
        <f>IF('HCC Data Entry'!C343="","",'HCC Data Entry'!C343)</f>
        <v/>
      </c>
      <c r="D348" s="244" t="str">
        <f>IF('HCC Data Entry'!D343="","",'HCC Data Entry'!D343)</f>
        <v/>
      </c>
      <c r="E348" s="244" t="str">
        <f>IF('HCC Data Entry'!E343="","",'HCC Data Entry'!E343)</f>
        <v/>
      </c>
      <c r="F348" s="246" t="str">
        <f>IF('HCC Data Entry'!F343="","",'HCC Data Entry'!F343)</f>
        <v/>
      </c>
      <c r="G348" s="246" t="str">
        <f>IFERROR(INDEX('HCC Data Entry'!$J$4:$J$22, MATCH('HCC Detail'!$B348,'HCC Data Entry'!$I$4:$I$22,0)),"")</f>
        <v/>
      </c>
      <c r="H348" s="246" t="str">
        <f t="shared" si="18"/>
        <v/>
      </c>
      <c r="I348" s="247" t="str">
        <f t="shared" si="19"/>
        <v/>
      </c>
      <c r="J348" s="246" t="str">
        <f t="shared" si="20"/>
        <v/>
      </c>
    </row>
    <row r="349" spans="2:10" ht="18.5" x14ac:dyDescent="0.45">
      <c r="B349" s="244" t="str">
        <f>IF('HCC Data Entry'!B344="","",'HCC Data Entry'!B344)</f>
        <v/>
      </c>
      <c r="C349" s="244" t="str">
        <f>IF('HCC Data Entry'!C344="","",'HCC Data Entry'!C344)</f>
        <v/>
      </c>
      <c r="D349" s="244" t="str">
        <f>IF('HCC Data Entry'!D344="","",'HCC Data Entry'!D344)</f>
        <v/>
      </c>
      <c r="E349" s="244" t="str">
        <f>IF('HCC Data Entry'!E344="","",'HCC Data Entry'!E344)</f>
        <v/>
      </c>
      <c r="F349" s="246" t="str">
        <f>IF('HCC Data Entry'!F344="","",'HCC Data Entry'!F344)</f>
        <v/>
      </c>
      <c r="G349" s="246" t="str">
        <f>IFERROR(INDEX('HCC Data Entry'!$J$4:$J$22, MATCH('HCC Detail'!$B349,'HCC Data Entry'!$I$4:$I$22,0)),"")</f>
        <v/>
      </c>
      <c r="H349" s="246" t="str">
        <f t="shared" si="18"/>
        <v/>
      </c>
      <c r="I349" s="247" t="str">
        <f t="shared" si="19"/>
        <v/>
      </c>
      <c r="J349" s="246" t="str">
        <f t="shared" si="20"/>
        <v/>
      </c>
    </row>
    <row r="350" spans="2:10" ht="18.5" x14ac:dyDescent="0.45">
      <c r="B350" s="244" t="str">
        <f>IF('HCC Data Entry'!B345="","",'HCC Data Entry'!B345)</f>
        <v/>
      </c>
      <c r="C350" s="244" t="str">
        <f>IF('HCC Data Entry'!C345="","",'HCC Data Entry'!C345)</f>
        <v/>
      </c>
      <c r="D350" s="244" t="str">
        <f>IF('HCC Data Entry'!D345="","",'HCC Data Entry'!D345)</f>
        <v/>
      </c>
      <c r="E350" s="244" t="str">
        <f>IF('HCC Data Entry'!E345="","",'HCC Data Entry'!E345)</f>
        <v/>
      </c>
      <c r="F350" s="246" t="str">
        <f>IF('HCC Data Entry'!F345="","",'HCC Data Entry'!F345)</f>
        <v/>
      </c>
      <c r="G350" s="246" t="str">
        <f>IFERROR(INDEX('HCC Data Entry'!$J$4:$J$22, MATCH('HCC Detail'!$B350,'HCC Data Entry'!$I$4:$I$22,0)),"")</f>
        <v/>
      </c>
      <c r="H350" s="246" t="str">
        <f t="shared" si="18"/>
        <v/>
      </c>
      <c r="I350" s="247" t="str">
        <f t="shared" si="19"/>
        <v/>
      </c>
      <c r="J350" s="246" t="str">
        <f t="shared" si="20"/>
        <v/>
      </c>
    </row>
    <row r="351" spans="2:10" ht="18.5" x14ac:dyDescent="0.45">
      <c r="B351" s="244" t="str">
        <f>IF('HCC Data Entry'!B346="","",'HCC Data Entry'!B346)</f>
        <v/>
      </c>
      <c r="C351" s="244" t="str">
        <f>IF('HCC Data Entry'!C346="","",'HCC Data Entry'!C346)</f>
        <v/>
      </c>
      <c r="D351" s="244" t="str">
        <f>IF('HCC Data Entry'!D346="","",'HCC Data Entry'!D346)</f>
        <v/>
      </c>
      <c r="E351" s="244" t="str">
        <f>IF('HCC Data Entry'!E346="","",'HCC Data Entry'!E346)</f>
        <v/>
      </c>
      <c r="F351" s="246" t="str">
        <f>IF('HCC Data Entry'!F346="","",'HCC Data Entry'!F346)</f>
        <v/>
      </c>
      <c r="G351" s="246" t="str">
        <f>IFERROR(INDEX('HCC Data Entry'!$J$4:$J$22, MATCH('HCC Detail'!$B351,'HCC Data Entry'!$I$4:$I$22,0)),"")</f>
        <v/>
      </c>
      <c r="H351" s="246" t="str">
        <f t="shared" si="18"/>
        <v/>
      </c>
      <c r="I351" s="247" t="str">
        <f t="shared" si="19"/>
        <v/>
      </c>
      <c r="J351" s="246" t="str">
        <f t="shared" si="20"/>
        <v/>
      </c>
    </row>
    <row r="352" spans="2:10" ht="18.5" x14ac:dyDescent="0.45">
      <c r="B352" s="244" t="str">
        <f>IF('HCC Data Entry'!B347="","",'HCC Data Entry'!B347)</f>
        <v/>
      </c>
      <c r="C352" s="244" t="str">
        <f>IF('HCC Data Entry'!C347="","",'HCC Data Entry'!C347)</f>
        <v/>
      </c>
      <c r="D352" s="244" t="str">
        <f>IF('HCC Data Entry'!D347="","",'HCC Data Entry'!D347)</f>
        <v/>
      </c>
      <c r="E352" s="244" t="str">
        <f>IF('HCC Data Entry'!E347="","",'HCC Data Entry'!E347)</f>
        <v/>
      </c>
      <c r="F352" s="246" t="str">
        <f>IF('HCC Data Entry'!F347="","",'HCC Data Entry'!F347)</f>
        <v/>
      </c>
      <c r="G352" s="246" t="str">
        <f>IFERROR(INDEX('HCC Data Entry'!$J$4:$J$22, MATCH('HCC Detail'!$B352,'HCC Data Entry'!$I$4:$I$22,0)),"")</f>
        <v/>
      </c>
      <c r="H352" s="246" t="str">
        <f t="shared" si="18"/>
        <v/>
      </c>
      <c r="I352" s="247" t="str">
        <f t="shared" si="19"/>
        <v/>
      </c>
      <c r="J352" s="246" t="str">
        <f t="shared" si="20"/>
        <v/>
      </c>
    </row>
    <row r="353" spans="2:10" ht="18.5" x14ac:dyDescent="0.45">
      <c r="B353" s="244" t="str">
        <f>IF('HCC Data Entry'!B348="","",'HCC Data Entry'!B348)</f>
        <v/>
      </c>
      <c r="C353" s="244" t="str">
        <f>IF('HCC Data Entry'!C348="","",'HCC Data Entry'!C348)</f>
        <v/>
      </c>
      <c r="D353" s="244" t="str">
        <f>IF('HCC Data Entry'!D348="","",'HCC Data Entry'!D348)</f>
        <v/>
      </c>
      <c r="E353" s="244" t="str">
        <f>IF('HCC Data Entry'!E348="","",'HCC Data Entry'!E348)</f>
        <v/>
      </c>
      <c r="F353" s="246" t="str">
        <f>IF('HCC Data Entry'!F348="","",'HCC Data Entry'!F348)</f>
        <v/>
      </c>
      <c r="G353" s="246" t="str">
        <f>IFERROR(INDEX('HCC Data Entry'!$J$4:$J$22, MATCH('HCC Detail'!$B353,'HCC Data Entry'!$I$4:$I$22,0)),"")</f>
        <v/>
      </c>
      <c r="H353" s="246" t="str">
        <f t="shared" si="18"/>
        <v/>
      </c>
      <c r="I353" s="247" t="str">
        <f t="shared" si="19"/>
        <v/>
      </c>
      <c r="J353" s="246" t="str">
        <f t="shared" si="20"/>
        <v/>
      </c>
    </row>
    <row r="354" spans="2:10" ht="18.5" x14ac:dyDescent="0.45">
      <c r="B354" s="244" t="str">
        <f>IF('HCC Data Entry'!B349="","",'HCC Data Entry'!B349)</f>
        <v/>
      </c>
      <c r="C354" s="244" t="str">
        <f>IF('HCC Data Entry'!C349="","",'HCC Data Entry'!C349)</f>
        <v/>
      </c>
      <c r="D354" s="244" t="str">
        <f>IF('HCC Data Entry'!D349="","",'HCC Data Entry'!D349)</f>
        <v/>
      </c>
      <c r="E354" s="244" t="str">
        <f>IF('HCC Data Entry'!E349="","",'HCC Data Entry'!E349)</f>
        <v/>
      </c>
      <c r="F354" s="246" t="str">
        <f>IF('HCC Data Entry'!F349="","",'HCC Data Entry'!F349)</f>
        <v/>
      </c>
      <c r="G354" s="246" t="str">
        <f>IFERROR(INDEX('HCC Data Entry'!$J$4:$J$22, MATCH('HCC Detail'!$B354,'HCC Data Entry'!$I$4:$I$22,0)),"")</f>
        <v/>
      </c>
      <c r="H354" s="246" t="str">
        <f t="shared" si="18"/>
        <v/>
      </c>
      <c r="I354" s="247" t="str">
        <f t="shared" si="19"/>
        <v/>
      </c>
      <c r="J354" s="246" t="str">
        <f t="shared" si="20"/>
        <v/>
      </c>
    </row>
    <row r="355" spans="2:10" ht="18.5" x14ac:dyDescent="0.45">
      <c r="B355" s="244" t="str">
        <f>IF('HCC Data Entry'!B350="","",'HCC Data Entry'!B350)</f>
        <v/>
      </c>
      <c r="C355" s="244" t="str">
        <f>IF('HCC Data Entry'!C350="","",'HCC Data Entry'!C350)</f>
        <v/>
      </c>
      <c r="D355" s="244" t="str">
        <f>IF('HCC Data Entry'!D350="","",'HCC Data Entry'!D350)</f>
        <v/>
      </c>
      <c r="E355" s="244" t="str">
        <f>IF('HCC Data Entry'!E350="","",'HCC Data Entry'!E350)</f>
        <v/>
      </c>
      <c r="F355" s="246" t="str">
        <f>IF('HCC Data Entry'!F350="","",'HCC Data Entry'!F350)</f>
        <v/>
      </c>
      <c r="G355" s="246" t="str">
        <f>IFERROR(INDEX('HCC Data Entry'!$J$4:$J$22, MATCH('HCC Detail'!$B355,'HCC Data Entry'!$I$4:$I$22,0)),"")</f>
        <v/>
      </c>
      <c r="H355" s="246" t="str">
        <f t="shared" si="18"/>
        <v/>
      </c>
      <c r="I355" s="247" t="str">
        <f t="shared" si="19"/>
        <v/>
      </c>
      <c r="J355" s="246" t="str">
        <f t="shared" si="20"/>
        <v/>
      </c>
    </row>
    <row r="356" spans="2:10" ht="18.5" x14ac:dyDescent="0.45">
      <c r="B356" s="244" t="str">
        <f>IF('HCC Data Entry'!B351="","",'HCC Data Entry'!B351)</f>
        <v/>
      </c>
      <c r="C356" s="244" t="str">
        <f>IF('HCC Data Entry'!C351="","",'HCC Data Entry'!C351)</f>
        <v/>
      </c>
      <c r="D356" s="244" t="str">
        <f>IF('HCC Data Entry'!D351="","",'HCC Data Entry'!D351)</f>
        <v/>
      </c>
      <c r="E356" s="244" t="str">
        <f>IF('HCC Data Entry'!E351="","",'HCC Data Entry'!E351)</f>
        <v/>
      </c>
      <c r="F356" s="246" t="str">
        <f>IF('HCC Data Entry'!F351="","",'HCC Data Entry'!F351)</f>
        <v/>
      </c>
      <c r="G356" s="246" t="str">
        <f>IFERROR(INDEX('HCC Data Entry'!$J$4:$J$22, MATCH('HCC Detail'!$B356,'HCC Data Entry'!$I$4:$I$22,0)),"")</f>
        <v/>
      </c>
      <c r="H356" s="246" t="str">
        <f t="shared" si="18"/>
        <v/>
      </c>
      <c r="I356" s="247" t="str">
        <f t="shared" si="19"/>
        <v/>
      </c>
      <c r="J356" s="246" t="str">
        <f t="shared" si="20"/>
        <v/>
      </c>
    </row>
    <row r="357" spans="2:10" ht="18.5" x14ac:dyDescent="0.45">
      <c r="B357" s="244" t="str">
        <f>IF('HCC Data Entry'!B352="","",'HCC Data Entry'!B352)</f>
        <v/>
      </c>
      <c r="C357" s="244" t="str">
        <f>IF('HCC Data Entry'!C352="","",'HCC Data Entry'!C352)</f>
        <v/>
      </c>
      <c r="D357" s="244" t="str">
        <f>IF('HCC Data Entry'!D352="","",'HCC Data Entry'!D352)</f>
        <v/>
      </c>
      <c r="E357" s="244" t="str">
        <f>IF('HCC Data Entry'!E352="","",'HCC Data Entry'!E352)</f>
        <v/>
      </c>
      <c r="F357" s="246" t="str">
        <f>IF('HCC Data Entry'!F352="","",'HCC Data Entry'!F352)</f>
        <v/>
      </c>
      <c r="G357" s="246" t="str">
        <f>IFERROR(INDEX('HCC Data Entry'!$J$4:$J$22, MATCH('HCC Detail'!$B357,'HCC Data Entry'!$I$4:$I$22,0)),"")</f>
        <v/>
      </c>
      <c r="H357" s="246" t="str">
        <f t="shared" si="18"/>
        <v/>
      </c>
      <c r="I357" s="247" t="str">
        <f t="shared" si="19"/>
        <v/>
      </c>
      <c r="J357" s="246" t="str">
        <f t="shared" si="20"/>
        <v/>
      </c>
    </row>
    <row r="358" spans="2:10" ht="18.5" x14ac:dyDescent="0.45">
      <c r="B358" s="244" t="str">
        <f>IF('HCC Data Entry'!B353="","",'HCC Data Entry'!B353)</f>
        <v/>
      </c>
      <c r="C358" s="244" t="str">
        <f>IF('HCC Data Entry'!C353="","",'HCC Data Entry'!C353)</f>
        <v/>
      </c>
      <c r="D358" s="244" t="str">
        <f>IF('HCC Data Entry'!D353="","",'HCC Data Entry'!D353)</f>
        <v/>
      </c>
      <c r="E358" s="244" t="str">
        <f>IF('HCC Data Entry'!E353="","",'HCC Data Entry'!E353)</f>
        <v/>
      </c>
      <c r="F358" s="246" t="str">
        <f>IF('HCC Data Entry'!F353="","",'HCC Data Entry'!F353)</f>
        <v/>
      </c>
      <c r="G358" s="246" t="str">
        <f>IFERROR(INDEX('HCC Data Entry'!$J$4:$J$22, MATCH('HCC Detail'!$B358,'HCC Data Entry'!$I$4:$I$22,0)),"")</f>
        <v/>
      </c>
      <c r="H358" s="246" t="str">
        <f t="shared" si="18"/>
        <v/>
      </c>
      <c r="I358" s="247" t="str">
        <f t="shared" si="19"/>
        <v/>
      </c>
      <c r="J358" s="246" t="str">
        <f t="shared" si="20"/>
        <v/>
      </c>
    </row>
    <row r="359" spans="2:10" ht="18.5" x14ac:dyDescent="0.45">
      <c r="B359" s="244" t="str">
        <f>IF('HCC Data Entry'!B354="","",'HCC Data Entry'!B354)</f>
        <v/>
      </c>
      <c r="C359" s="244" t="str">
        <f>IF('HCC Data Entry'!C354="","",'HCC Data Entry'!C354)</f>
        <v/>
      </c>
      <c r="D359" s="244" t="str">
        <f>IF('HCC Data Entry'!D354="","",'HCC Data Entry'!D354)</f>
        <v/>
      </c>
      <c r="E359" s="244" t="str">
        <f>IF('HCC Data Entry'!E354="","",'HCC Data Entry'!E354)</f>
        <v/>
      </c>
      <c r="F359" s="246" t="str">
        <f>IF('HCC Data Entry'!F354="","",'HCC Data Entry'!F354)</f>
        <v/>
      </c>
      <c r="G359" s="246" t="str">
        <f>IFERROR(INDEX('HCC Data Entry'!$J$4:$J$22, MATCH('HCC Detail'!$B359,'HCC Data Entry'!$I$4:$I$22,0)),"")</f>
        <v/>
      </c>
      <c r="H359" s="246" t="str">
        <f t="shared" si="18"/>
        <v/>
      </c>
      <c r="I359" s="247" t="str">
        <f t="shared" si="19"/>
        <v/>
      </c>
      <c r="J359" s="246" t="str">
        <f t="shared" si="20"/>
        <v/>
      </c>
    </row>
    <row r="360" spans="2:10" ht="18.5" x14ac:dyDescent="0.45">
      <c r="B360" s="244" t="str">
        <f>IF('HCC Data Entry'!B355="","",'HCC Data Entry'!B355)</f>
        <v/>
      </c>
      <c r="C360" s="244" t="str">
        <f>IF('HCC Data Entry'!C355="","",'HCC Data Entry'!C355)</f>
        <v/>
      </c>
      <c r="D360" s="244" t="str">
        <f>IF('HCC Data Entry'!D355="","",'HCC Data Entry'!D355)</f>
        <v/>
      </c>
      <c r="E360" s="244" t="str">
        <f>IF('HCC Data Entry'!E355="","",'HCC Data Entry'!E355)</f>
        <v/>
      </c>
      <c r="F360" s="246" t="str">
        <f>IF('HCC Data Entry'!F355="","",'HCC Data Entry'!F355)</f>
        <v/>
      </c>
      <c r="G360" s="246" t="str">
        <f>IFERROR(INDEX('HCC Data Entry'!$J$4:$J$22, MATCH('HCC Detail'!$B360,'HCC Data Entry'!$I$4:$I$22,0)),"")</f>
        <v/>
      </c>
      <c r="H360" s="246" t="str">
        <f t="shared" si="18"/>
        <v/>
      </c>
      <c r="I360" s="247" t="str">
        <f t="shared" si="19"/>
        <v/>
      </c>
      <c r="J360" s="246" t="str">
        <f t="shared" si="20"/>
        <v/>
      </c>
    </row>
    <row r="361" spans="2:10" ht="18.5" x14ac:dyDescent="0.45">
      <c r="B361" s="244" t="str">
        <f>IF('HCC Data Entry'!B356="","",'HCC Data Entry'!B356)</f>
        <v/>
      </c>
      <c r="C361" s="244" t="str">
        <f>IF('HCC Data Entry'!C356="","",'HCC Data Entry'!C356)</f>
        <v/>
      </c>
      <c r="D361" s="244" t="str">
        <f>IF('HCC Data Entry'!D356="","",'HCC Data Entry'!D356)</f>
        <v/>
      </c>
      <c r="E361" s="244" t="str">
        <f>IF('HCC Data Entry'!E356="","",'HCC Data Entry'!E356)</f>
        <v/>
      </c>
      <c r="F361" s="246" t="str">
        <f>IF('HCC Data Entry'!F356="","",'HCC Data Entry'!F356)</f>
        <v/>
      </c>
      <c r="G361" s="246" t="str">
        <f>IFERROR(INDEX('HCC Data Entry'!$J$4:$J$22, MATCH('HCC Detail'!$B361,'HCC Data Entry'!$I$4:$I$22,0)),"")</f>
        <v/>
      </c>
      <c r="H361" s="246" t="str">
        <f t="shared" si="18"/>
        <v/>
      </c>
      <c r="I361" s="247" t="str">
        <f t="shared" si="19"/>
        <v/>
      </c>
      <c r="J361" s="246" t="str">
        <f t="shared" si="20"/>
        <v/>
      </c>
    </row>
    <row r="362" spans="2:10" ht="18.5" x14ac:dyDescent="0.45">
      <c r="B362" s="244" t="str">
        <f>IF('HCC Data Entry'!B357="","",'HCC Data Entry'!B357)</f>
        <v/>
      </c>
      <c r="C362" s="244" t="str">
        <f>IF('HCC Data Entry'!C357="","",'HCC Data Entry'!C357)</f>
        <v/>
      </c>
      <c r="D362" s="244" t="str">
        <f>IF('HCC Data Entry'!D357="","",'HCC Data Entry'!D357)</f>
        <v/>
      </c>
      <c r="E362" s="244" t="str">
        <f>IF('HCC Data Entry'!E357="","",'HCC Data Entry'!E357)</f>
        <v/>
      </c>
      <c r="F362" s="246" t="str">
        <f>IF('HCC Data Entry'!F357="","",'HCC Data Entry'!F357)</f>
        <v/>
      </c>
      <c r="G362" s="246" t="str">
        <f>IFERROR(INDEX('HCC Data Entry'!$J$4:$J$22, MATCH('HCC Detail'!$B362,'HCC Data Entry'!$I$4:$I$22,0)),"")</f>
        <v/>
      </c>
      <c r="H362" s="246" t="str">
        <f t="shared" si="18"/>
        <v/>
      </c>
      <c r="I362" s="247" t="str">
        <f t="shared" si="19"/>
        <v/>
      </c>
      <c r="J362" s="246" t="str">
        <f t="shared" si="20"/>
        <v/>
      </c>
    </row>
    <row r="363" spans="2:10" ht="18.5" x14ac:dyDescent="0.45">
      <c r="B363" s="244" t="str">
        <f>IF('HCC Data Entry'!B358="","",'HCC Data Entry'!B358)</f>
        <v/>
      </c>
      <c r="C363" s="244" t="str">
        <f>IF('HCC Data Entry'!C358="","",'HCC Data Entry'!C358)</f>
        <v/>
      </c>
      <c r="D363" s="244" t="str">
        <f>IF('HCC Data Entry'!D358="","",'HCC Data Entry'!D358)</f>
        <v/>
      </c>
      <c r="E363" s="244" t="str">
        <f>IF('HCC Data Entry'!E358="","",'HCC Data Entry'!E358)</f>
        <v/>
      </c>
      <c r="F363" s="246" t="str">
        <f>IF('HCC Data Entry'!F358="","",'HCC Data Entry'!F358)</f>
        <v/>
      </c>
      <c r="G363" s="246" t="str">
        <f>IFERROR(INDEX('HCC Data Entry'!$J$4:$J$22, MATCH('HCC Detail'!$B363,'HCC Data Entry'!$I$4:$I$22,0)),"")</f>
        <v/>
      </c>
      <c r="H363" s="246" t="str">
        <f t="shared" si="18"/>
        <v/>
      </c>
      <c r="I363" s="247" t="str">
        <f t="shared" si="19"/>
        <v/>
      </c>
      <c r="J363" s="246" t="str">
        <f t="shared" si="20"/>
        <v/>
      </c>
    </row>
    <row r="364" spans="2:10" ht="18.5" x14ac:dyDescent="0.45">
      <c r="B364" s="244" t="str">
        <f>IF('HCC Data Entry'!B359="","",'HCC Data Entry'!B359)</f>
        <v/>
      </c>
      <c r="C364" s="244" t="str">
        <f>IF('HCC Data Entry'!C359="","",'HCC Data Entry'!C359)</f>
        <v/>
      </c>
      <c r="D364" s="244" t="str">
        <f>IF('HCC Data Entry'!D359="","",'HCC Data Entry'!D359)</f>
        <v/>
      </c>
      <c r="E364" s="244" t="str">
        <f>IF('HCC Data Entry'!E359="","",'HCC Data Entry'!E359)</f>
        <v/>
      </c>
      <c r="F364" s="246" t="str">
        <f>IF('HCC Data Entry'!F359="","",'HCC Data Entry'!F359)</f>
        <v/>
      </c>
      <c r="G364" s="246" t="str">
        <f>IFERROR(INDEX('HCC Data Entry'!$J$4:$J$22, MATCH('HCC Detail'!$B364,'HCC Data Entry'!$I$4:$I$22,0)),"")</f>
        <v/>
      </c>
      <c r="H364" s="246" t="str">
        <f t="shared" si="18"/>
        <v/>
      </c>
      <c r="I364" s="247" t="str">
        <f t="shared" si="19"/>
        <v/>
      </c>
      <c r="J364" s="246" t="str">
        <f t="shared" si="20"/>
        <v/>
      </c>
    </row>
    <row r="365" spans="2:10" ht="18.5" x14ac:dyDescent="0.45">
      <c r="B365" s="244" t="str">
        <f>IF('HCC Data Entry'!B360="","",'HCC Data Entry'!B360)</f>
        <v/>
      </c>
      <c r="C365" s="244" t="str">
        <f>IF('HCC Data Entry'!C360="","",'HCC Data Entry'!C360)</f>
        <v/>
      </c>
      <c r="D365" s="244" t="str">
        <f>IF('HCC Data Entry'!D360="","",'HCC Data Entry'!D360)</f>
        <v/>
      </c>
      <c r="E365" s="244" t="str">
        <f>IF('HCC Data Entry'!E360="","",'HCC Data Entry'!E360)</f>
        <v/>
      </c>
      <c r="F365" s="246" t="str">
        <f>IF('HCC Data Entry'!F360="","",'HCC Data Entry'!F360)</f>
        <v/>
      </c>
      <c r="G365" s="246" t="str">
        <f>IFERROR(INDEX('HCC Data Entry'!$J$4:$J$22, MATCH('HCC Detail'!$B365,'HCC Data Entry'!$I$4:$I$22,0)),"")</f>
        <v/>
      </c>
      <c r="H365" s="246" t="str">
        <f t="shared" si="18"/>
        <v/>
      </c>
      <c r="I365" s="247" t="str">
        <f t="shared" si="19"/>
        <v/>
      </c>
      <c r="J365" s="246" t="str">
        <f t="shared" si="20"/>
        <v/>
      </c>
    </row>
    <row r="366" spans="2:10" ht="18.5" x14ac:dyDescent="0.45">
      <c r="B366" s="244" t="str">
        <f>IF('HCC Data Entry'!B361="","",'HCC Data Entry'!B361)</f>
        <v/>
      </c>
      <c r="C366" s="244" t="str">
        <f>IF('HCC Data Entry'!C361="","",'HCC Data Entry'!C361)</f>
        <v/>
      </c>
      <c r="D366" s="244" t="str">
        <f>IF('HCC Data Entry'!D361="","",'HCC Data Entry'!D361)</f>
        <v/>
      </c>
      <c r="E366" s="244" t="str">
        <f>IF('HCC Data Entry'!E361="","",'HCC Data Entry'!E361)</f>
        <v/>
      </c>
      <c r="F366" s="246" t="str">
        <f>IF('HCC Data Entry'!F361="","",'HCC Data Entry'!F361)</f>
        <v/>
      </c>
      <c r="G366" s="246" t="str">
        <f>IFERROR(INDEX('HCC Data Entry'!$J$4:$J$22, MATCH('HCC Detail'!$B366,'HCC Data Entry'!$I$4:$I$22,0)),"")</f>
        <v/>
      </c>
      <c r="H366" s="246" t="str">
        <f t="shared" si="18"/>
        <v/>
      </c>
      <c r="I366" s="247" t="str">
        <f t="shared" si="19"/>
        <v/>
      </c>
      <c r="J366" s="246" t="str">
        <f t="shared" si="20"/>
        <v/>
      </c>
    </row>
    <row r="367" spans="2:10" ht="18.5" x14ac:dyDescent="0.45">
      <c r="B367" s="244" t="str">
        <f>IF('HCC Data Entry'!B362="","",'HCC Data Entry'!B362)</f>
        <v/>
      </c>
      <c r="C367" s="244" t="str">
        <f>IF('HCC Data Entry'!C362="","",'HCC Data Entry'!C362)</f>
        <v/>
      </c>
      <c r="D367" s="244" t="str">
        <f>IF('HCC Data Entry'!D362="","",'HCC Data Entry'!D362)</f>
        <v/>
      </c>
      <c r="E367" s="244" t="str">
        <f>IF('HCC Data Entry'!E362="","",'HCC Data Entry'!E362)</f>
        <v/>
      </c>
      <c r="F367" s="246" t="str">
        <f>IF('HCC Data Entry'!F362="","",'HCC Data Entry'!F362)</f>
        <v/>
      </c>
      <c r="G367" s="246" t="str">
        <f>IFERROR(INDEX('HCC Data Entry'!$J$4:$J$22, MATCH('HCC Detail'!$B367,'HCC Data Entry'!$I$4:$I$22,0)),"")</f>
        <v/>
      </c>
      <c r="H367" s="246" t="str">
        <f t="shared" si="18"/>
        <v/>
      </c>
      <c r="I367" s="247" t="str">
        <f t="shared" si="19"/>
        <v/>
      </c>
      <c r="J367" s="246" t="str">
        <f t="shared" si="20"/>
        <v/>
      </c>
    </row>
    <row r="368" spans="2:10" ht="18.5" x14ac:dyDescent="0.45">
      <c r="B368" s="244" t="str">
        <f>IF('HCC Data Entry'!B363="","",'HCC Data Entry'!B363)</f>
        <v/>
      </c>
      <c r="C368" s="244" t="str">
        <f>IF('HCC Data Entry'!C363="","",'HCC Data Entry'!C363)</f>
        <v/>
      </c>
      <c r="D368" s="244" t="str">
        <f>IF('HCC Data Entry'!D363="","",'HCC Data Entry'!D363)</f>
        <v/>
      </c>
      <c r="E368" s="244" t="str">
        <f>IF('HCC Data Entry'!E363="","",'HCC Data Entry'!E363)</f>
        <v/>
      </c>
      <c r="F368" s="246" t="str">
        <f>IF('HCC Data Entry'!F363="","",'HCC Data Entry'!F363)</f>
        <v/>
      </c>
      <c r="G368" s="246" t="str">
        <f>IFERROR(INDEX('HCC Data Entry'!$J$4:$J$22, MATCH('HCC Detail'!$B368,'HCC Data Entry'!$I$4:$I$22,0)),"")</f>
        <v/>
      </c>
      <c r="H368" s="246" t="str">
        <f t="shared" si="18"/>
        <v/>
      </c>
      <c r="I368" s="247" t="str">
        <f t="shared" si="19"/>
        <v/>
      </c>
      <c r="J368" s="246" t="str">
        <f t="shared" si="20"/>
        <v/>
      </c>
    </row>
    <row r="369" spans="2:10" ht="18.5" x14ac:dyDescent="0.45">
      <c r="B369" s="244" t="str">
        <f>IF('HCC Data Entry'!B364="","",'HCC Data Entry'!B364)</f>
        <v/>
      </c>
      <c r="C369" s="244" t="str">
        <f>IF('HCC Data Entry'!C364="","",'HCC Data Entry'!C364)</f>
        <v/>
      </c>
      <c r="D369" s="244" t="str">
        <f>IF('HCC Data Entry'!D364="","",'HCC Data Entry'!D364)</f>
        <v/>
      </c>
      <c r="E369" s="244" t="str">
        <f>IF('HCC Data Entry'!E364="","",'HCC Data Entry'!E364)</f>
        <v/>
      </c>
      <c r="F369" s="246" t="str">
        <f>IF('HCC Data Entry'!F364="","",'HCC Data Entry'!F364)</f>
        <v/>
      </c>
      <c r="G369" s="246" t="str">
        <f>IFERROR(INDEX('HCC Data Entry'!$J$4:$J$22, MATCH('HCC Detail'!$B369,'HCC Data Entry'!$I$4:$I$22,0)),"")</f>
        <v/>
      </c>
      <c r="H369" s="246" t="str">
        <f t="shared" si="18"/>
        <v/>
      </c>
      <c r="I369" s="247" t="str">
        <f t="shared" si="19"/>
        <v/>
      </c>
      <c r="J369" s="246" t="str">
        <f t="shared" si="20"/>
        <v/>
      </c>
    </row>
    <row r="370" spans="2:10" ht="18.5" x14ac:dyDescent="0.45">
      <c r="B370" s="244" t="str">
        <f>IF('HCC Data Entry'!B365="","",'HCC Data Entry'!B365)</f>
        <v/>
      </c>
      <c r="C370" s="244" t="str">
        <f>IF('HCC Data Entry'!C365="","",'HCC Data Entry'!C365)</f>
        <v/>
      </c>
      <c r="D370" s="244" t="str">
        <f>IF('HCC Data Entry'!D365="","",'HCC Data Entry'!D365)</f>
        <v/>
      </c>
      <c r="E370" s="244" t="str">
        <f>IF('HCC Data Entry'!E365="","",'HCC Data Entry'!E365)</f>
        <v/>
      </c>
      <c r="F370" s="246" t="str">
        <f>IF('HCC Data Entry'!F365="","",'HCC Data Entry'!F365)</f>
        <v/>
      </c>
      <c r="G370" s="246" t="str">
        <f>IFERROR(INDEX('HCC Data Entry'!$J$4:$J$22, MATCH('HCC Detail'!$B370,'HCC Data Entry'!$I$4:$I$22,0)),"")</f>
        <v/>
      </c>
      <c r="H370" s="246" t="str">
        <f t="shared" si="18"/>
        <v/>
      </c>
      <c r="I370" s="247" t="str">
        <f t="shared" si="19"/>
        <v/>
      </c>
      <c r="J370" s="246" t="str">
        <f t="shared" si="20"/>
        <v/>
      </c>
    </row>
    <row r="371" spans="2:10" ht="18.5" x14ac:dyDescent="0.45">
      <c r="B371" s="244" t="str">
        <f>IF('HCC Data Entry'!B366="","",'HCC Data Entry'!B366)</f>
        <v/>
      </c>
      <c r="C371" s="244" t="str">
        <f>IF('HCC Data Entry'!C366="","",'HCC Data Entry'!C366)</f>
        <v/>
      </c>
      <c r="D371" s="244" t="str">
        <f>IF('HCC Data Entry'!D366="","",'HCC Data Entry'!D366)</f>
        <v/>
      </c>
      <c r="E371" s="244" t="str">
        <f>IF('HCC Data Entry'!E366="","",'HCC Data Entry'!E366)</f>
        <v/>
      </c>
      <c r="F371" s="246" t="str">
        <f>IF('HCC Data Entry'!F366="","",'HCC Data Entry'!F366)</f>
        <v/>
      </c>
      <c r="G371" s="246" t="str">
        <f>IFERROR(INDEX('HCC Data Entry'!$J$4:$J$22, MATCH('HCC Detail'!$B371,'HCC Data Entry'!$I$4:$I$22,0)),"")</f>
        <v/>
      </c>
      <c r="H371" s="246" t="str">
        <f t="shared" si="18"/>
        <v/>
      </c>
      <c r="I371" s="247" t="str">
        <f t="shared" si="19"/>
        <v/>
      </c>
      <c r="J371" s="246" t="str">
        <f t="shared" si="20"/>
        <v/>
      </c>
    </row>
    <row r="372" spans="2:10" ht="18.5" x14ac:dyDescent="0.45">
      <c r="B372" s="244" t="str">
        <f>IF('HCC Data Entry'!B367="","",'HCC Data Entry'!B367)</f>
        <v/>
      </c>
      <c r="C372" s="244" t="str">
        <f>IF('HCC Data Entry'!C367="","",'HCC Data Entry'!C367)</f>
        <v/>
      </c>
      <c r="D372" s="244" t="str">
        <f>IF('HCC Data Entry'!D367="","",'HCC Data Entry'!D367)</f>
        <v/>
      </c>
      <c r="E372" s="244" t="str">
        <f>IF('HCC Data Entry'!E367="","",'HCC Data Entry'!E367)</f>
        <v/>
      </c>
      <c r="F372" s="246" t="str">
        <f>IF('HCC Data Entry'!F367="","",'HCC Data Entry'!F367)</f>
        <v/>
      </c>
      <c r="G372" s="246" t="str">
        <f>IFERROR(INDEX('HCC Data Entry'!$J$4:$J$22, MATCH('HCC Detail'!$B372,'HCC Data Entry'!$I$4:$I$22,0)),"")</f>
        <v/>
      </c>
      <c r="H372" s="246" t="str">
        <f t="shared" si="18"/>
        <v/>
      </c>
      <c r="I372" s="247" t="str">
        <f t="shared" si="19"/>
        <v/>
      </c>
      <c r="J372" s="246" t="str">
        <f t="shared" si="20"/>
        <v/>
      </c>
    </row>
    <row r="373" spans="2:10" ht="18.5" x14ac:dyDescent="0.45">
      <c r="B373" s="244" t="str">
        <f>IF('HCC Data Entry'!B368="","",'HCC Data Entry'!B368)</f>
        <v/>
      </c>
      <c r="C373" s="244" t="str">
        <f>IF('HCC Data Entry'!C368="","",'HCC Data Entry'!C368)</f>
        <v/>
      </c>
      <c r="D373" s="244" t="str">
        <f>IF('HCC Data Entry'!D368="","",'HCC Data Entry'!D368)</f>
        <v/>
      </c>
      <c r="E373" s="244" t="str">
        <f>IF('HCC Data Entry'!E368="","",'HCC Data Entry'!E368)</f>
        <v/>
      </c>
      <c r="F373" s="246" t="str">
        <f>IF('HCC Data Entry'!F368="","",'HCC Data Entry'!F368)</f>
        <v/>
      </c>
      <c r="G373" s="246" t="str">
        <f>IFERROR(INDEX('HCC Data Entry'!$J$4:$J$22, MATCH('HCC Detail'!$B373,'HCC Data Entry'!$I$4:$I$22,0)),"")</f>
        <v/>
      </c>
      <c r="H373" s="246" t="str">
        <f t="shared" si="18"/>
        <v/>
      </c>
      <c r="I373" s="247" t="str">
        <f t="shared" si="19"/>
        <v/>
      </c>
      <c r="J373" s="246" t="str">
        <f t="shared" si="20"/>
        <v/>
      </c>
    </row>
    <row r="374" spans="2:10" ht="18.5" x14ac:dyDescent="0.45">
      <c r="B374" s="244" t="str">
        <f>IF('HCC Data Entry'!B369="","",'HCC Data Entry'!B369)</f>
        <v/>
      </c>
      <c r="C374" s="244" t="str">
        <f>IF('HCC Data Entry'!C369="","",'HCC Data Entry'!C369)</f>
        <v/>
      </c>
      <c r="D374" s="244" t="str">
        <f>IF('HCC Data Entry'!D369="","",'HCC Data Entry'!D369)</f>
        <v/>
      </c>
      <c r="E374" s="244" t="str">
        <f>IF('HCC Data Entry'!E369="","",'HCC Data Entry'!E369)</f>
        <v/>
      </c>
      <c r="F374" s="246" t="str">
        <f>IF('HCC Data Entry'!F369="","",'HCC Data Entry'!F369)</f>
        <v/>
      </c>
      <c r="G374" s="246" t="str">
        <f>IFERROR(INDEX('HCC Data Entry'!$J$4:$J$22, MATCH('HCC Detail'!$B374,'HCC Data Entry'!$I$4:$I$22,0)),"")</f>
        <v/>
      </c>
      <c r="H374" s="246" t="str">
        <f t="shared" si="18"/>
        <v/>
      </c>
      <c r="I374" s="247" t="str">
        <f t="shared" si="19"/>
        <v/>
      </c>
      <c r="J374" s="246" t="str">
        <f t="shared" si="20"/>
        <v/>
      </c>
    </row>
    <row r="375" spans="2:10" ht="18.5" x14ac:dyDescent="0.45">
      <c r="B375" s="244" t="str">
        <f>IF('HCC Data Entry'!B370="","",'HCC Data Entry'!B370)</f>
        <v/>
      </c>
      <c r="C375" s="244" t="str">
        <f>IF('HCC Data Entry'!C370="","",'HCC Data Entry'!C370)</f>
        <v/>
      </c>
      <c r="D375" s="244" t="str">
        <f>IF('HCC Data Entry'!D370="","",'HCC Data Entry'!D370)</f>
        <v/>
      </c>
      <c r="E375" s="244" t="str">
        <f>IF('HCC Data Entry'!E370="","",'HCC Data Entry'!E370)</f>
        <v/>
      </c>
      <c r="F375" s="246" t="str">
        <f>IF('HCC Data Entry'!F370="","",'HCC Data Entry'!F370)</f>
        <v/>
      </c>
      <c r="G375" s="246" t="str">
        <f>IFERROR(INDEX('HCC Data Entry'!$J$4:$J$22, MATCH('HCC Detail'!$B375,'HCC Data Entry'!$I$4:$I$22,0)),"")</f>
        <v/>
      </c>
      <c r="H375" s="246" t="str">
        <f t="shared" si="18"/>
        <v/>
      </c>
      <c r="I375" s="247" t="str">
        <f t="shared" si="19"/>
        <v/>
      </c>
      <c r="J375" s="246" t="str">
        <f t="shared" si="20"/>
        <v/>
      </c>
    </row>
    <row r="376" spans="2:10" ht="18.5" x14ac:dyDescent="0.45">
      <c r="B376" s="244" t="str">
        <f>IF('HCC Data Entry'!B371="","",'HCC Data Entry'!B371)</f>
        <v/>
      </c>
      <c r="C376" s="244" t="str">
        <f>IF('HCC Data Entry'!C371="","",'HCC Data Entry'!C371)</f>
        <v/>
      </c>
      <c r="D376" s="244" t="str">
        <f>IF('HCC Data Entry'!D371="","",'HCC Data Entry'!D371)</f>
        <v/>
      </c>
      <c r="E376" s="244" t="str">
        <f>IF('HCC Data Entry'!E371="","",'HCC Data Entry'!E371)</f>
        <v/>
      </c>
      <c r="F376" s="246" t="str">
        <f>IF('HCC Data Entry'!F371="","",'HCC Data Entry'!F371)</f>
        <v/>
      </c>
      <c r="G376" s="246" t="str">
        <f>IFERROR(INDEX('HCC Data Entry'!$J$4:$J$22, MATCH('HCC Detail'!$B376,'HCC Data Entry'!$I$4:$I$22,0)),"")</f>
        <v/>
      </c>
      <c r="H376" s="246" t="str">
        <f t="shared" si="18"/>
        <v/>
      </c>
      <c r="I376" s="247" t="str">
        <f t="shared" si="19"/>
        <v/>
      </c>
      <c r="J376" s="246" t="str">
        <f t="shared" si="20"/>
        <v/>
      </c>
    </row>
    <row r="377" spans="2:10" ht="18.5" x14ac:dyDescent="0.45">
      <c r="B377" s="244" t="str">
        <f>IF('HCC Data Entry'!B372="","",'HCC Data Entry'!B372)</f>
        <v/>
      </c>
      <c r="C377" s="244" t="str">
        <f>IF('HCC Data Entry'!C372="","",'HCC Data Entry'!C372)</f>
        <v/>
      </c>
      <c r="D377" s="244" t="str">
        <f>IF('HCC Data Entry'!D372="","",'HCC Data Entry'!D372)</f>
        <v/>
      </c>
      <c r="E377" s="244" t="str">
        <f>IF('HCC Data Entry'!E372="","",'HCC Data Entry'!E372)</f>
        <v/>
      </c>
      <c r="F377" s="246" t="str">
        <f>IF('HCC Data Entry'!F372="","",'HCC Data Entry'!F372)</f>
        <v/>
      </c>
      <c r="G377" s="246" t="str">
        <f>IFERROR(INDEX('HCC Data Entry'!$J$4:$J$22, MATCH('HCC Detail'!$B377,'HCC Data Entry'!$I$4:$I$22,0)),"")</f>
        <v/>
      </c>
      <c r="H377" s="246" t="str">
        <f t="shared" si="18"/>
        <v/>
      </c>
      <c r="I377" s="247" t="str">
        <f t="shared" si="19"/>
        <v/>
      </c>
      <c r="J377" s="246" t="str">
        <f t="shared" si="20"/>
        <v/>
      </c>
    </row>
    <row r="378" spans="2:10" ht="18.5" x14ac:dyDescent="0.45">
      <c r="B378" s="244" t="str">
        <f>IF('HCC Data Entry'!B373="","",'HCC Data Entry'!B373)</f>
        <v/>
      </c>
      <c r="C378" s="244" t="str">
        <f>IF('HCC Data Entry'!C373="","",'HCC Data Entry'!C373)</f>
        <v/>
      </c>
      <c r="D378" s="244" t="str">
        <f>IF('HCC Data Entry'!D373="","",'HCC Data Entry'!D373)</f>
        <v/>
      </c>
      <c r="E378" s="244" t="str">
        <f>IF('HCC Data Entry'!E373="","",'HCC Data Entry'!E373)</f>
        <v/>
      </c>
      <c r="F378" s="246" t="str">
        <f>IF('HCC Data Entry'!F373="","",'HCC Data Entry'!F373)</f>
        <v/>
      </c>
      <c r="G378" s="246" t="str">
        <f>IFERROR(INDEX('HCC Data Entry'!$J$4:$J$22, MATCH('HCC Detail'!$B378,'HCC Data Entry'!$I$4:$I$22,0)),"")</f>
        <v/>
      </c>
      <c r="H378" s="246" t="str">
        <f t="shared" si="18"/>
        <v/>
      </c>
      <c r="I378" s="247" t="str">
        <f t="shared" si="19"/>
        <v/>
      </c>
      <c r="J378" s="246" t="str">
        <f t="shared" si="20"/>
        <v/>
      </c>
    </row>
    <row r="379" spans="2:10" ht="18.5" x14ac:dyDescent="0.45">
      <c r="B379" s="244" t="str">
        <f>IF('HCC Data Entry'!B374="","",'HCC Data Entry'!B374)</f>
        <v/>
      </c>
      <c r="C379" s="244" t="str">
        <f>IF('HCC Data Entry'!C374="","",'HCC Data Entry'!C374)</f>
        <v/>
      </c>
      <c r="D379" s="244" t="str">
        <f>IF('HCC Data Entry'!D374="","",'HCC Data Entry'!D374)</f>
        <v/>
      </c>
      <c r="E379" s="244" t="str">
        <f>IF('HCC Data Entry'!E374="","",'HCC Data Entry'!E374)</f>
        <v/>
      </c>
      <c r="F379" s="246" t="str">
        <f>IF('HCC Data Entry'!F374="","",'HCC Data Entry'!F374)</f>
        <v/>
      </c>
      <c r="G379" s="246" t="str">
        <f>IFERROR(INDEX('HCC Data Entry'!$J$4:$J$22, MATCH('HCC Detail'!$B379,'HCC Data Entry'!$I$4:$I$22,0)),"")</f>
        <v/>
      </c>
      <c r="H379" s="246" t="str">
        <f t="shared" si="18"/>
        <v/>
      </c>
      <c r="I379" s="247" t="str">
        <f t="shared" si="19"/>
        <v/>
      </c>
      <c r="J379" s="246" t="str">
        <f t="shared" si="20"/>
        <v/>
      </c>
    </row>
    <row r="380" spans="2:10" ht="18.5" x14ac:dyDescent="0.45">
      <c r="B380" s="244" t="str">
        <f>IF('HCC Data Entry'!B375="","",'HCC Data Entry'!B375)</f>
        <v/>
      </c>
      <c r="C380" s="244" t="str">
        <f>IF('HCC Data Entry'!C375="","",'HCC Data Entry'!C375)</f>
        <v/>
      </c>
      <c r="D380" s="244" t="str">
        <f>IF('HCC Data Entry'!D375="","",'HCC Data Entry'!D375)</f>
        <v/>
      </c>
      <c r="E380" s="244" t="str">
        <f>IF('HCC Data Entry'!E375="","",'HCC Data Entry'!E375)</f>
        <v/>
      </c>
      <c r="F380" s="246" t="str">
        <f>IF('HCC Data Entry'!F375="","",'HCC Data Entry'!F375)</f>
        <v/>
      </c>
      <c r="G380" s="246" t="str">
        <f>IFERROR(INDEX('HCC Data Entry'!$J$4:$J$22, MATCH('HCC Detail'!$B380,'HCC Data Entry'!$I$4:$I$22,0)),"")</f>
        <v/>
      </c>
      <c r="H380" s="246" t="str">
        <f t="shared" si="18"/>
        <v/>
      </c>
      <c r="I380" s="247" t="str">
        <f t="shared" si="19"/>
        <v/>
      </c>
      <c r="J380" s="246" t="str">
        <f t="shared" si="20"/>
        <v/>
      </c>
    </row>
    <row r="381" spans="2:10" ht="18.5" x14ac:dyDescent="0.45">
      <c r="B381" s="244" t="str">
        <f>IF('HCC Data Entry'!B376="","",'HCC Data Entry'!B376)</f>
        <v/>
      </c>
      <c r="C381" s="244" t="str">
        <f>IF('HCC Data Entry'!C376="","",'HCC Data Entry'!C376)</f>
        <v/>
      </c>
      <c r="D381" s="244" t="str">
        <f>IF('HCC Data Entry'!D376="","",'HCC Data Entry'!D376)</f>
        <v/>
      </c>
      <c r="E381" s="244" t="str">
        <f>IF('HCC Data Entry'!E376="","",'HCC Data Entry'!E376)</f>
        <v/>
      </c>
      <c r="F381" s="246" t="str">
        <f>IF('HCC Data Entry'!F376="","",'HCC Data Entry'!F376)</f>
        <v/>
      </c>
      <c r="G381" s="246" t="str">
        <f>IFERROR(INDEX('HCC Data Entry'!$J$4:$J$22, MATCH('HCC Detail'!$B381,'HCC Data Entry'!$I$4:$I$22,0)),"")</f>
        <v/>
      </c>
      <c r="H381" s="246" t="str">
        <f t="shared" si="18"/>
        <v/>
      </c>
      <c r="I381" s="247" t="str">
        <f t="shared" si="19"/>
        <v/>
      </c>
      <c r="J381" s="246" t="str">
        <f t="shared" si="20"/>
        <v/>
      </c>
    </row>
    <row r="382" spans="2:10" ht="18.5" x14ac:dyDescent="0.45">
      <c r="B382" s="244" t="str">
        <f>IF('HCC Data Entry'!B377="","",'HCC Data Entry'!B377)</f>
        <v/>
      </c>
      <c r="C382" s="244" t="str">
        <f>IF('HCC Data Entry'!C377="","",'HCC Data Entry'!C377)</f>
        <v/>
      </c>
      <c r="D382" s="244" t="str">
        <f>IF('HCC Data Entry'!D377="","",'HCC Data Entry'!D377)</f>
        <v/>
      </c>
      <c r="E382" s="244" t="str">
        <f>IF('HCC Data Entry'!E377="","",'HCC Data Entry'!E377)</f>
        <v/>
      </c>
      <c r="F382" s="246" t="str">
        <f>IF('HCC Data Entry'!F377="","",'HCC Data Entry'!F377)</f>
        <v/>
      </c>
      <c r="G382" s="246" t="str">
        <f>IFERROR(INDEX('HCC Data Entry'!$J$4:$J$22, MATCH('HCC Detail'!$B382,'HCC Data Entry'!$I$4:$I$22,0)),"")</f>
        <v/>
      </c>
      <c r="H382" s="246" t="str">
        <f t="shared" si="18"/>
        <v/>
      </c>
      <c r="I382" s="247" t="str">
        <f t="shared" si="19"/>
        <v/>
      </c>
      <c r="J382" s="246" t="str">
        <f t="shared" si="20"/>
        <v/>
      </c>
    </row>
    <row r="383" spans="2:10" ht="18.5" x14ac:dyDescent="0.45">
      <c r="B383" s="244" t="str">
        <f>IF('HCC Data Entry'!B378="","",'HCC Data Entry'!B378)</f>
        <v/>
      </c>
      <c r="C383" s="244" t="str">
        <f>IF('HCC Data Entry'!C378="","",'HCC Data Entry'!C378)</f>
        <v/>
      </c>
      <c r="D383" s="244" t="str">
        <f>IF('HCC Data Entry'!D378="","",'HCC Data Entry'!D378)</f>
        <v/>
      </c>
      <c r="E383" s="244" t="str">
        <f>IF('HCC Data Entry'!E378="","",'HCC Data Entry'!E378)</f>
        <v/>
      </c>
      <c r="F383" s="246" t="str">
        <f>IF('HCC Data Entry'!F378="","",'HCC Data Entry'!F378)</f>
        <v/>
      </c>
      <c r="G383" s="246" t="str">
        <f>IFERROR(INDEX('HCC Data Entry'!$J$4:$J$22, MATCH('HCC Detail'!$B383,'HCC Data Entry'!$I$4:$I$22,0)),"")</f>
        <v/>
      </c>
      <c r="H383" s="246" t="str">
        <f t="shared" si="18"/>
        <v/>
      </c>
      <c r="I383" s="247" t="str">
        <f t="shared" si="19"/>
        <v/>
      </c>
      <c r="J383" s="246" t="str">
        <f t="shared" si="20"/>
        <v/>
      </c>
    </row>
    <row r="384" spans="2:10" ht="18.5" x14ac:dyDescent="0.45">
      <c r="B384" s="244" t="str">
        <f>IF('HCC Data Entry'!B379="","",'HCC Data Entry'!B379)</f>
        <v/>
      </c>
      <c r="C384" s="244" t="str">
        <f>IF('HCC Data Entry'!C379="","",'HCC Data Entry'!C379)</f>
        <v/>
      </c>
      <c r="D384" s="244" t="str">
        <f>IF('HCC Data Entry'!D379="","",'HCC Data Entry'!D379)</f>
        <v/>
      </c>
      <c r="E384" s="244" t="str">
        <f>IF('HCC Data Entry'!E379="","",'HCC Data Entry'!E379)</f>
        <v/>
      </c>
      <c r="F384" s="246" t="str">
        <f>IF('HCC Data Entry'!F379="","",'HCC Data Entry'!F379)</f>
        <v/>
      </c>
      <c r="G384" s="246" t="str">
        <f>IFERROR(INDEX('HCC Data Entry'!$J$4:$J$22, MATCH('HCC Detail'!$B384,'HCC Data Entry'!$I$4:$I$22,0)),"")</f>
        <v/>
      </c>
      <c r="H384" s="246" t="str">
        <f t="shared" si="18"/>
        <v/>
      </c>
      <c r="I384" s="247" t="str">
        <f t="shared" si="19"/>
        <v/>
      </c>
      <c r="J384" s="246" t="str">
        <f t="shared" si="20"/>
        <v/>
      </c>
    </row>
    <row r="385" spans="2:10" ht="18.5" x14ac:dyDescent="0.45">
      <c r="B385" s="244" t="str">
        <f>IF('HCC Data Entry'!B380="","",'HCC Data Entry'!B380)</f>
        <v/>
      </c>
      <c r="C385" s="244" t="str">
        <f>IF('HCC Data Entry'!C380="","",'HCC Data Entry'!C380)</f>
        <v/>
      </c>
      <c r="D385" s="244" t="str">
        <f>IF('HCC Data Entry'!D380="","",'HCC Data Entry'!D380)</f>
        <v/>
      </c>
      <c r="E385" s="244" t="str">
        <f>IF('HCC Data Entry'!E380="","",'HCC Data Entry'!E380)</f>
        <v/>
      </c>
      <c r="F385" s="246" t="str">
        <f>IF('HCC Data Entry'!F380="","",'HCC Data Entry'!F380)</f>
        <v/>
      </c>
      <c r="G385" s="246" t="str">
        <f>IFERROR(INDEX('HCC Data Entry'!$J$4:$J$22, MATCH('HCC Detail'!$B385,'HCC Data Entry'!$I$4:$I$22,0)),"")</f>
        <v/>
      </c>
      <c r="H385" s="246" t="str">
        <f t="shared" si="18"/>
        <v/>
      </c>
      <c r="I385" s="247" t="str">
        <f t="shared" si="19"/>
        <v/>
      </c>
      <c r="J385" s="246" t="str">
        <f t="shared" si="20"/>
        <v/>
      </c>
    </row>
    <row r="386" spans="2:10" ht="18.5" x14ac:dyDescent="0.45">
      <c r="B386" s="244" t="str">
        <f>IF('HCC Data Entry'!B381="","",'HCC Data Entry'!B381)</f>
        <v/>
      </c>
      <c r="C386" s="244" t="str">
        <f>IF('HCC Data Entry'!C381="","",'HCC Data Entry'!C381)</f>
        <v/>
      </c>
      <c r="D386" s="244" t="str">
        <f>IF('HCC Data Entry'!D381="","",'HCC Data Entry'!D381)</f>
        <v/>
      </c>
      <c r="E386" s="244" t="str">
        <f>IF('HCC Data Entry'!E381="","",'HCC Data Entry'!E381)</f>
        <v/>
      </c>
      <c r="F386" s="246" t="str">
        <f>IF('HCC Data Entry'!F381="","",'HCC Data Entry'!F381)</f>
        <v/>
      </c>
      <c r="G386" s="246" t="str">
        <f>IFERROR(INDEX('HCC Data Entry'!$J$4:$J$22, MATCH('HCC Detail'!$B386,'HCC Data Entry'!$I$4:$I$22,0)),"")</f>
        <v/>
      </c>
      <c r="H386" s="246" t="str">
        <f t="shared" si="18"/>
        <v/>
      </c>
      <c r="I386" s="247" t="str">
        <f t="shared" si="19"/>
        <v/>
      </c>
      <c r="J386" s="246" t="str">
        <f t="shared" si="20"/>
        <v/>
      </c>
    </row>
    <row r="387" spans="2:10" ht="18.5" x14ac:dyDescent="0.45">
      <c r="B387" s="244" t="str">
        <f>IF('HCC Data Entry'!B382="","",'HCC Data Entry'!B382)</f>
        <v/>
      </c>
      <c r="C387" s="244" t="str">
        <f>IF('HCC Data Entry'!C382="","",'HCC Data Entry'!C382)</f>
        <v/>
      </c>
      <c r="D387" s="244" t="str">
        <f>IF('HCC Data Entry'!D382="","",'HCC Data Entry'!D382)</f>
        <v/>
      </c>
      <c r="E387" s="244" t="str">
        <f>IF('HCC Data Entry'!E382="","",'HCC Data Entry'!E382)</f>
        <v/>
      </c>
      <c r="F387" s="246" t="str">
        <f>IF('HCC Data Entry'!F382="","",'HCC Data Entry'!F382)</f>
        <v/>
      </c>
      <c r="G387" s="246" t="str">
        <f>IFERROR(INDEX('HCC Data Entry'!$J$4:$J$22, MATCH('HCC Detail'!$B387,'HCC Data Entry'!$I$4:$I$22,0)),"")</f>
        <v/>
      </c>
      <c r="H387" s="246" t="str">
        <f t="shared" si="18"/>
        <v/>
      </c>
      <c r="I387" s="247" t="str">
        <f t="shared" si="19"/>
        <v/>
      </c>
      <c r="J387" s="246" t="str">
        <f t="shared" si="20"/>
        <v/>
      </c>
    </row>
    <row r="388" spans="2:10" ht="18.5" x14ac:dyDescent="0.45">
      <c r="B388" s="244" t="str">
        <f>IF('HCC Data Entry'!B383="","",'HCC Data Entry'!B383)</f>
        <v/>
      </c>
      <c r="C388" s="244" t="str">
        <f>IF('HCC Data Entry'!C383="","",'HCC Data Entry'!C383)</f>
        <v/>
      </c>
      <c r="D388" s="244" t="str">
        <f>IF('HCC Data Entry'!D383="","",'HCC Data Entry'!D383)</f>
        <v/>
      </c>
      <c r="E388" s="244" t="str">
        <f>IF('HCC Data Entry'!E383="","",'HCC Data Entry'!E383)</f>
        <v/>
      </c>
      <c r="F388" s="246" t="str">
        <f>IF('HCC Data Entry'!F383="","",'HCC Data Entry'!F383)</f>
        <v/>
      </c>
      <c r="G388" s="246" t="str">
        <f>IFERROR(INDEX('HCC Data Entry'!$J$4:$J$22, MATCH('HCC Detail'!$B388,'HCC Data Entry'!$I$4:$I$22,0)),"")</f>
        <v/>
      </c>
      <c r="H388" s="246" t="str">
        <f t="shared" si="18"/>
        <v/>
      </c>
      <c r="I388" s="247" t="str">
        <f t="shared" si="19"/>
        <v/>
      </c>
      <c r="J388" s="246" t="str">
        <f t="shared" si="20"/>
        <v/>
      </c>
    </row>
    <row r="389" spans="2:10" ht="18.5" x14ac:dyDescent="0.45">
      <c r="B389" s="244" t="str">
        <f>IF('HCC Data Entry'!B384="","",'HCC Data Entry'!B384)</f>
        <v/>
      </c>
      <c r="C389" s="244" t="str">
        <f>IF('HCC Data Entry'!C384="","",'HCC Data Entry'!C384)</f>
        <v/>
      </c>
      <c r="D389" s="244" t="str">
        <f>IF('HCC Data Entry'!D384="","",'HCC Data Entry'!D384)</f>
        <v/>
      </c>
      <c r="E389" s="244" t="str">
        <f>IF('HCC Data Entry'!E384="","",'HCC Data Entry'!E384)</f>
        <v/>
      </c>
      <c r="F389" s="246" t="str">
        <f>IF('HCC Data Entry'!F384="","",'HCC Data Entry'!F384)</f>
        <v/>
      </c>
      <c r="G389" s="246" t="str">
        <f>IFERROR(INDEX('HCC Data Entry'!$J$4:$J$22, MATCH('HCC Detail'!$B389,'HCC Data Entry'!$I$4:$I$22,0)),"")</f>
        <v/>
      </c>
      <c r="H389" s="246" t="str">
        <f t="shared" si="18"/>
        <v/>
      </c>
      <c r="I389" s="247" t="str">
        <f t="shared" si="19"/>
        <v/>
      </c>
      <c r="J389" s="246" t="str">
        <f t="shared" si="20"/>
        <v/>
      </c>
    </row>
    <row r="390" spans="2:10" ht="18.5" x14ac:dyDescent="0.45">
      <c r="B390" s="244" t="str">
        <f>IF('HCC Data Entry'!B385="","",'HCC Data Entry'!B385)</f>
        <v/>
      </c>
      <c r="C390" s="244" t="str">
        <f>IF('HCC Data Entry'!C385="","",'HCC Data Entry'!C385)</f>
        <v/>
      </c>
      <c r="D390" s="244" t="str">
        <f>IF('HCC Data Entry'!D385="","",'HCC Data Entry'!D385)</f>
        <v/>
      </c>
      <c r="E390" s="244" t="str">
        <f>IF('HCC Data Entry'!E385="","",'HCC Data Entry'!E385)</f>
        <v/>
      </c>
      <c r="F390" s="246" t="str">
        <f>IF('HCC Data Entry'!F385="","",'HCC Data Entry'!F385)</f>
        <v/>
      </c>
      <c r="G390" s="246" t="str">
        <f>IFERROR(INDEX('HCC Data Entry'!$J$4:$J$22, MATCH('HCC Detail'!$B390,'HCC Data Entry'!$I$4:$I$22,0)),"")</f>
        <v/>
      </c>
      <c r="H390" s="246" t="str">
        <f t="shared" si="18"/>
        <v/>
      </c>
      <c r="I390" s="247" t="str">
        <f t="shared" si="19"/>
        <v/>
      </c>
      <c r="J390" s="246" t="str">
        <f t="shared" si="20"/>
        <v/>
      </c>
    </row>
    <row r="391" spans="2:10" ht="18.5" x14ac:dyDescent="0.45">
      <c r="B391" s="244" t="str">
        <f>IF('HCC Data Entry'!B386="","",'HCC Data Entry'!B386)</f>
        <v/>
      </c>
      <c r="C391" s="244" t="str">
        <f>IF('HCC Data Entry'!C386="","",'HCC Data Entry'!C386)</f>
        <v/>
      </c>
      <c r="D391" s="244" t="str">
        <f>IF('HCC Data Entry'!D386="","",'HCC Data Entry'!D386)</f>
        <v/>
      </c>
      <c r="E391" s="244" t="str">
        <f>IF('HCC Data Entry'!E386="","",'HCC Data Entry'!E386)</f>
        <v/>
      </c>
      <c r="F391" s="246" t="str">
        <f>IF('HCC Data Entry'!F386="","",'HCC Data Entry'!F386)</f>
        <v/>
      </c>
      <c r="G391" s="246" t="str">
        <f>IFERROR(INDEX('HCC Data Entry'!$J$4:$J$22, MATCH('HCC Detail'!$B391,'HCC Data Entry'!$I$4:$I$22,0)),"")</f>
        <v/>
      </c>
      <c r="H391" s="246" t="str">
        <f t="shared" si="18"/>
        <v/>
      </c>
      <c r="I391" s="247" t="str">
        <f t="shared" si="19"/>
        <v/>
      </c>
      <c r="J391" s="246" t="str">
        <f t="shared" si="20"/>
        <v/>
      </c>
    </row>
    <row r="392" spans="2:10" ht="18.5" x14ac:dyDescent="0.45">
      <c r="B392" s="244" t="str">
        <f>IF('HCC Data Entry'!B387="","",'HCC Data Entry'!B387)</f>
        <v/>
      </c>
      <c r="C392" s="244" t="str">
        <f>IF('HCC Data Entry'!C387="","",'HCC Data Entry'!C387)</f>
        <v/>
      </c>
      <c r="D392" s="244" t="str">
        <f>IF('HCC Data Entry'!D387="","",'HCC Data Entry'!D387)</f>
        <v/>
      </c>
      <c r="E392" s="244" t="str">
        <f>IF('HCC Data Entry'!E387="","",'HCC Data Entry'!E387)</f>
        <v/>
      </c>
      <c r="F392" s="246" t="str">
        <f>IF('HCC Data Entry'!F387="","",'HCC Data Entry'!F387)</f>
        <v/>
      </c>
      <c r="G392" s="246" t="str">
        <f>IFERROR(INDEX('HCC Data Entry'!$J$4:$J$22, MATCH('HCC Detail'!$B392,'HCC Data Entry'!$I$4:$I$22,0)),"")</f>
        <v/>
      </c>
      <c r="H392" s="246" t="str">
        <f t="shared" si="18"/>
        <v/>
      </c>
      <c r="I392" s="247" t="str">
        <f t="shared" si="19"/>
        <v/>
      </c>
      <c r="J392" s="246" t="str">
        <f t="shared" si="20"/>
        <v/>
      </c>
    </row>
    <row r="393" spans="2:10" ht="18.5" x14ac:dyDescent="0.45">
      <c r="B393" s="244" t="str">
        <f>IF('HCC Data Entry'!B388="","",'HCC Data Entry'!B388)</f>
        <v/>
      </c>
      <c r="C393" s="244" t="str">
        <f>IF('HCC Data Entry'!C388="","",'HCC Data Entry'!C388)</f>
        <v/>
      </c>
      <c r="D393" s="244" t="str">
        <f>IF('HCC Data Entry'!D388="","",'HCC Data Entry'!D388)</f>
        <v/>
      </c>
      <c r="E393" s="244" t="str">
        <f>IF('HCC Data Entry'!E388="","",'HCC Data Entry'!E388)</f>
        <v/>
      </c>
      <c r="F393" s="246" t="str">
        <f>IF('HCC Data Entry'!F388="","",'HCC Data Entry'!F388)</f>
        <v/>
      </c>
      <c r="G393" s="246" t="str">
        <f>IFERROR(INDEX('HCC Data Entry'!$J$4:$J$22, MATCH('HCC Detail'!$B393,'HCC Data Entry'!$I$4:$I$22,0)),"")</f>
        <v/>
      </c>
      <c r="H393" s="246" t="str">
        <f t="shared" ref="H393:H456" si="21">IF(B393="","",IF(G393="Unknown", "", IF(F393&gt;G393,F393-G393,0)))</f>
        <v/>
      </c>
      <c r="I393" s="247" t="str">
        <f t="shared" ref="I393:I456" si="22">IF(H393="","",IF(H393=0,0, IF(F393&gt;$O$4,($O$4-G393),H393)))</f>
        <v/>
      </c>
      <c r="J393" s="246" t="str">
        <f t="shared" ref="J393:J456" si="23">IF(I393="","",IF(I393=0,0,IF(F393&gt;$O$4,F393-$O$4,0)))</f>
        <v/>
      </c>
    </row>
    <row r="394" spans="2:10" ht="18.5" x14ac:dyDescent="0.45">
      <c r="B394" s="244" t="str">
        <f>IF('HCC Data Entry'!B389="","",'HCC Data Entry'!B389)</f>
        <v/>
      </c>
      <c r="C394" s="244" t="str">
        <f>IF('HCC Data Entry'!C389="","",'HCC Data Entry'!C389)</f>
        <v/>
      </c>
      <c r="D394" s="244" t="str">
        <f>IF('HCC Data Entry'!D389="","",'HCC Data Entry'!D389)</f>
        <v/>
      </c>
      <c r="E394" s="244" t="str">
        <f>IF('HCC Data Entry'!E389="","",'HCC Data Entry'!E389)</f>
        <v/>
      </c>
      <c r="F394" s="246" t="str">
        <f>IF('HCC Data Entry'!F389="","",'HCC Data Entry'!F389)</f>
        <v/>
      </c>
      <c r="G394" s="246" t="str">
        <f>IFERROR(INDEX('HCC Data Entry'!$J$4:$J$22, MATCH('HCC Detail'!$B394,'HCC Data Entry'!$I$4:$I$22,0)),"")</f>
        <v/>
      </c>
      <c r="H394" s="246" t="str">
        <f t="shared" si="21"/>
        <v/>
      </c>
      <c r="I394" s="247" t="str">
        <f t="shared" si="22"/>
        <v/>
      </c>
      <c r="J394" s="246" t="str">
        <f t="shared" si="23"/>
        <v/>
      </c>
    </row>
    <row r="395" spans="2:10" ht="18.5" x14ac:dyDescent="0.45">
      <c r="B395" s="244" t="str">
        <f>IF('HCC Data Entry'!B390="","",'HCC Data Entry'!B390)</f>
        <v/>
      </c>
      <c r="C395" s="244" t="str">
        <f>IF('HCC Data Entry'!C390="","",'HCC Data Entry'!C390)</f>
        <v/>
      </c>
      <c r="D395" s="244" t="str">
        <f>IF('HCC Data Entry'!D390="","",'HCC Data Entry'!D390)</f>
        <v/>
      </c>
      <c r="E395" s="244" t="str">
        <f>IF('HCC Data Entry'!E390="","",'HCC Data Entry'!E390)</f>
        <v/>
      </c>
      <c r="F395" s="246" t="str">
        <f>IF('HCC Data Entry'!F390="","",'HCC Data Entry'!F390)</f>
        <v/>
      </c>
      <c r="G395" s="246" t="str">
        <f>IFERROR(INDEX('HCC Data Entry'!$J$4:$J$22, MATCH('HCC Detail'!$B395,'HCC Data Entry'!$I$4:$I$22,0)),"")</f>
        <v/>
      </c>
      <c r="H395" s="246" t="str">
        <f t="shared" si="21"/>
        <v/>
      </c>
      <c r="I395" s="247" t="str">
        <f t="shared" si="22"/>
        <v/>
      </c>
      <c r="J395" s="246" t="str">
        <f t="shared" si="23"/>
        <v/>
      </c>
    </row>
    <row r="396" spans="2:10" ht="18.5" x14ac:dyDescent="0.45">
      <c r="B396" s="244" t="str">
        <f>IF('HCC Data Entry'!B391="","",'HCC Data Entry'!B391)</f>
        <v/>
      </c>
      <c r="C396" s="244" t="str">
        <f>IF('HCC Data Entry'!C391="","",'HCC Data Entry'!C391)</f>
        <v/>
      </c>
      <c r="D396" s="244" t="str">
        <f>IF('HCC Data Entry'!D391="","",'HCC Data Entry'!D391)</f>
        <v/>
      </c>
      <c r="E396" s="244" t="str">
        <f>IF('HCC Data Entry'!E391="","",'HCC Data Entry'!E391)</f>
        <v/>
      </c>
      <c r="F396" s="246" t="str">
        <f>IF('HCC Data Entry'!F391="","",'HCC Data Entry'!F391)</f>
        <v/>
      </c>
      <c r="G396" s="246" t="str">
        <f>IFERROR(INDEX('HCC Data Entry'!$J$4:$J$22, MATCH('HCC Detail'!$B396,'HCC Data Entry'!$I$4:$I$22,0)),"")</f>
        <v/>
      </c>
      <c r="H396" s="246" t="str">
        <f t="shared" si="21"/>
        <v/>
      </c>
      <c r="I396" s="247" t="str">
        <f t="shared" si="22"/>
        <v/>
      </c>
      <c r="J396" s="246" t="str">
        <f t="shared" si="23"/>
        <v/>
      </c>
    </row>
    <row r="397" spans="2:10" ht="18.5" x14ac:dyDescent="0.45">
      <c r="B397" s="244" t="str">
        <f>IF('HCC Data Entry'!B392="","",'HCC Data Entry'!B392)</f>
        <v/>
      </c>
      <c r="C397" s="244" t="str">
        <f>IF('HCC Data Entry'!C392="","",'HCC Data Entry'!C392)</f>
        <v/>
      </c>
      <c r="D397" s="244" t="str">
        <f>IF('HCC Data Entry'!D392="","",'HCC Data Entry'!D392)</f>
        <v/>
      </c>
      <c r="E397" s="244" t="str">
        <f>IF('HCC Data Entry'!E392="","",'HCC Data Entry'!E392)</f>
        <v/>
      </c>
      <c r="F397" s="246" t="str">
        <f>IF('HCC Data Entry'!F392="","",'HCC Data Entry'!F392)</f>
        <v/>
      </c>
      <c r="G397" s="246" t="str">
        <f>IFERROR(INDEX('HCC Data Entry'!$J$4:$J$22, MATCH('HCC Detail'!$B397,'HCC Data Entry'!$I$4:$I$22,0)),"")</f>
        <v/>
      </c>
      <c r="H397" s="246" t="str">
        <f t="shared" si="21"/>
        <v/>
      </c>
      <c r="I397" s="247" t="str">
        <f t="shared" si="22"/>
        <v/>
      </c>
      <c r="J397" s="246" t="str">
        <f t="shared" si="23"/>
        <v/>
      </c>
    </row>
    <row r="398" spans="2:10" ht="18.5" x14ac:dyDescent="0.45">
      <c r="B398" s="244" t="str">
        <f>IF('HCC Data Entry'!B393="","",'HCC Data Entry'!B393)</f>
        <v/>
      </c>
      <c r="C398" s="244" t="str">
        <f>IF('HCC Data Entry'!C393="","",'HCC Data Entry'!C393)</f>
        <v/>
      </c>
      <c r="D398" s="244" t="str">
        <f>IF('HCC Data Entry'!D393="","",'HCC Data Entry'!D393)</f>
        <v/>
      </c>
      <c r="E398" s="244" t="str">
        <f>IF('HCC Data Entry'!E393="","",'HCC Data Entry'!E393)</f>
        <v/>
      </c>
      <c r="F398" s="246" t="str">
        <f>IF('HCC Data Entry'!F393="","",'HCC Data Entry'!F393)</f>
        <v/>
      </c>
      <c r="G398" s="246" t="str">
        <f>IFERROR(INDEX('HCC Data Entry'!$J$4:$J$22, MATCH('HCC Detail'!$B398,'HCC Data Entry'!$I$4:$I$22,0)),"")</f>
        <v/>
      </c>
      <c r="H398" s="246" t="str">
        <f t="shared" si="21"/>
        <v/>
      </c>
      <c r="I398" s="247" t="str">
        <f t="shared" si="22"/>
        <v/>
      </c>
      <c r="J398" s="246" t="str">
        <f t="shared" si="23"/>
        <v/>
      </c>
    </row>
    <row r="399" spans="2:10" ht="18.5" x14ac:dyDescent="0.45">
      <c r="B399" s="244" t="str">
        <f>IF('HCC Data Entry'!B394="","",'HCC Data Entry'!B394)</f>
        <v/>
      </c>
      <c r="C399" s="244" t="str">
        <f>IF('HCC Data Entry'!C394="","",'HCC Data Entry'!C394)</f>
        <v/>
      </c>
      <c r="D399" s="244" t="str">
        <f>IF('HCC Data Entry'!D394="","",'HCC Data Entry'!D394)</f>
        <v/>
      </c>
      <c r="E399" s="244" t="str">
        <f>IF('HCC Data Entry'!E394="","",'HCC Data Entry'!E394)</f>
        <v/>
      </c>
      <c r="F399" s="246" t="str">
        <f>IF('HCC Data Entry'!F394="","",'HCC Data Entry'!F394)</f>
        <v/>
      </c>
      <c r="G399" s="246" t="str">
        <f>IFERROR(INDEX('HCC Data Entry'!$J$4:$J$22, MATCH('HCC Detail'!$B399,'HCC Data Entry'!$I$4:$I$22,0)),"")</f>
        <v/>
      </c>
      <c r="H399" s="246" t="str">
        <f t="shared" si="21"/>
        <v/>
      </c>
      <c r="I399" s="247" t="str">
        <f t="shared" si="22"/>
        <v/>
      </c>
      <c r="J399" s="246" t="str">
        <f t="shared" si="23"/>
        <v/>
      </c>
    </row>
    <row r="400" spans="2:10" ht="18.5" x14ac:dyDescent="0.45">
      <c r="B400" s="244" t="str">
        <f>IF('HCC Data Entry'!B395="","",'HCC Data Entry'!B395)</f>
        <v/>
      </c>
      <c r="C400" s="244" t="str">
        <f>IF('HCC Data Entry'!C395="","",'HCC Data Entry'!C395)</f>
        <v/>
      </c>
      <c r="D400" s="244" t="str">
        <f>IF('HCC Data Entry'!D395="","",'HCC Data Entry'!D395)</f>
        <v/>
      </c>
      <c r="E400" s="244" t="str">
        <f>IF('HCC Data Entry'!E395="","",'HCC Data Entry'!E395)</f>
        <v/>
      </c>
      <c r="F400" s="246" t="str">
        <f>IF('HCC Data Entry'!F395="","",'HCC Data Entry'!F395)</f>
        <v/>
      </c>
      <c r="G400" s="246" t="str">
        <f>IFERROR(INDEX('HCC Data Entry'!$J$4:$J$22, MATCH('HCC Detail'!$B400,'HCC Data Entry'!$I$4:$I$22,0)),"")</f>
        <v/>
      </c>
      <c r="H400" s="246" t="str">
        <f t="shared" si="21"/>
        <v/>
      </c>
      <c r="I400" s="247" t="str">
        <f t="shared" si="22"/>
        <v/>
      </c>
      <c r="J400" s="246" t="str">
        <f t="shared" si="23"/>
        <v/>
      </c>
    </row>
    <row r="401" spans="2:10" ht="18.5" x14ac:dyDescent="0.45">
      <c r="B401" s="244" t="str">
        <f>IF('HCC Data Entry'!B396="","",'HCC Data Entry'!B396)</f>
        <v/>
      </c>
      <c r="C401" s="244" t="str">
        <f>IF('HCC Data Entry'!C396="","",'HCC Data Entry'!C396)</f>
        <v/>
      </c>
      <c r="D401" s="244" t="str">
        <f>IF('HCC Data Entry'!D396="","",'HCC Data Entry'!D396)</f>
        <v/>
      </c>
      <c r="E401" s="244" t="str">
        <f>IF('HCC Data Entry'!E396="","",'HCC Data Entry'!E396)</f>
        <v/>
      </c>
      <c r="F401" s="246" t="str">
        <f>IF('HCC Data Entry'!F396="","",'HCC Data Entry'!F396)</f>
        <v/>
      </c>
      <c r="G401" s="246" t="str">
        <f>IFERROR(INDEX('HCC Data Entry'!$J$4:$J$22, MATCH('HCC Detail'!$B401,'HCC Data Entry'!$I$4:$I$22,0)),"")</f>
        <v/>
      </c>
      <c r="H401" s="246" t="str">
        <f t="shared" si="21"/>
        <v/>
      </c>
      <c r="I401" s="247" t="str">
        <f t="shared" si="22"/>
        <v/>
      </c>
      <c r="J401" s="246" t="str">
        <f t="shared" si="23"/>
        <v/>
      </c>
    </row>
    <row r="402" spans="2:10" ht="18.5" x14ac:dyDescent="0.45">
      <c r="B402" s="244" t="str">
        <f>IF('HCC Data Entry'!B397="","",'HCC Data Entry'!B397)</f>
        <v/>
      </c>
      <c r="C402" s="244" t="str">
        <f>IF('HCC Data Entry'!C397="","",'HCC Data Entry'!C397)</f>
        <v/>
      </c>
      <c r="D402" s="244" t="str">
        <f>IF('HCC Data Entry'!D397="","",'HCC Data Entry'!D397)</f>
        <v/>
      </c>
      <c r="E402" s="244" t="str">
        <f>IF('HCC Data Entry'!E397="","",'HCC Data Entry'!E397)</f>
        <v/>
      </c>
      <c r="F402" s="246" t="str">
        <f>IF('HCC Data Entry'!F397="","",'HCC Data Entry'!F397)</f>
        <v/>
      </c>
      <c r="G402" s="246" t="str">
        <f>IFERROR(INDEX('HCC Data Entry'!$J$4:$J$22, MATCH('HCC Detail'!$B402,'HCC Data Entry'!$I$4:$I$22,0)),"")</f>
        <v/>
      </c>
      <c r="H402" s="246" t="str">
        <f t="shared" si="21"/>
        <v/>
      </c>
      <c r="I402" s="247" t="str">
        <f t="shared" si="22"/>
        <v/>
      </c>
      <c r="J402" s="246" t="str">
        <f t="shared" si="23"/>
        <v/>
      </c>
    </row>
    <row r="403" spans="2:10" ht="18.5" x14ac:dyDescent="0.45">
      <c r="B403" s="244" t="str">
        <f>IF('HCC Data Entry'!B398="","",'HCC Data Entry'!B398)</f>
        <v/>
      </c>
      <c r="C403" s="244" t="str">
        <f>IF('HCC Data Entry'!C398="","",'HCC Data Entry'!C398)</f>
        <v/>
      </c>
      <c r="D403" s="244" t="str">
        <f>IF('HCC Data Entry'!D398="","",'HCC Data Entry'!D398)</f>
        <v/>
      </c>
      <c r="E403" s="244" t="str">
        <f>IF('HCC Data Entry'!E398="","",'HCC Data Entry'!E398)</f>
        <v/>
      </c>
      <c r="F403" s="246" t="str">
        <f>IF('HCC Data Entry'!F398="","",'HCC Data Entry'!F398)</f>
        <v/>
      </c>
      <c r="G403" s="246" t="str">
        <f>IFERROR(INDEX('HCC Data Entry'!$J$4:$J$22, MATCH('HCC Detail'!$B403,'HCC Data Entry'!$I$4:$I$22,0)),"")</f>
        <v/>
      </c>
      <c r="H403" s="246" t="str">
        <f t="shared" si="21"/>
        <v/>
      </c>
      <c r="I403" s="247" t="str">
        <f t="shared" si="22"/>
        <v/>
      </c>
      <c r="J403" s="246" t="str">
        <f t="shared" si="23"/>
        <v/>
      </c>
    </row>
    <row r="404" spans="2:10" ht="18.5" x14ac:dyDescent="0.45">
      <c r="B404" s="244" t="str">
        <f>IF('HCC Data Entry'!B399="","",'HCC Data Entry'!B399)</f>
        <v/>
      </c>
      <c r="C404" s="244" t="str">
        <f>IF('HCC Data Entry'!C399="","",'HCC Data Entry'!C399)</f>
        <v/>
      </c>
      <c r="D404" s="244" t="str">
        <f>IF('HCC Data Entry'!D399="","",'HCC Data Entry'!D399)</f>
        <v/>
      </c>
      <c r="E404" s="244" t="str">
        <f>IF('HCC Data Entry'!E399="","",'HCC Data Entry'!E399)</f>
        <v/>
      </c>
      <c r="F404" s="246" t="str">
        <f>IF('HCC Data Entry'!F399="","",'HCC Data Entry'!F399)</f>
        <v/>
      </c>
      <c r="G404" s="246" t="str">
        <f>IFERROR(INDEX('HCC Data Entry'!$J$4:$J$22, MATCH('HCC Detail'!$B404,'HCC Data Entry'!$I$4:$I$22,0)),"")</f>
        <v/>
      </c>
      <c r="H404" s="246" t="str">
        <f t="shared" si="21"/>
        <v/>
      </c>
      <c r="I404" s="247" t="str">
        <f t="shared" si="22"/>
        <v/>
      </c>
      <c r="J404" s="246" t="str">
        <f t="shared" si="23"/>
        <v/>
      </c>
    </row>
    <row r="405" spans="2:10" ht="18.5" x14ac:dyDescent="0.45">
      <c r="B405" s="244" t="str">
        <f>IF('HCC Data Entry'!B400="","",'HCC Data Entry'!B400)</f>
        <v/>
      </c>
      <c r="C405" s="244" t="str">
        <f>IF('HCC Data Entry'!C400="","",'HCC Data Entry'!C400)</f>
        <v/>
      </c>
      <c r="D405" s="244" t="str">
        <f>IF('HCC Data Entry'!D400="","",'HCC Data Entry'!D400)</f>
        <v/>
      </c>
      <c r="E405" s="244" t="str">
        <f>IF('HCC Data Entry'!E400="","",'HCC Data Entry'!E400)</f>
        <v/>
      </c>
      <c r="F405" s="246" t="str">
        <f>IF('HCC Data Entry'!F400="","",'HCC Data Entry'!F400)</f>
        <v/>
      </c>
      <c r="G405" s="246" t="str">
        <f>IFERROR(INDEX('HCC Data Entry'!$J$4:$J$22, MATCH('HCC Detail'!$B405,'HCC Data Entry'!$I$4:$I$22,0)),"")</f>
        <v/>
      </c>
      <c r="H405" s="246" t="str">
        <f t="shared" si="21"/>
        <v/>
      </c>
      <c r="I405" s="247" t="str">
        <f t="shared" si="22"/>
        <v/>
      </c>
      <c r="J405" s="246" t="str">
        <f t="shared" si="23"/>
        <v/>
      </c>
    </row>
    <row r="406" spans="2:10" ht="18.5" x14ac:dyDescent="0.45">
      <c r="B406" s="244" t="str">
        <f>IF('HCC Data Entry'!B401="","",'HCC Data Entry'!B401)</f>
        <v/>
      </c>
      <c r="C406" s="244" t="str">
        <f>IF('HCC Data Entry'!C401="","",'HCC Data Entry'!C401)</f>
        <v/>
      </c>
      <c r="D406" s="244" t="str">
        <f>IF('HCC Data Entry'!D401="","",'HCC Data Entry'!D401)</f>
        <v/>
      </c>
      <c r="E406" s="244" t="str">
        <f>IF('HCC Data Entry'!E401="","",'HCC Data Entry'!E401)</f>
        <v/>
      </c>
      <c r="F406" s="246" t="str">
        <f>IF('HCC Data Entry'!F401="","",'HCC Data Entry'!F401)</f>
        <v/>
      </c>
      <c r="G406" s="246" t="str">
        <f>IFERROR(INDEX('HCC Data Entry'!$J$4:$J$22, MATCH('HCC Detail'!$B406,'HCC Data Entry'!$I$4:$I$22,0)),"")</f>
        <v/>
      </c>
      <c r="H406" s="246" t="str">
        <f t="shared" si="21"/>
        <v/>
      </c>
      <c r="I406" s="247" t="str">
        <f t="shared" si="22"/>
        <v/>
      </c>
      <c r="J406" s="246" t="str">
        <f t="shared" si="23"/>
        <v/>
      </c>
    </row>
    <row r="407" spans="2:10" ht="18.5" x14ac:dyDescent="0.45">
      <c r="B407" s="244" t="str">
        <f>IF('HCC Data Entry'!B402="","",'HCC Data Entry'!B402)</f>
        <v/>
      </c>
      <c r="C407" s="244" t="str">
        <f>IF('HCC Data Entry'!C402="","",'HCC Data Entry'!C402)</f>
        <v/>
      </c>
      <c r="D407" s="244" t="str">
        <f>IF('HCC Data Entry'!D402="","",'HCC Data Entry'!D402)</f>
        <v/>
      </c>
      <c r="E407" s="244" t="str">
        <f>IF('HCC Data Entry'!E402="","",'HCC Data Entry'!E402)</f>
        <v/>
      </c>
      <c r="F407" s="246" t="str">
        <f>IF('HCC Data Entry'!F402="","",'HCC Data Entry'!F402)</f>
        <v/>
      </c>
      <c r="G407" s="246" t="str">
        <f>IFERROR(INDEX('HCC Data Entry'!$J$4:$J$22, MATCH('HCC Detail'!$B407,'HCC Data Entry'!$I$4:$I$22,0)),"")</f>
        <v/>
      </c>
      <c r="H407" s="246" t="str">
        <f t="shared" si="21"/>
        <v/>
      </c>
      <c r="I407" s="247" t="str">
        <f t="shared" si="22"/>
        <v/>
      </c>
      <c r="J407" s="246" t="str">
        <f t="shared" si="23"/>
        <v/>
      </c>
    </row>
    <row r="408" spans="2:10" ht="18.5" x14ac:dyDescent="0.45">
      <c r="B408" s="244" t="str">
        <f>IF('HCC Data Entry'!B403="","",'HCC Data Entry'!B403)</f>
        <v/>
      </c>
      <c r="C408" s="244" t="str">
        <f>IF('HCC Data Entry'!C403="","",'HCC Data Entry'!C403)</f>
        <v/>
      </c>
      <c r="D408" s="244" t="str">
        <f>IF('HCC Data Entry'!D403="","",'HCC Data Entry'!D403)</f>
        <v/>
      </c>
      <c r="E408" s="244" t="str">
        <f>IF('HCC Data Entry'!E403="","",'HCC Data Entry'!E403)</f>
        <v/>
      </c>
      <c r="F408" s="246" t="str">
        <f>IF('HCC Data Entry'!F403="","",'HCC Data Entry'!F403)</f>
        <v/>
      </c>
      <c r="G408" s="246" t="str">
        <f>IFERROR(INDEX('HCC Data Entry'!$J$4:$J$22, MATCH('HCC Detail'!$B408,'HCC Data Entry'!$I$4:$I$22,0)),"")</f>
        <v/>
      </c>
      <c r="H408" s="246" t="str">
        <f t="shared" si="21"/>
        <v/>
      </c>
      <c r="I408" s="247" t="str">
        <f t="shared" si="22"/>
        <v/>
      </c>
      <c r="J408" s="246" t="str">
        <f t="shared" si="23"/>
        <v/>
      </c>
    </row>
    <row r="409" spans="2:10" ht="18.5" x14ac:dyDescent="0.45">
      <c r="B409" s="244" t="str">
        <f>IF('HCC Data Entry'!B404="","",'HCC Data Entry'!B404)</f>
        <v/>
      </c>
      <c r="C409" s="244" t="str">
        <f>IF('HCC Data Entry'!C404="","",'HCC Data Entry'!C404)</f>
        <v/>
      </c>
      <c r="D409" s="244" t="str">
        <f>IF('HCC Data Entry'!D404="","",'HCC Data Entry'!D404)</f>
        <v/>
      </c>
      <c r="E409" s="244" t="str">
        <f>IF('HCC Data Entry'!E404="","",'HCC Data Entry'!E404)</f>
        <v/>
      </c>
      <c r="F409" s="246" t="str">
        <f>IF('HCC Data Entry'!F404="","",'HCC Data Entry'!F404)</f>
        <v/>
      </c>
      <c r="G409" s="246" t="str">
        <f>IFERROR(INDEX('HCC Data Entry'!$J$4:$J$22, MATCH('HCC Detail'!$B409,'HCC Data Entry'!$I$4:$I$22,0)),"")</f>
        <v/>
      </c>
      <c r="H409" s="246" t="str">
        <f t="shared" si="21"/>
        <v/>
      </c>
      <c r="I409" s="247" t="str">
        <f t="shared" si="22"/>
        <v/>
      </c>
      <c r="J409" s="246" t="str">
        <f t="shared" si="23"/>
        <v/>
      </c>
    </row>
    <row r="410" spans="2:10" ht="18.5" x14ac:dyDescent="0.45">
      <c r="B410" s="244" t="str">
        <f>IF('HCC Data Entry'!B405="","",'HCC Data Entry'!B405)</f>
        <v/>
      </c>
      <c r="C410" s="244" t="str">
        <f>IF('HCC Data Entry'!C405="","",'HCC Data Entry'!C405)</f>
        <v/>
      </c>
      <c r="D410" s="244" t="str">
        <f>IF('HCC Data Entry'!D405="","",'HCC Data Entry'!D405)</f>
        <v/>
      </c>
      <c r="E410" s="244" t="str">
        <f>IF('HCC Data Entry'!E405="","",'HCC Data Entry'!E405)</f>
        <v/>
      </c>
      <c r="F410" s="246" t="str">
        <f>IF('HCC Data Entry'!F405="","",'HCC Data Entry'!F405)</f>
        <v/>
      </c>
      <c r="G410" s="246" t="str">
        <f>IFERROR(INDEX('HCC Data Entry'!$J$4:$J$22, MATCH('HCC Detail'!$B410,'HCC Data Entry'!$I$4:$I$22,0)),"")</f>
        <v/>
      </c>
      <c r="H410" s="246" t="str">
        <f t="shared" si="21"/>
        <v/>
      </c>
      <c r="I410" s="247" t="str">
        <f t="shared" si="22"/>
        <v/>
      </c>
      <c r="J410" s="246" t="str">
        <f t="shared" si="23"/>
        <v/>
      </c>
    </row>
    <row r="411" spans="2:10" ht="18.5" x14ac:dyDescent="0.45">
      <c r="B411" s="244" t="str">
        <f>IF('HCC Data Entry'!B406="","",'HCC Data Entry'!B406)</f>
        <v/>
      </c>
      <c r="C411" s="244" t="str">
        <f>IF('HCC Data Entry'!C406="","",'HCC Data Entry'!C406)</f>
        <v/>
      </c>
      <c r="D411" s="244" t="str">
        <f>IF('HCC Data Entry'!D406="","",'HCC Data Entry'!D406)</f>
        <v/>
      </c>
      <c r="E411" s="244" t="str">
        <f>IF('HCC Data Entry'!E406="","",'HCC Data Entry'!E406)</f>
        <v/>
      </c>
      <c r="F411" s="246" t="str">
        <f>IF('HCC Data Entry'!F406="","",'HCC Data Entry'!F406)</f>
        <v/>
      </c>
      <c r="G411" s="246" t="str">
        <f>IFERROR(INDEX('HCC Data Entry'!$J$4:$J$22, MATCH('HCC Detail'!$B411,'HCC Data Entry'!$I$4:$I$22,0)),"")</f>
        <v/>
      </c>
      <c r="H411" s="246" t="str">
        <f t="shared" si="21"/>
        <v/>
      </c>
      <c r="I411" s="247" t="str">
        <f t="shared" si="22"/>
        <v/>
      </c>
      <c r="J411" s="246" t="str">
        <f t="shared" si="23"/>
        <v/>
      </c>
    </row>
    <row r="412" spans="2:10" ht="18.5" x14ac:dyDescent="0.45">
      <c r="B412" s="244" t="str">
        <f>IF('HCC Data Entry'!B407="","",'HCC Data Entry'!B407)</f>
        <v/>
      </c>
      <c r="C412" s="244" t="str">
        <f>IF('HCC Data Entry'!C407="","",'HCC Data Entry'!C407)</f>
        <v/>
      </c>
      <c r="D412" s="244" t="str">
        <f>IF('HCC Data Entry'!D407="","",'HCC Data Entry'!D407)</f>
        <v/>
      </c>
      <c r="E412" s="244" t="str">
        <f>IF('HCC Data Entry'!E407="","",'HCC Data Entry'!E407)</f>
        <v/>
      </c>
      <c r="F412" s="246" t="str">
        <f>IF('HCC Data Entry'!F407="","",'HCC Data Entry'!F407)</f>
        <v/>
      </c>
      <c r="G412" s="246" t="str">
        <f>IFERROR(INDEX('HCC Data Entry'!$J$4:$J$22, MATCH('HCC Detail'!$B412,'HCC Data Entry'!$I$4:$I$22,0)),"")</f>
        <v/>
      </c>
      <c r="H412" s="246" t="str">
        <f t="shared" si="21"/>
        <v/>
      </c>
      <c r="I412" s="247" t="str">
        <f t="shared" si="22"/>
        <v/>
      </c>
      <c r="J412" s="246" t="str">
        <f t="shared" si="23"/>
        <v/>
      </c>
    </row>
    <row r="413" spans="2:10" ht="18.5" x14ac:dyDescent="0.45">
      <c r="B413" s="244" t="str">
        <f>IF('HCC Data Entry'!B408="","",'HCC Data Entry'!B408)</f>
        <v/>
      </c>
      <c r="C413" s="244" t="str">
        <f>IF('HCC Data Entry'!C408="","",'HCC Data Entry'!C408)</f>
        <v/>
      </c>
      <c r="D413" s="244" t="str">
        <f>IF('HCC Data Entry'!D408="","",'HCC Data Entry'!D408)</f>
        <v/>
      </c>
      <c r="E413" s="244" t="str">
        <f>IF('HCC Data Entry'!E408="","",'HCC Data Entry'!E408)</f>
        <v/>
      </c>
      <c r="F413" s="246" t="str">
        <f>IF('HCC Data Entry'!F408="","",'HCC Data Entry'!F408)</f>
        <v/>
      </c>
      <c r="G413" s="246" t="str">
        <f>IFERROR(INDEX('HCC Data Entry'!$J$4:$J$22, MATCH('HCC Detail'!$B413,'HCC Data Entry'!$I$4:$I$22,0)),"")</f>
        <v/>
      </c>
      <c r="H413" s="246" t="str">
        <f t="shared" si="21"/>
        <v/>
      </c>
      <c r="I413" s="247" t="str">
        <f t="shared" si="22"/>
        <v/>
      </c>
      <c r="J413" s="246" t="str">
        <f t="shared" si="23"/>
        <v/>
      </c>
    </row>
    <row r="414" spans="2:10" ht="18.5" x14ac:dyDescent="0.45">
      <c r="B414" s="244" t="str">
        <f>IF('HCC Data Entry'!B409="","",'HCC Data Entry'!B409)</f>
        <v/>
      </c>
      <c r="C414" s="244" t="str">
        <f>IF('HCC Data Entry'!C409="","",'HCC Data Entry'!C409)</f>
        <v/>
      </c>
      <c r="D414" s="244" t="str">
        <f>IF('HCC Data Entry'!D409="","",'HCC Data Entry'!D409)</f>
        <v/>
      </c>
      <c r="E414" s="244" t="str">
        <f>IF('HCC Data Entry'!E409="","",'HCC Data Entry'!E409)</f>
        <v/>
      </c>
      <c r="F414" s="246" t="str">
        <f>IF('HCC Data Entry'!F409="","",'HCC Data Entry'!F409)</f>
        <v/>
      </c>
      <c r="G414" s="246" t="str">
        <f>IFERROR(INDEX('HCC Data Entry'!$J$4:$J$22, MATCH('HCC Detail'!$B414,'HCC Data Entry'!$I$4:$I$22,0)),"")</f>
        <v/>
      </c>
      <c r="H414" s="246" t="str">
        <f t="shared" si="21"/>
        <v/>
      </c>
      <c r="I414" s="247" t="str">
        <f t="shared" si="22"/>
        <v/>
      </c>
      <c r="J414" s="246" t="str">
        <f t="shared" si="23"/>
        <v/>
      </c>
    </row>
    <row r="415" spans="2:10" ht="18.5" x14ac:dyDescent="0.45">
      <c r="B415" s="244" t="str">
        <f>IF('HCC Data Entry'!B410="","",'HCC Data Entry'!B410)</f>
        <v/>
      </c>
      <c r="C415" s="244" t="str">
        <f>IF('HCC Data Entry'!C410="","",'HCC Data Entry'!C410)</f>
        <v/>
      </c>
      <c r="D415" s="244" t="str">
        <f>IF('HCC Data Entry'!D410="","",'HCC Data Entry'!D410)</f>
        <v/>
      </c>
      <c r="E415" s="244" t="str">
        <f>IF('HCC Data Entry'!E410="","",'HCC Data Entry'!E410)</f>
        <v/>
      </c>
      <c r="F415" s="246" t="str">
        <f>IF('HCC Data Entry'!F410="","",'HCC Data Entry'!F410)</f>
        <v/>
      </c>
      <c r="G415" s="246" t="str">
        <f>IFERROR(INDEX('HCC Data Entry'!$J$4:$J$22, MATCH('HCC Detail'!$B415,'HCC Data Entry'!$I$4:$I$22,0)),"")</f>
        <v/>
      </c>
      <c r="H415" s="246" t="str">
        <f t="shared" si="21"/>
        <v/>
      </c>
      <c r="I415" s="247" t="str">
        <f t="shared" si="22"/>
        <v/>
      </c>
      <c r="J415" s="246" t="str">
        <f t="shared" si="23"/>
        <v/>
      </c>
    </row>
    <row r="416" spans="2:10" ht="18.5" x14ac:dyDescent="0.45">
      <c r="B416" s="244" t="str">
        <f>IF('HCC Data Entry'!B411="","",'HCC Data Entry'!B411)</f>
        <v/>
      </c>
      <c r="C416" s="244" t="str">
        <f>IF('HCC Data Entry'!C411="","",'HCC Data Entry'!C411)</f>
        <v/>
      </c>
      <c r="D416" s="244" t="str">
        <f>IF('HCC Data Entry'!D411="","",'HCC Data Entry'!D411)</f>
        <v/>
      </c>
      <c r="E416" s="244" t="str">
        <f>IF('HCC Data Entry'!E411="","",'HCC Data Entry'!E411)</f>
        <v/>
      </c>
      <c r="F416" s="246" t="str">
        <f>IF('HCC Data Entry'!F411="","",'HCC Data Entry'!F411)</f>
        <v/>
      </c>
      <c r="G416" s="246" t="str">
        <f>IFERROR(INDEX('HCC Data Entry'!$J$4:$J$22, MATCH('HCC Detail'!$B416,'HCC Data Entry'!$I$4:$I$22,0)),"")</f>
        <v/>
      </c>
      <c r="H416" s="246" t="str">
        <f t="shared" si="21"/>
        <v/>
      </c>
      <c r="I416" s="247" t="str">
        <f t="shared" si="22"/>
        <v/>
      </c>
      <c r="J416" s="246" t="str">
        <f t="shared" si="23"/>
        <v/>
      </c>
    </row>
    <row r="417" spans="2:10" ht="18.5" x14ac:dyDescent="0.45">
      <c r="B417" s="244" t="str">
        <f>IF('HCC Data Entry'!B412="","",'HCC Data Entry'!B412)</f>
        <v/>
      </c>
      <c r="C417" s="244" t="str">
        <f>IF('HCC Data Entry'!C412="","",'HCC Data Entry'!C412)</f>
        <v/>
      </c>
      <c r="D417" s="244" t="str">
        <f>IF('HCC Data Entry'!D412="","",'HCC Data Entry'!D412)</f>
        <v/>
      </c>
      <c r="E417" s="244" t="str">
        <f>IF('HCC Data Entry'!E412="","",'HCC Data Entry'!E412)</f>
        <v/>
      </c>
      <c r="F417" s="246" t="str">
        <f>IF('HCC Data Entry'!F412="","",'HCC Data Entry'!F412)</f>
        <v/>
      </c>
      <c r="G417" s="246" t="str">
        <f>IFERROR(INDEX('HCC Data Entry'!$J$4:$J$22, MATCH('HCC Detail'!$B417,'HCC Data Entry'!$I$4:$I$22,0)),"")</f>
        <v/>
      </c>
      <c r="H417" s="246" t="str">
        <f t="shared" si="21"/>
        <v/>
      </c>
      <c r="I417" s="247" t="str">
        <f t="shared" si="22"/>
        <v/>
      </c>
      <c r="J417" s="246" t="str">
        <f t="shared" si="23"/>
        <v/>
      </c>
    </row>
    <row r="418" spans="2:10" ht="18.5" x14ac:dyDescent="0.45">
      <c r="B418" s="244" t="str">
        <f>IF('HCC Data Entry'!B413="","",'HCC Data Entry'!B413)</f>
        <v/>
      </c>
      <c r="C418" s="244" t="str">
        <f>IF('HCC Data Entry'!C413="","",'HCC Data Entry'!C413)</f>
        <v/>
      </c>
      <c r="D418" s="244" t="str">
        <f>IF('HCC Data Entry'!D413="","",'HCC Data Entry'!D413)</f>
        <v/>
      </c>
      <c r="E418" s="244" t="str">
        <f>IF('HCC Data Entry'!E413="","",'HCC Data Entry'!E413)</f>
        <v/>
      </c>
      <c r="F418" s="246" t="str">
        <f>IF('HCC Data Entry'!F413="","",'HCC Data Entry'!F413)</f>
        <v/>
      </c>
      <c r="G418" s="246" t="str">
        <f>IFERROR(INDEX('HCC Data Entry'!$J$4:$J$22, MATCH('HCC Detail'!$B418,'HCC Data Entry'!$I$4:$I$22,0)),"")</f>
        <v/>
      </c>
      <c r="H418" s="246" t="str">
        <f t="shared" si="21"/>
        <v/>
      </c>
      <c r="I418" s="247" t="str">
        <f t="shared" si="22"/>
        <v/>
      </c>
      <c r="J418" s="246" t="str">
        <f t="shared" si="23"/>
        <v/>
      </c>
    </row>
    <row r="419" spans="2:10" ht="18.5" x14ac:dyDescent="0.45">
      <c r="B419" s="244" t="str">
        <f>IF('HCC Data Entry'!B414="","",'HCC Data Entry'!B414)</f>
        <v/>
      </c>
      <c r="C419" s="244" t="str">
        <f>IF('HCC Data Entry'!C414="","",'HCC Data Entry'!C414)</f>
        <v/>
      </c>
      <c r="D419" s="244" t="str">
        <f>IF('HCC Data Entry'!D414="","",'HCC Data Entry'!D414)</f>
        <v/>
      </c>
      <c r="E419" s="244" t="str">
        <f>IF('HCC Data Entry'!E414="","",'HCC Data Entry'!E414)</f>
        <v/>
      </c>
      <c r="F419" s="246" t="str">
        <f>IF('HCC Data Entry'!F414="","",'HCC Data Entry'!F414)</f>
        <v/>
      </c>
      <c r="G419" s="246" t="str">
        <f>IFERROR(INDEX('HCC Data Entry'!$J$4:$J$22, MATCH('HCC Detail'!$B419,'HCC Data Entry'!$I$4:$I$22,0)),"")</f>
        <v/>
      </c>
      <c r="H419" s="246" t="str">
        <f t="shared" si="21"/>
        <v/>
      </c>
      <c r="I419" s="247" t="str">
        <f t="shared" si="22"/>
        <v/>
      </c>
      <c r="J419" s="246" t="str">
        <f t="shared" si="23"/>
        <v/>
      </c>
    </row>
    <row r="420" spans="2:10" ht="18.5" x14ac:dyDescent="0.45">
      <c r="B420" s="244" t="str">
        <f>IF('HCC Data Entry'!B415="","",'HCC Data Entry'!B415)</f>
        <v/>
      </c>
      <c r="C420" s="244" t="str">
        <f>IF('HCC Data Entry'!C415="","",'HCC Data Entry'!C415)</f>
        <v/>
      </c>
      <c r="D420" s="244" t="str">
        <f>IF('HCC Data Entry'!D415="","",'HCC Data Entry'!D415)</f>
        <v/>
      </c>
      <c r="E420" s="244" t="str">
        <f>IF('HCC Data Entry'!E415="","",'HCC Data Entry'!E415)</f>
        <v/>
      </c>
      <c r="F420" s="246" t="str">
        <f>IF('HCC Data Entry'!F415="","",'HCC Data Entry'!F415)</f>
        <v/>
      </c>
      <c r="G420" s="246" t="str">
        <f>IFERROR(INDEX('HCC Data Entry'!$J$4:$J$22, MATCH('HCC Detail'!$B420,'HCC Data Entry'!$I$4:$I$22,0)),"")</f>
        <v/>
      </c>
      <c r="H420" s="246" t="str">
        <f t="shared" si="21"/>
        <v/>
      </c>
      <c r="I420" s="247" t="str">
        <f t="shared" si="22"/>
        <v/>
      </c>
      <c r="J420" s="246" t="str">
        <f t="shared" si="23"/>
        <v/>
      </c>
    </row>
    <row r="421" spans="2:10" ht="18.5" x14ac:dyDescent="0.45">
      <c r="B421" s="244" t="str">
        <f>IF('HCC Data Entry'!B416="","",'HCC Data Entry'!B416)</f>
        <v/>
      </c>
      <c r="C421" s="244" t="str">
        <f>IF('HCC Data Entry'!C416="","",'HCC Data Entry'!C416)</f>
        <v/>
      </c>
      <c r="D421" s="244" t="str">
        <f>IF('HCC Data Entry'!D416="","",'HCC Data Entry'!D416)</f>
        <v/>
      </c>
      <c r="E421" s="244" t="str">
        <f>IF('HCC Data Entry'!E416="","",'HCC Data Entry'!E416)</f>
        <v/>
      </c>
      <c r="F421" s="246" t="str">
        <f>IF('HCC Data Entry'!F416="","",'HCC Data Entry'!F416)</f>
        <v/>
      </c>
      <c r="G421" s="246" t="str">
        <f>IFERROR(INDEX('HCC Data Entry'!$J$4:$J$22, MATCH('HCC Detail'!$B421,'HCC Data Entry'!$I$4:$I$22,0)),"")</f>
        <v/>
      </c>
      <c r="H421" s="246" t="str">
        <f t="shared" si="21"/>
        <v/>
      </c>
      <c r="I421" s="247" t="str">
        <f t="shared" si="22"/>
        <v/>
      </c>
      <c r="J421" s="246" t="str">
        <f t="shared" si="23"/>
        <v/>
      </c>
    </row>
    <row r="422" spans="2:10" ht="18.5" x14ac:dyDescent="0.45">
      <c r="B422" s="244" t="str">
        <f>IF('HCC Data Entry'!B417="","",'HCC Data Entry'!B417)</f>
        <v/>
      </c>
      <c r="C422" s="244" t="str">
        <f>IF('HCC Data Entry'!C417="","",'HCC Data Entry'!C417)</f>
        <v/>
      </c>
      <c r="D422" s="244" t="str">
        <f>IF('HCC Data Entry'!D417="","",'HCC Data Entry'!D417)</f>
        <v/>
      </c>
      <c r="E422" s="244" t="str">
        <f>IF('HCC Data Entry'!E417="","",'HCC Data Entry'!E417)</f>
        <v/>
      </c>
      <c r="F422" s="246" t="str">
        <f>IF('HCC Data Entry'!F417="","",'HCC Data Entry'!F417)</f>
        <v/>
      </c>
      <c r="G422" s="246" t="str">
        <f>IFERROR(INDEX('HCC Data Entry'!$J$4:$J$22, MATCH('HCC Detail'!$B422,'HCC Data Entry'!$I$4:$I$22,0)),"")</f>
        <v/>
      </c>
      <c r="H422" s="246" t="str">
        <f t="shared" si="21"/>
        <v/>
      </c>
      <c r="I422" s="247" t="str">
        <f t="shared" si="22"/>
        <v/>
      </c>
      <c r="J422" s="246" t="str">
        <f t="shared" si="23"/>
        <v/>
      </c>
    </row>
    <row r="423" spans="2:10" ht="18.5" x14ac:dyDescent="0.45">
      <c r="B423" s="244" t="str">
        <f>IF('HCC Data Entry'!B418="","",'HCC Data Entry'!B418)</f>
        <v/>
      </c>
      <c r="C423" s="244" t="str">
        <f>IF('HCC Data Entry'!C418="","",'HCC Data Entry'!C418)</f>
        <v/>
      </c>
      <c r="D423" s="244" t="str">
        <f>IF('HCC Data Entry'!D418="","",'HCC Data Entry'!D418)</f>
        <v/>
      </c>
      <c r="E423" s="244" t="str">
        <f>IF('HCC Data Entry'!E418="","",'HCC Data Entry'!E418)</f>
        <v/>
      </c>
      <c r="F423" s="246" t="str">
        <f>IF('HCC Data Entry'!F418="","",'HCC Data Entry'!F418)</f>
        <v/>
      </c>
      <c r="G423" s="246" t="str">
        <f>IFERROR(INDEX('HCC Data Entry'!$J$4:$J$22, MATCH('HCC Detail'!$B423,'HCC Data Entry'!$I$4:$I$22,0)),"")</f>
        <v/>
      </c>
      <c r="H423" s="246" t="str">
        <f t="shared" si="21"/>
        <v/>
      </c>
      <c r="I423" s="247" t="str">
        <f t="shared" si="22"/>
        <v/>
      </c>
      <c r="J423" s="246" t="str">
        <f t="shared" si="23"/>
        <v/>
      </c>
    </row>
    <row r="424" spans="2:10" ht="18.5" x14ac:dyDescent="0.45">
      <c r="B424" s="244" t="str">
        <f>IF('HCC Data Entry'!B419="","",'HCC Data Entry'!B419)</f>
        <v/>
      </c>
      <c r="C424" s="244" t="str">
        <f>IF('HCC Data Entry'!C419="","",'HCC Data Entry'!C419)</f>
        <v/>
      </c>
      <c r="D424" s="244" t="str">
        <f>IF('HCC Data Entry'!D419="","",'HCC Data Entry'!D419)</f>
        <v/>
      </c>
      <c r="E424" s="244" t="str">
        <f>IF('HCC Data Entry'!E419="","",'HCC Data Entry'!E419)</f>
        <v/>
      </c>
      <c r="F424" s="246" t="str">
        <f>IF('HCC Data Entry'!F419="","",'HCC Data Entry'!F419)</f>
        <v/>
      </c>
      <c r="G424" s="246" t="str">
        <f>IFERROR(INDEX('HCC Data Entry'!$J$4:$J$22, MATCH('HCC Detail'!$B424,'HCC Data Entry'!$I$4:$I$22,0)),"")</f>
        <v/>
      </c>
      <c r="H424" s="246" t="str">
        <f t="shared" si="21"/>
        <v/>
      </c>
      <c r="I424" s="247" t="str">
        <f t="shared" si="22"/>
        <v/>
      </c>
      <c r="J424" s="246" t="str">
        <f t="shared" si="23"/>
        <v/>
      </c>
    </row>
    <row r="425" spans="2:10" ht="18.5" x14ac:dyDescent="0.45">
      <c r="B425" s="244" t="str">
        <f>IF('HCC Data Entry'!B420="","",'HCC Data Entry'!B420)</f>
        <v/>
      </c>
      <c r="C425" s="244" t="str">
        <f>IF('HCC Data Entry'!C420="","",'HCC Data Entry'!C420)</f>
        <v/>
      </c>
      <c r="D425" s="244" t="str">
        <f>IF('HCC Data Entry'!D420="","",'HCC Data Entry'!D420)</f>
        <v/>
      </c>
      <c r="E425" s="244" t="str">
        <f>IF('HCC Data Entry'!E420="","",'HCC Data Entry'!E420)</f>
        <v/>
      </c>
      <c r="F425" s="246" t="str">
        <f>IF('HCC Data Entry'!F420="","",'HCC Data Entry'!F420)</f>
        <v/>
      </c>
      <c r="G425" s="246" t="str">
        <f>IFERROR(INDEX('HCC Data Entry'!$J$4:$J$22, MATCH('HCC Detail'!$B425,'HCC Data Entry'!$I$4:$I$22,0)),"")</f>
        <v/>
      </c>
      <c r="H425" s="246" t="str">
        <f t="shared" si="21"/>
        <v/>
      </c>
      <c r="I425" s="247" t="str">
        <f t="shared" si="22"/>
        <v/>
      </c>
      <c r="J425" s="246" t="str">
        <f t="shared" si="23"/>
        <v/>
      </c>
    </row>
    <row r="426" spans="2:10" ht="18.5" x14ac:dyDescent="0.45">
      <c r="B426" s="244" t="str">
        <f>IF('HCC Data Entry'!B421="","",'HCC Data Entry'!B421)</f>
        <v/>
      </c>
      <c r="C426" s="244" t="str">
        <f>IF('HCC Data Entry'!C421="","",'HCC Data Entry'!C421)</f>
        <v/>
      </c>
      <c r="D426" s="244" t="str">
        <f>IF('HCC Data Entry'!D421="","",'HCC Data Entry'!D421)</f>
        <v/>
      </c>
      <c r="E426" s="244" t="str">
        <f>IF('HCC Data Entry'!E421="","",'HCC Data Entry'!E421)</f>
        <v/>
      </c>
      <c r="F426" s="246" t="str">
        <f>IF('HCC Data Entry'!F421="","",'HCC Data Entry'!F421)</f>
        <v/>
      </c>
      <c r="G426" s="246" t="str">
        <f>IFERROR(INDEX('HCC Data Entry'!$J$4:$J$22, MATCH('HCC Detail'!$B426,'HCC Data Entry'!$I$4:$I$22,0)),"")</f>
        <v/>
      </c>
      <c r="H426" s="246" t="str">
        <f t="shared" si="21"/>
        <v/>
      </c>
      <c r="I426" s="247" t="str">
        <f t="shared" si="22"/>
        <v/>
      </c>
      <c r="J426" s="246" t="str">
        <f t="shared" si="23"/>
        <v/>
      </c>
    </row>
    <row r="427" spans="2:10" ht="18.5" x14ac:dyDescent="0.45">
      <c r="B427" s="244" t="str">
        <f>IF('HCC Data Entry'!B422="","",'HCC Data Entry'!B422)</f>
        <v/>
      </c>
      <c r="C427" s="244" t="str">
        <f>IF('HCC Data Entry'!C422="","",'HCC Data Entry'!C422)</f>
        <v/>
      </c>
      <c r="D427" s="244" t="str">
        <f>IF('HCC Data Entry'!D422="","",'HCC Data Entry'!D422)</f>
        <v/>
      </c>
      <c r="E427" s="244" t="str">
        <f>IF('HCC Data Entry'!E422="","",'HCC Data Entry'!E422)</f>
        <v/>
      </c>
      <c r="F427" s="246" t="str">
        <f>IF('HCC Data Entry'!F422="","",'HCC Data Entry'!F422)</f>
        <v/>
      </c>
      <c r="G427" s="246" t="str">
        <f>IFERROR(INDEX('HCC Data Entry'!$J$4:$J$22, MATCH('HCC Detail'!$B427,'HCC Data Entry'!$I$4:$I$22,0)),"")</f>
        <v/>
      </c>
      <c r="H427" s="246" t="str">
        <f t="shared" si="21"/>
        <v/>
      </c>
      <c r="I427" s="247" t="str">
        <f t="shared" si="22"/>
        <v/>
      </c>
      <c r="J427" s="246" t="str">
        <f t="shared" si="23"/>
        <v/>
      </c>
    </row>
    <row r="428" spans="2:10" ht="18.5" x14ac:dyDescent="0.45">
      <c r="B428" s="244" t="str">
        <f>IF('HCC Data Entry'!B423="","",'HCC Data Entry'!B423)</f>
        <v/>
      </c>
      <c r="C428" s="244" t="str">
        <f>IF('HCC Data Entry'!C423="","",'HCC Data Entry'!C423)</f>
        <v/>
      </c>
      <c r="D428" s="244" t="str">
        <f>IF('HCC Data Entry'!D423="","",'HCC Data Entry'!D423)</f>
        <v/>
      </c>
      <c r="E428" s="244" t="str">
        <f>IF('HCC Data Entry'!E423="","",'HCC Data Entry'!E423)</f>
        <v/>
      </c>
      <c r="F428" s="246" t="str">
        <f>IF('HCC Data Entry'!F423="","",'HCC Data Entry'!F423)</f>
        <v/>
      </c>
      <c r="G428" s="246" t="str">
        <f>IFERROR(INDEX('HCC Data Entry'!$J$4:$J$22, MATCH('HCC Detail'!$B428,'HCC Data Entry'!$I$4:$I$22,0)),"")</f>
        <v/>
      </c>
      <c r="H428" s="246" t="str">
        <f t="shared" si="21"/>
        <v/>
      </c>
      <c r="I428" s="247" t="str">
        <f t="shared" si="22"/>
        <v/>
      </c>
      <c r="J428" s="246" t="str">
        <f t="shared" si="23"/>
        <v/>
      </c>
    </row>
    <row r="429" spans="2:10" ht="18.5" x14ac:dyDescent="0.45">
      <c r="B429" s="244" t="str">
        <f>IF('HCC Data Entry'!B424="","",'HCC Data Entry'!B424)</f>
        <v/>
      </c>
      <c r="C429" s="244" t="str">
        <f>IF('HCC Data Entry'!C424="","",'HCC Data Entry'!C424)</f>
        <v/>
      </c>
      <c r="D429" s="244" t="str">
        <f>IF('HCC Data Entry'!D424="","",'HCC Data Entry'!D424)</f>
        <v/>
      </c>
      <c r="E429" s="244" t="str">
        <f>IF('HCC Data Entry'!E424="","",'HCC Data Entry'!E424)</f>
        <v/>
      </c>
      <c r="F429" s="246" t="str">
        <f>IF('HCC Data Entry'!F424="","",'HCC Data Entry'!F424)</f>
        <v/>
      </c>
      <c r="G429" s="246" t="str">
        <f>IFERROR(INDEX('HCC Data Entry'!$J$4:$J$22, MATCH('HCC Detail'!$B429,'HCC Data Entry'!$I$4:$I$22,0)),"")</f>
        <v/>
      </c>
      <c r="H429" s="246" t="str">
        <f t="shared" si="21"/>
        <v/>
      </c>
      <c r="I429" s="247" t="str">
        <f t="shared" si="22"/>
        <v/>
      </c>
      <c r="J429" s="246" t="str">
        <f t="shared" si="23"/>
        <v/>
      </c>
    </row>
    <row r="430" spans="2:10" ht="18.5" x14ac:dyDescent="0.45">
      <c r="B430" s="244" t="str">
        <f>IF('HCC Data Entry'!B425="","",'HCC Data Entry'!B425)</f>
        <v/>
      </c>
      <c r="C430" s="244" t="str">
        <f>IF('HCC Data Entry'!C425="","",'HCC Data Entry'!C425)</f>
        <v/>
      </c>
      <c r="D430" s="244" t="str">
        <f>IF('HCC Data Entry'!D425="","",'HCC Data Entry'!D425)</f>
        <v/>
      </c>
      <c r="E430" s="244" t="str">
        <f>IF('HCC Data Entry'!E425="","",'HCC Data Entry'!E425)</f>
        <v/>
      </c>
      <c r="F430" s="246" t="str">
        <f>IF('HCC Data Entry'!F425="","",'HCC Data Entry'!F425)</f>
        <v/>
      </c>
      <c r="G430" s="246" t="str">
        <f>IFERROR(INDEX('HCC Data Entry'!$J$4:$J$22, MATCH('HCC Detail'!$B430,'HCC Data Entry'!$I$4:$I$22,0)),"")</f>
        <v/>
      </c>
      <c r="H430" s="246" t="str">
        <f t="shared" si="21"/>
        <v/>
      </c>
      <c r="I430" s="247" t="str">
        <f t="shared" si="22"/>
        <v/>
      </c>
      <c r="J430" s="246" t="str">
        <f t="shared" si="23"/>
        <v/>
      </c>
    </row>
    <row r="431" spans="2:10" ht="18.5" x14ac:dyDescent="0.45">
      <c r="B431" s="244" t="str">
        <f>IF('HCC Data Entry'!B426="","",'HCC Data Entry'!B426)</f>
        <v/>
      </c>
      <c r="C431" s="244" t="str">
        <f>IF('HCC Data Entry'!C426="","",'HCC Data Entry'!C426)</f>
        <v/>
      </c>
      <c r="D431" s="244" t="str">
        <f>IF('HCC Data Entry'!D426="","",'HCC Data Entry'!D426)</f>
        <v/>
      </c>
      <c r="E431" s="244" t="str">
        <f>IF('HCC Data Entry'!E426="","",'HCC Data Entry'!E426)</f>
        <v/>
      </c>
      <c r="F431" s="246" t="str">
        <f>IF('HCC Data Entry'!F426="","",'HCC Data Entry'!F426)</f>
        <v/>
      </c>
      <c r="G431" s="246" t="str">
        <f>IFERROR(INDEX('HCC Data Entry'!$J$4:$J$22, MATCH('HCC Detail'!$B431,'HCC Data Entry'!$I$4:$I$22,0)),"")</f>
        <v/>
      </c>
      <c r="H431" s="246" t="str">
        <f t="shared" si="21"/>
        <v/>
      </c>
      <c r="I431" s="247" t="str">
        <f t="shared" si="22"/>
        <v/>
      </c>
      <c r="J431" s="246" t="str">
        <f t="shared" si="23"/>
        <v/>
      </c>
    </row>
    <row r="432" spans="2:10" ht="18.5" x14ac:dyDescent="0.45">
      <c r="B432" s="244" t="str">
        <f>IF('HCC Data Entry'!B427="","",'HCC Data Entry'!B427)</f>
        <v/>
      </c>
      <c r="C432" s="244" t="str">
        <f>IF('HCC Data Entry'!C427="","",'HCC Data Entry'!C427)</f>
        <v/>
      </c>
      <c r="D432" s="244" t="str">
        <f>IF('HCC Data Entry'!D427="","",'HCC Data Entry'!D427)</f>
        <v/>
      </c>
      <c r="E432" s="244" t="str">
        <f>IF('HCC Data Entry'!E427="","",'HCC Data Entry'!E427)</f>
        <v/>
      </c>
      <c r="F432" s="246" t="str">
        <f>IF('HCC Data Entry'!F427="","",'HCC Data Entry'!F427)</f>
        <v/>
      </c>
      <c r="G432" s="246" t="str">
        <f>IFERROR(INDEX('HCC Data Entry'!$J$4:$J$22, MATCH('HCC Detail'!$B432,'HCC Data Entry'!$I$4:$I$22,0)),"")</f>
        <v/>
      </c>
      <c r="H432" s="246" t="str">
        <f t="shared" si="21"/>
        <v/>
      </c>
      <c r="I432" s="247" t="str">
        <f t="shared" si="22"/>
        <v/>
      </c>
      <c r="J432" s="246" t="str">
        <f t="shared" si="23"/>
        <v/>
      </c>
    </row>
    <row r="433" spans="2:10" ht="18.5" x14ac:dyDescent="0.45">
      <c r="B433" s="244" t="str">
        <f>IF('HCC Data Entry'!B428="","",'HCC Data Entry'!B428)</f>
        <v/>
      </c>
      <c r="C433" s="244" t="str">
        <f>IF('HCC Data Entry'!C428="","",'HCC Data Entry'!C428)</f>
        <v/>
      </c>
      <c r="D433" s="244" t="str">
        <f>IF('HCC Data Entry'!D428="","",'HCC Data Entry'!D428)</f>
        <v/>
      </c>
      <c r="E433" s="244" t="str">
        <f>IF('HCC Data Entry'!E428="","",'HCC Data Entry'!E428)</f>
        <v/>
      </c>
      <c r="F433" s="246" t="str">
        <f>IF('HCC Data Entry'!F428="","",'HCC Data Entry'!F428)</f>
        <v/>
      </c>
      <c r="G433" s="246" t="str">
        <f>IFERROR(INDEX('HCC Data Entry'!$J$4:$J$22, MATCH('HCC Detail'!$B433,'HCC Data Entry'!$I$4:$I$22,0)),"")</f>
        <v/>
      </c>
      <c r="H433" s="246" t="str">
        <f t="shared" si="21"/>
        <v/>
      </c>
      <c r="I433" s="247" t="str">
        <f t="shared" si="22"/>
        <v/>
      </c>
      <c r="J433" s="246" t="str">
        <f t="shared" si="23"/>
        <v/>
      </c>
    </row>
    <row r="434" spans="2:10" ht="18.5" x14ac:dyDescent="0.45">
      <c r="B434" s="244" t="str">
        <f>IF('HCC Data Entry'!B429="","",'HCC Data Entry'!B429)</f>
        <v/>
      </c>
      <c r="C434" s="244" t="str">
        <f>IF('HCC Data Entry'!C429="","",'HCC Data Entry'!C429)</f>
        <v/>
      </c>
      <c r="D434" s="244" t="str">
        <f>IF('HCC Data Entry'!D429="","",'HCC Data Entry'!D429)</f>
        <v/>
      </c>
      <c r="E434" s="244" t="str">
        <f>IF('HCC Data Entry'!E429="","",'HCC Data Entry'!E429)</f>
        <v/>
      </c>
      <c r="F434" s="246" t="str">
        <f>IF('HCC Data Entry'!F429="","",'HCC Data Entry'!F429)</f>
        <v/>
      </c>
      <c r="G434" s="246" t="str">
        <f>IFERROR(INDEX('HCC Data Entry'!$J$4:$J$22, MATCH('HCC Detail'!$B434,'HCC Data Entry'!$I$4:$I$22,0)),"")</f>
        <v/>
      </c>
      <c r="H434" s="246" t="str">
        <f t="shared" si="21"/>
        <v/>
      </c>
      <c r="I434" s="247" t="str">
        <f t="shared" si="22"/>
        <v/>
      </c>
      <c r="J434" s="246" t="str">
        <f t="shared" si="23"/>
        <v/>
      </c>
    </row>
    <row r="435" spans="2:10" ht="18.5" x14ac:dyDescent="0.45">
      <c r="B435" s="244" t="str">
        <f>IF('HCC Data Entry'!B430="","",'HCC Data Entry'!B430)</f>
        <v/>
      </c>
      <c r="C435" s="244" t="str">
        <f>IF('HCC Data Entry'!C430="","",'HCC Data Entry'!C430)</f>
        <v/>
      </c>
      <c r="D435" s="244" t="str">
        <f>IF('HCC Data Entry'!D430="","",'HCC Data Entry'!D430)</f>
        <v/>
      </c>
      <c r="E435" s="244" t="str">
        <f>IF('HCC Data Entry'!E430="","",'HCC Data Entry'!E430)</f>
        <v/>
      </c>
      <c r="F435" s="246" t="str">
        <f>IF('HCC Data Entry'!F430="","",'HCC Data Entry'!F430)</f>
        <v/>
      </c>
      <c r="G435" s="246" t="str">
        <f>IFERROR(INDEX('HCC Data Entry'!$J$4:$J$22, MATCH('HCC Detail'!$B435,'HCC Data Entry'!$I$4:$I$22,0)),"")</f>
        <v/>
      </c>
      <c r="H435" s="246" t="str">
        <f t="shared" si="21"/>
        <v/>
      </c>
      <c r="I435" s="247" t="str">
        <f t="shared" si="22"/>
        <v/>
      </c>
      <c r="J435" s="246" t="str">
        <f t="shared" si="23"/>
        <v/>
      </c>
    </row>
    <row r="436" spans="2:10" ht="18.5" x14ac:dyDescent="0.45">
      <c r="B436" s="244" t="str">
        <f>IF('HCC Data Entry'!B431="","",'HCC Data Entry'!B431)</f>
        <v/>
      </c>
      <c r="C436" s="244" t="str">
        <f>IF('HCC Data Entry'!C431="","",'HCC Data Entry'!C431)</f>
        <v/>
      </c>
      <c r="D436" s="244" t="str">
        <f>IF('HCC Data Entry'!D431="","",'HCC Data Entry'!D431)</f>
        <v/>
      </c>
      <c r="E436" s="244" t="str">
        <f>IF('HCC Data Entry'!E431="","",'HCC Data Entry'!E431)</f>
        <v/>
      </c>
      <c r="F436" s="246" t="str">
        <f>IF('HCC Data Entry'!F431="","",'HCC Data Entry'!F431)</f>
        <v/>
      </c>
      <c r="G436" s="246" t="str">
        <f>IFERROR(INDEX('HCC Data Entry'!$J$4:$J$22, MATCH('HCC Detail'!$B436,'HCC Data Entry'!$I$4:$I$22,0)),"")</f>
        <v/>
      </c>
      <c r="H436" s="246" t="str">
        <f t="shared" si="21"/>
        <v/>
      </c>
      <c r="I436" s="247" t="str">
        <f t="shared" si="22"/>
        <v/>
      </c>
      <c r="J436" s="246" t="str">
        <f t="shared" si="23"/>
        <v/>
      </c>
    </row>
    <row r="437" spans="2:10" ht="18.5" x14ac:dyDescent="0.45">
      <c r="B437" s="244" t="str">
        <f>IF('HCC Data Entry'!B432="","",'HCC Data Entry'!B432)</f>
        <v/>
      </c>
      <c r="C437" s="244" t="str">
        <f>IF('HCC Data Entry'!C432="","",'HCC Data Entry'!C432)</f>
        <v/>
      </c>
      <c r="D437" s="244" t="str">
        <f>IF('HCC Data Entry'!D432="","",'HCC Data Entry'!D432)</f>
        <v/>
      </c>
      <c r="E437" s="244" t="str">
        <f>IF('HCC Data Entry'!E432="","",'HCC Data Entry'!E432)</f>
        <v/>
      </c>
      <c r="F437" s="246" t="str">
        <f>IF('HCC Data Entry'!F432="","",'HCC Data Entry'!F432)</f>
        <v/>
      </c>
      <c r="G437" s="246" t="str">
        <f>IFERROR(INDEX('HCC Data Entry'!$J$4:$J$22, MATCH('HCC Detail'!$B437,'HCC Data Entry'!$I$4:$I$22,0)),"")</f>
        <v/>
      </c>
      <c r="H437" s="246" t="str">
        <f t="shared" si="21"/>
        <v/>
      </c>
      <c r="I437" s="247" t="str">
        <f t="shared" si="22"/>
        <v/>
      </c>
      <c r="J437" s="246" t="str">
        <f t="shared" si="23"/>
        <v/>
      </c>
    </row>
    <row r="438" spans="2:10" ht="18.5" x14ac:dyDescent="0.45">
      <c r="B438" s="244" t="str">
        <f>IF('HCC Data Entry'!B433="","",'HCC Data Entry'!B433)</f>
        <v/>
      </c>
      <c r="C438" s="244" t="str">
        <f>IF('HCC Data Entry'!C433="","",'HCC Data Entry'!C433)</f>
        <v/>
      </c>
      <c r="D438" s="244" t="str">
        <f>IF('HCC Data Entry'!D433="","",'HCC Data Entry'!D433)</f>
        <v/>
      </c>
      <c r="E438" s="244" t="str">
        <f>IF('HCC Data Entry'!E433="","",'HCC Data Entry'!E433)</f>
        <v/>
      </c>
      <c r="F438" s="246" t="str">
        <f>IF('HCC Data Entry'!F433="","",'HCC Data Entry'!F433)</f>
        <v/>
      </c>
      <c r="G438" s="246" t="str">
        <f>IFERROR(INDEX('HCC Data Entry'!$J$4:$J$22, MATCH('HCC Detail'!$B438,'HCC Data Entry'!$I$4:$I$22,0)),"")</f>
        <v/>
      </c>
      <c r="H438" s="246" t="str">
        <f t="shared" si="21"/>
        <v/>
      </c>
      <c r="I438" s="247" t="str">
        <f t="shared" si="22"/>
        <v/>
      </c>
      <c r="J438" s="246" t="str">
        <f t="shared" si="23"/>
        <v/>
      </c>
    </row>
    <row r="439" spans="2:10" ht="18.5" x14ac:dyDescent="0.45">
      <c r="B439" s="244" t="str">
        <f>IF('HCC Data Entry'!B434="","",'HCC Data Entry'!B434)</f>
        <v/>
      </c>
      <c r="C439" s="244" t="str">
        <f>IF('HCC Data Entry'!C434="","",'HCC Data Entry'!C434)</f>
        <v/>
      </c>
      <c r="D439" s="244" t="str">
        <f>IF('HCC Data Entry'!D434="","",'HCC Data Entry'!D434)</f>
        <v/>
      </c>
      <c r="E439" s="244" t="str">
        <f>IF('HCC Data Entry'!E434="","",'HCC Data Entry'!E434)</f>
        <v/>
      </c>
      <c r="F439" s="246" t="str">
        <f>IF('HCC Data Entry'!F434="","",'HCC Data Entry'!F434)</f>
        <v/>
      </c>
      <c r="G439" s="246" t="str">
        <f>IFERROR(INDEX('HCC Data Entry'!$J$4:$J$22, MATCH('HCC Detail'!$B439,'HCC Data Entry'!$I$4:$I$22,0)),"")</f>
        <v/>
      </c>
      <c r="H439" s="246" t="str">
        <f t="shared" si="21"/>
        <v/>
      </c>
      <c r="I439" s="247" t="str">
        <f t="shared" si="22"/>
        <v/>
      </c>
      <c r="J439" s="246" t="str">
        <f t="shared" si="23"/>
        <v/>
      </c>
    </row>
    <row r="440" spans="2:10" ht="18.5" x14ac:dyDescent="0.45">
      <c r="B440" s="244" t="str">
        <f>IF('HCC Data Entry'!B435="","",'HCC Data Entry'!B435)</f>
        <v/>
      </c>
      <c r="C440" s="244" t="str">
        <f>IF('HCC Data Entry'!C435="","",'HCC Data Entry'!C435)</f>
        <v/>
      </c>
      <c r="D440" s="244" t="str">
        <f>IF('HCC Data Entry'!D435="","",'HCC Data Entry'!D435)</f>
        <v/>
      </c>
      <c r="E440" s="244" t="str">
        <f>IF('HCC Data Entry'!E435="","",'HCC Data Entry'!E435)</f>
        <v/>
      </c>
      <c r="F440" s="246" t="str">
        <f>IF('HCC Data Entry'!F435="","",'HCC Data Entry'!F435)</f>
        <v/>
      </c>
      <c r="G440" s="246" t="str">
        <f>IFERROR(INDEX('HCC Data Entry'!$J$4:$J$22, MATCH('HCC Detail'!$B440,'HCC Data Entry'!$I$4:$I$22,0)),"")</f>
        <v/>
      </c>
      <c r="H440" s="246" t="str">
        <f t="shared" si="21"/>
        <v/>
      </c>
      <c r="I440" s="247" t="str">
        <f t="shared" si="22"/>
        <v/>
      </c>
      <c r="J440" s="246" t="str">
        <f t="shared" si="23"/>
        <v/>
      </c>
    </row>
    <row r="441" spans="2:10" ht="18.5" x14ac:dyDescent="0.45">
      <c r="B441" s="244" t="str">
        <f>IF('HCC Data Entry'!B436="","",'HCC Data Entry'!B436)</f>
        <v/>
      </c>
      <c r="C441" s="244" t="str">
        <f>IF('HCC Data Entry'!C436="","",'HCC Data Entry'!C436)</f>
        <v/>
      </c>
      <c r="D441" s="244" t="str">
        <f>IF('HCC Data Entry'!D436="","",'HCC Data Entry'!D436)</f>
        <v/>
      </c>
      <c r="E441" s="244" t="str">
        <f>IF('HCC Data Entry'!E436="","",'HCC Data Entry'!E436)</f>
        <v/>
      </c>
      <c r="F441" s="246" t="str">
        <f>IF('HCC Data Entry'!F436="","",'HCC Data Entry'!F436)</f>
        <v/>
      </c>
      <c r="G441" s="246" t="str">
        <f>IFERROR(INDEX('HCC Data Entry'!$J$4:$J$22, MATCH('HCC Detail'!$B441,'HCC Data Entry'!$I$4:$I$22,0)),"")</f>
        <v/>
      </c>
      <c r="H441" s="246" t="str">
        <f t="shared" si="21"/>
        <v/>
      </c>
      <c r="I441" s="247" t="str">
        <f t="shared" si="22"/>
        <v/>
      </c>
      <c r="J441" s="246" t="str">
        <f t="shared" si="23"/>
        <v/>
      </c>
    </row>
    <row r="442" spans="2:10" ht="18.5" x14ac:dyDescent="0.45">
      <c r="B442" s="244" t="str">
        <f>IF('HCC Data Entry'!B437="","",'HCC Data Entry'!B437)</f>
        <v/>
      </c>
      <c r="C442" s="244" t="str">
        <f>IF('HCC Data Entry'!C437="","",'HCC Data Entry'!C437)</f>
        <v/>
      </c>
      <c r="D442" s="244" t="str">
        <f>IF('HCC Data Entry'!D437="","",'HCC Data Entry'!D437)</f>
        <v/>
      </c>
      <c r="E442" s="244" t="str">
        <f>IF('HCC Data Entry'!E437="","",'HCC Data Entry'!E437)</f>
        <v/>
      </c>
      <c r="F442" s="246" t="str">
        <f>IF('HCC Data Entry'!F437="","",'HCC Data Entry'!F437)</f>
        <v/>
      </c>
      <c r="G442" s="246" t="str">
        <f>IFERROR(INDEX('HCC Data Entry'!$J$4:$J$22, MATCH('HCC Detail'!$B442,'HCC Data Entry'!$I$4:$I$22,0)),"")</f>
        <v/>
      </c>
      <c r="H442" s="246" t="str">
        <f t="shared" si="21"/>
        <v/>
      </c>
      <c r="I442" s="247" t="str">
        <f t="shared" si="22"/>
        <v/>
      </c>
      <c r="J442" s="246" t="str">
        <f t="shared" si="23"/>
        <v/>
      </c>
    </row>
    <row r="443" spans="2:10" ht="18.5" x14ac:dyDescent="0.45">
      <c r="B443" s="244" t="str">
        <f>IF('HCC Data Entry'!B438="","",'HCC Data Entry'!B438)</f>
        <v/>
      </c>
      <c r="C443" s="244" t="str">
        <f>IF('HCC Data Entry'!C438="","",'HCC Data Entry'!C438)</f>
        <v/>
      </c>
      <c r="D443" s="244" t="str">
        <f>IF('HCC Data Entry'!D438="","",'HCC Data Entry'!D438)</f>
        <v/>
      </c>
      <c r="E443" s="244" t="str">
        <f>IF('HCC Data Entry'!E438="","",'HCC Data Entry'!E438)</f>
        <v/>
      </c>
      <c r="F443" s="246" t="str">
        <f>IF('HCC Data Entry'!F438="","",'HCC Data Entry'!F438)</f>
        <v/>
      </c>
      <c r="G443" s="246" t="str">
        <f>IFERROR(INDEX('HCC Data Entry'!$J$4:$J$22, MATCH('HCC Detail'!$B443,'HCC Data Entry'!$I$4:$I$22,0)),"")</f>
        <v/>
      </c>
      <c r="H443" s="246" t="str">
        <f t="shared" si="21"/>
        <v/>
      </c>
      <c r="I443" s="247" t="str">
        <f t="shared" si="22"/>
        <v/>
      </c>
      <c r="J443" s="246" t="str">
        <f t="shared" si="23"/>
        <v/>
      </c>
    </row>
    <row r="444" spans="2:10" ht="18.5" x14ac:dyDescent="0.45">
      <c r="B444" s="244" t="str">
        <f>IF('HCC Data Entry'!B439="","",'HCC Data Entry'!B439)</f>
        <v/>
      </c>
      <c r="C444" s="244" t="str">
        <f>IF('HCC Data Entry'!C439="","",'HCC Data Entry'!C439)</f>
        <v/>
      </c>
      <c r="D444" s="244" t="str">
        <f>IF('HCC Data Entry'!D439="","",'HCC Data Entry'!D439)</f>
        <v/>
      </c>
      <c r="E444" s="244" t="str">
        <f>IF('HCC Data Entry'!E439="","",'HCC Data Entry'!E439)</f>
        <v/>
      </c>
      <c r="F444" s="246" t="str">
        <f>IF('HCC Data Entry'!F439="","",'HCC Data Entry'!F439)</f>
        <v/>
      </c>
      <c r="G444" s="246" t="str">
        <f>IFERROR(INDEX('HCC Data Entry'!$J$4:$J$22, MATCH('HCC Detail'!$B444,'HCC Data Entry'!$I$4:$I$22,0)),"")</f>
        <v/>
      </c>
      <c r="H444" s="246" t="str">
        <f t="shared" si="21"/>
        <v/>
      </c>
      <c r="I444" s="247" t="str">
        <f t="shared" si="22"/>
        <v/>
      </c>
      <c r="J444" s="246" t="str">
        <f t="shared" si="23"/>
        <v/>
      </c>
    </row>
    <row r="445" spans="2:10" ht="18.5" x14ac:dyDescent="0.45">
      <c r="B445" s="244" t="str">
        <f>IF('HCC Data Entry'!B440="","",'HCC Data Entry'!B440)</f>
        <v/>
      </c>
      <c r="C445" s="244" t="str">
        <f>IF('HCC Data Entry'!C440="","",'HCC Data Entry'!C440)</f>
        <v/>
      </c>
      <c r="D445" s="244" t="str">
        <f>IF('HCC Data Entry'!D440="","",'HCC Data Entry'!D440)</f>
        <v/>
      </c>
      <c r="E445" s="244" t="str">
        <f>IF('HCC Data Entry'!E440="","",'HCC Data Entry'!E440)</f>
        <v/>
      </c>
      <c r="F445" s="246" t="str">
        <f>IF('HCC Data Entry'!F440="","",'HCC Data Entry'!F440)</f>
        <v/>
      </c>
      <c r="G445" s="246" t="str">
        <f>IFERROR(INDEX('HCC Data Entry'!$J$4:$J$22, MATCH('HCC Detail'!$B445,'HCC Data Entry'!$I$4:$I$22,0)),"")</f>
        <v/>
      </c>
      <c r="H445" s="246" t="str">
        <f t="shared" si="21"/>
        <v/>
      </c>
      <c r="I445" s="247" t="str">
        <f t="shared" si="22"/>
        <v/>
      </c>
      <c r="J445" s="246" t="str">
        <f t="shared" si="23"/>
        <v/>
      </c>
    </row>
    <row r="446" spans="2:10" ht="18.5" x14ac:dyDescent="0.45">
      <c r="B446" s="244" t="str">
        <f>IF('HCC Data Entry'!B441="","",'HCC Data Entry'!B441)</f>
        <v/>
      </c>
      <c r="C446" s="244" t="str">
        <f>IF('HCC Data Entry'!C441="","",'HCC Data Entry'!C441)</f>
        <v/>
      </c>
      <c r="D446" s="244" t="str">
        <f>IF('HCC Data Entry'!D441="","",'HCC Data Entry'!D441)</f>
        <v/>
      </c>
      <c r="E446" s="244" t="str">
        <f>IF('HCC Data Entry'!E441="","",'HCC Data Entry'!E441)</f>
        <v/>
      </c>
      <c r="F446" s="246" t="str">
        <f>IF('HCC Data Entry'!F441="","",'HCC Data Entry'!F441)</f>
        <v/>
      </c>
      <c r="G446" s="246" t="str">
        <f>IFERROR(INDEX('HCC Data Entry'!$J$4:$J$22, MATCH('HCC Detail'!$B446,'HCC Data Entry'!$I$4:$I$22,0)),"")</f>
        <v/>
      </c>
      <c r="H446" s="246" t="str">
        <f t="shared" si="21"/>
        <v/>
      </c>
      <c r="I446" s="247" t="str">
        <f t="shared" si="22"/>
        <v/>
      </c>
      <c r="J446" s="246" t="str">
        <f t="shared" si="23"/>
        <v/>
      </c>
    </row>
    <row r="447" spans="2:10" ht="18.5" x14ac:dyDescent="0.45">
      <c r="B447" s="244" t="str">
        <f>IF('HCC Data Entry'!B442="","",'HCC Data Entry'!B442)</f>
        <v/>
      </c>
      <c r="C447" s="244" t="str">
        <f>IF('HCC Data Entry'!C442="","",'HCC Data Entry'!C442)</f>
        <v/>
      </c>
      <c r="D447" s="244" t="str">
        <f>IF('HCC Data Entry'!D442="","",'HCC Data Entry'!D442)</f>
        <v/>
      </c>
      <c r="E447" s="244" t="str">
        <f>IF('HCC Data Entry'!E442="","",'HCC Data Entry'!E442)</f>
        <v/>
      </c>
      <c r="F447" s="246" t="str">
        <f>IF('HCC Data Entry'!F442="","",'HCC Data Entry'!F442)</f>
        <v/>
      </c>
      <c r="G447" s="246" t="str">
        <f>IFERROR(INDEX('HCC Data Entry'!$J$4:$J$22, MATCH('HCC Detail'!$B447,'HCC Data Entry'!$I$4:$I$22,0)),"")</f>
        <v/>
      </c>
      <c r="H447" s="246" t="str">
        <f t="shared" si="21"/>
        <v/>
      </c>
      <c r="I447" s="247" t="str">
        <f t="shared" si="22"/>
        <v/>
      </c>
      <c r="J447" s="246" t="str">
        <f t="shared" si="23"/>
        <v/>
      </c>
    </row>
    <row r="448" spans="2:10" ht="18.5" x14ac:dyDescent="0.45">
      <c r="B448" s="244" t="str">
        <f>IF('HCC Data Entry'!B443="","",'HCC Data Entry'!B443)</f>
        <v/>
      </c>
      <c r="C448" s="244" t="str">
        <f>IF('HCC Data Entry'!C443="","",'HCC Data Entry'!C443)</f>
        <v/>
      </c>
      <c r="D448" s="244" t="str">
        <f>IF('HCC Data Entry'!D443="","",'HCC Data Entry'!D443)</f>
        <v/>
      </c>
      <c r="E448" s="244" t="str">
        <f>IF('HCC Data Entry'!E443="","",'HCC Data Entry'!E443)</f>
        <v/>
      </c>
      <c r="F448" s="246" t="str">
        <f>IF('HCC Data Entry'!F443="","",'HCC Data Entry'!F443)</f>
        <v/>
      </c>
      <c r="G448" s="246" t="str">
        <f>IFERROR(INDEX('HCC Data Entry'!$J$4:$J$22, MATCH('HCC Detail'!$B448,'HCC Data Entry'!$I$4:$I$22,0)),"")</f>
        <v/>
      </c>
      <c r="H448" s="246" t="str">
        <f t="shared" si="21"/>
        <v/>
      </c>
      <c r="I448" s="247" t="str">
        <f t="shared" si="22"/>
        <v/>
      </c>
      <c r="J448" s="246" t="str">
        <f t="shared" si="23"/>
        <v/>
      </c>
    </row>
    <row r="449" spans="2:10" ht="18.5" x14ac:dyDescent="0.45">
      <c r="B449" s="244" t="str">
        <f>IF('HCC Data Entry'!B444="","",'HCC Data Entry'!B444)</f>
        <v/>
      </c>
      <c r="C449" s="244" t="str">
        <f>IF('HCC Data Entry'!C444="","",'HCC Data Entry'!C444)</f>
        <v/>
      </c>
      <c r="D449" s="244" t="str">
        <f>IF('HCC Data Entry'!D444="","",'HCC Data Entry'!D444)</f>
        <v/>
      </c>
      <c r="E449" s="244" t="str">
        <f>IF('HCC Data Entry'!E444="","",'HCC Data Entry'!E444)</f>
        <v/>
      </c>
      <c r="F449" s="246" t="str">
        <f>IF('HCC Data Entry'!F444="","",'HCC Data Entry'!F444)</f>
        <v/>
      </c>
      <c r="G449" s="246" t="str">
        <f>IFERROR(INDEX('HCC Data Entry'!$J$4:$J$22, MATCH('HCC Detail'!$B449,'HCC Data Entry'!$I$4:$I$22,0)),"")</f>
        <v/>
      </c>
      <c r="H449" s="246" t="str">
        <f t="shared" si="21"/>
        <v/>
      </c>
      <c r="I449" s="247" t="str">
        <f t="shared" si="22"/>
        <v/>
      </c>
      <c r="J449" s="246" t="str">
        <f t="shared" si="23"/>
        <v/>
      </c>
    </row>
    <row r="450" spans="2:10" ht="18.5" x14ac:dyDescent="0.45">
      <c r="B450" s="244" t="str">
        <f>IF('HCC Data Entry'!B445="","",'HCC Data Entry'!B445)</f>
        <v/>
      </c>
      <c r="C450" s="244" t="str">
        <f>IF('HCC Data Entry'!C445="","",'HCC Data Entry'!C445)</f>
        <v/>
      </c>
      <c r="D450" s="244" t="str">
        <f>IF('HCC Data Entry'!D445="","",'HCC Data Entry'!D445)</f>
        <v/>
      </c>
      <c r="E450" s="244" t="str">
        <f>IF('HCC Data Entry'!E445="","",'HCC Data Entry'!E445)</f>
        <v/>
      </c>
      <c r="F450" s="246" t="str">
        <f>IF('HCC Data Entry'!F445="","",'HCC Data Entry'!F445)</f>
        <v/>
      </c>
      <c r="G450" s="246" t="str">
        <f>IFERROR(INDEX('HCC Data Entry'!$J$4:$J$22, MATCH('HCC Detail'!$B450,'HCC Data Entry'!$I$4:$I$22,0)),"")</f>
        <v/>
      </c>
      <c r="H450" s="246" t="str">
        <f t="shared" si="21"/>
        <v/>
      </c>
      <c r="I450" s="247" t="str">
        <f t="shared" si="22"/>
        <v/>
      </c>
      <c r="J450" s="246" t="str">
        <f t="shared" si="23"/>
        <v/>
      </c>
    </row>
    <row r="451" spans="2:10" ht="18.5" x14ac:dyDescent="0.45">
      <c r="B451" s="244" t="str">
        <f>IF('HCC Data Entry'!B446="","",'HCC Data Entry'!B446)</f>
        <v/>
      </c>
      <c r="C451" s="244" t="str">
        <f>IF('HCC Data Entry'!C446="","",'HCC Data Entry'!C446)</f>
        <v/>
      </c>
      <c r="D451" s="244" t="str">
        <f>IF('HCC Data Entry'!D446="","",'HCC Data Entry'!D446)</f>
        <v/>
      </c>
      <c r="E451" s="244" t="str">
        <f>IF('HCC Data Entry'!E446="","",'HCC Data Entry'!E446)</f>
        <v/>
      </c>
      <c r="F451" s="246" t="str">
        <f>IF('HCC Data Entry'!F446="","",'HCC Data Entry'!F446)</f>
        <v/>
      </c>
      <c r="G451" s="246" t="str">
        <f>IFERROR(INDEX('HCC Data Entry'!$J$4:$J$22, MATCH('HCC Detail'!$B451,'HCC Data Entry'!$I$4:$I$22,0)),"")</f>
        <v/>
      </c>
      <c r="H451" s="246" t="str">
        <f t="shared" si="21"/>
        <v/>
      </c>
      <c r="I451" s="247" t="str">
        <f t="shared" si="22"/>
        <v/>
      </c>
      <c r="J451" s="246" t="str">
        <f t="shared" si="23"/>
        <v/>
      </c>
    </row>
    <row r="452" spans="2:10" ht="18.5" x14ac:dyDescent="0.45">
      <c r="B452" s="244" t="str">
        <f>IF('HCC Data Entry'!B447="","",'HCC Data Entry'!B447)</f>
        <v/>
      </c>
      <c r="C452" s="244" t="str">
        <f>IF('HCC Data Entry'!C447="","",'HCC Data Entry'!C447)</f>
        <v/>
      </c>
      <c r="D452" s="244" t="str">
        <f>IF('HCC Data Entry'!D447="","",'HCC Data Entry'!D447)</f>
        <v/>
      </c>
      <c r="E452" s="244" t="str">
        <f>IF('HCC Data Entry'!E447="","",'HCC Data Entry'!E447)</f>
        <v/>
      </c>
      <c r="F452" s="246" t="str">
        <f>IF('HCC Data Entry'!F447="","",'HCC Data Entry'!F447)</f>
        <v/>
      </c>
      <c r="G452" s="246" t="str">
        <f>IFERROR(INDEX('HCC Data Entry'!$J$4:$J$22, MATCH('HCC Detail'!$B452,'HCC Data Entry'!$I$4:$I$22,0)),"")</f>
        <v/>
      </c>
      <c r="H452" s="246" t="str">
        <f t="shared" si="21"/>
        <v/>
      </c>
      <c r="I452" s="247" t="str">
        <f t="shared" si="22"/>
        <v/>
      </c>
      <c r="J452" s="246" t="str">
        <f t="shared" si="23"/>
        <v/>
      </c>
    </row>
    <row r="453" spans="2:10" ht="18.5" x14ac:dyDescent="0.45">
      <c r="B453" s="244" t="str">
        <f>IF('HCC Data Entry'!B448="","",'HCC Data Entry'!B448)</f>
        <v/>
      </c>
      <c r="C453" s="244" t="str">
        <f>IF('HCC Data Entry'!C448="","",'HCC Data Entry'!C448)</f>
        <v/>
      </c>
      <c r="D453" s="244" t="str">
        <f>IF('HCC Data Entry'!D448="","",'HCC Data Entry'!D448)</f>
        <v/>
      </c>
      <c r="E453" s="244" t="str">
        <f>IF('HCC Data Entry'!E448="","",'HCC Data Entry'!E448)</f>
        <v/>
      </c>
      <c r="F453" s="246" t="str">
        <f>IF('HCC Data Entry'!F448="","",'HCC Data Entry'!F448)</f>
        <v/>
      </c>
      <c r="G453" s="246" t="str">
        <f>IFERROR(INDEX('HCC Data Entry'!$J$4:$J$22, MATCH('HCC Detail'!$B453,'HCC Data Entry'!$I$4:$I$22,0)),"")</f>
        <v/>
      </c>
      <c r="H453" s="246" t="str">
        <f t="shared" si="21"/>
        <v/>
      </c>
      <c r="I453" s="247" t="str">
        <f t="shared" si="22"/>
        <v/>
      </c>
      <c r="J453" s="246" t="str">
        <f t="shared" si="23"/>
        <v/>
      </c>
    </row>
    <row r="454" spans="2:10" ht="18.5" x14ac:dyDescent="0.45">
      <c r="B454" s="244" t="str">
        <f>IF('HCC Data Entry'!B449="","",'HCC Data Entry'!B449)</f>
        <v/>
      </c>
      <c r="C454" s="244" t="str">
        <f>IF('HCC Data Entry'!C449="","",'HCC Data Entry'!C449)</f>
        <v/>
      </c>
      <c r="D454" s="244" t="str">
        <f>IF('HCC Data Entry'!D449="","",'HCC Data Entry'!D449)</f>
        <v/>
      </c>
      <c r="E454" s="244" t="str">
        <f>IF('HCC Data Entry'!E449="","",'HCC Data Entry'!E449)</f>
        <v/>
      </c>
      <c r="F454" s="246" t="str">
        <f>IF('HCC Data Entry'!F449="","",'HCC Data Entry'!F449)</f>
        <v/>
      </c>
      <c r="G454" s="246" t="str">
        <f>IFERROR(INDEX('HCC Data Entry'!$J$4:$J$22, MATCH('HCC Detail'!$B454,'HCC Data Entry'!$I$4:$I$22,0)),"")</f>
        <v/>
      </c>
      <c r="H454" s="246" t="str">
        <f t="shared" si="21"/>
        <v/>
      </c>
      <c r="I454" s="247" t="str">
        <f t="shared" si="22"/>
        <v/>
      </c>
      <c r="J454" s="246" t="str">
        <f t="shared" si="23"/>
        <v/>
      </c>
    </row>
    <row r="455" spans="2:10" ht="18.5" x14ac:dyDescent="0.45">
      <c r="B455" s="244" t="str">
        <f>IF('HCC Data Entry'!B450="","",'HCC Data Entry'!B450)</f>
        <v/>
      </c>
      <c r="C455" s="244" t="str">
        <f>IF('HCC Data Entry'!C450="","",'HCC Data Entry'!C450)</f>
        <v/>
      </c>
      <c r="D455" s="244" t="str">
        <f>IF('HCC Data Entry'!D450="","",'HCC Data Entry'!D450)</f>
        <v/>
      </c>
      <c r="E455" s="244" t="str">
        <f>IF('HCC Data Entry'!E450="","",'HCC Data Entry'!E450)</f>
        <v/>
      </c>
      <c r="F455" s="246" t="str">
        <f>IF('HCC Data Entry'!F450="","",'HCC Data Entry'!F450)</f>
        <v/>
      </c>
      <c r="G455" s="246" t="str">
        <f>IFERROR(INDEX('HCC Data Entry'!$J$4:$J$22, MATCH('HCC Detail'!$B455,'HCC Data Entry'!$I$4:$I$22,0)),"")</f>
        <v/>
      </c>
      <c r="H455" s="246" t="str">
        <f t="shared" si="21"/>
        <v/>
      </c>
      <c r="I455" s="247" t="str">
        <f t="shared" si="22"/>
        <v/>
      </c>
      <c r="J455" s="246" t="str">
        <f t="shared" si="23"/>
        <v/>
      </c>
    </row>
    <row r="456" spans="2:10" ht="18.5" x14ac:dyDescent="0.45">
      <c r="B456" s="244" t="str">
        <f>IF('HCC Data Entry'!B451="","",'HCC Data Entry'!B451)</f>
        <v/>
      </c>
      <c r="C456" s="244" t="str">
        <f>IF('HCC Data Entry'!C451="","",'HCC Data Entry'!C451)</f>
        <v/>
      </c>
      <c r="D456" s="244" t="str">
        <f>IF('HCC Data Entry'!D451="","",'HCC Data Entry'!D451)</f>
        <v/>
      </c>
      <c r="E456" s="244" t="str">
        <f>IF('HCC Data Entry'!E451="","",'HCC Data Entry'!E451)</f>
        <v/>
      </c>
      <c r="F456" s="246" t="str">
        <f>IF('HCC Data Entry'!F451="","",'HCC Data Entry'!F451)</f>
        <v/>
      </c>
      <c r="G456" s="246" t="str">
        <f>IFERROR(INDEX('HCC Data Entry'!$J$4:$J$22, MATCH('HCC Detail'!$B456,'HCC Data Entry'!$I$4:$I$22,0)),"")</f>
        <v/>
      </c>
      <c r="H456" s="246" t="str">
        <f t="shared" si="21"/>
        <v/>
      </c>
      <c r="I456" s="247" t="str">
        <f t="shared" si="22"/>
        <v/>
      </c>
      <c r="J456" s="246" t="str">
        <f t="shared" si="23"/>
        <v/>
      </c>
    </row>
    <row r="457" spans="2:10" ht="18.5" x14ac:dyDescent="0.45">
      <c r="B457" s="244" t="str">
        <f>IF('HCC Data Entry'!B452="","",'HCC Data Entry'!B452)</f>
        <v/>
      </c>
      <c r="C457" s="244" t="str">
        <f>IF('HCC Data Entry'!C452="","",'HCC Data Entry'!C452)</f>
        <v/>
      </c>
      <c r="D457" s="244" t="str">
        <f>IF('HCC Data Entry'!D452="","",'HCC Data Entry'!D452)</f>
        <v/>
      </c>
      <c r="E457" s="244" t="str">
        <f>IF('HCC Data Entry'!E452="","",'HCC Data Entry'!E452)</f>
        <v/>
      </c>
      <c r="F457" s="246" t="str">
        <f>IF('HCC Data Entry'!F452="","",'HCC Data Entry'!F452)</f>
        <v/>
      </c>
      <c r="G457" s="246" t="str">
        <f>IFERROR(INDEX('HCC Data Entry'!$J$4:$J$22, MATCH('HCC Detail'!$B457,'HCC Data Entry'!$I$4:$I$22,0)),"")</f>
        <v/>
      </c>
      <c r="H457" s="246" t="str">
        <f t="shared" ref="H457:H500" si="24">IF(B457="","",IF(G457="Unknown", "", IF(F457&gt;G457,F457-G457,0)))</f>
        <v/>
      </c>
      <c r="I457" s="247" t="str">
        <f t="shared" ref="I457:I500" si="25">IF(H457="","",IF(H457=0,0, IF(F457&gt;$O$4,($O$4-G457),H457)))</f>
        <v/>
      </c>
      <c r="J457" s="246" t="str">
        <f t="shared" ref="J457:J500" si="26">IF(I457="","",IF(I457=0,0,IF(F457&gt;$O$4,F457-$O$4,0)))</f>
        <v/>
      </c>
    </row>
    <row r="458" spans="2:10" ht="18.5" x14ac:dyDescent="0.45">
      <c r="B458" s="244" t="str">
        <f>IF('HCC Data Entry'!B453="","",'HCC Data Entry'!B453)</f>
        <v/>
      </c>
      <c r="C458" s="244" t="str">
        <f>IF('HCC Data Entry'!C453="","",'HCC Data Entry'!C453)</f>
        <v/>
      </c>
      <c r="D458" s="244" t="str">
        <f>IF('HCC Data Entry'!D453="","",'HCC Data Entry'!D453)</f>
        <v/>
      </c>
      <c r="E458" s="244" t="str">
        <f>IF('HCC Data Entry'!E453="","",'HCC Data Entry'!E453)</f>
        <v/>
      </c>
      <c r="F458" s="246" t="str">
        <f>IF('HCC Data Entry'!F453="","",'HCC Data Entry'!F453)</f>
        <v/>
      </c>
      <c r="G458" s="246" t="str">
        <f>IFERROR(INDEX('HCC Data Entry'!$J$4:$J$22, MATCH('HCC Detail'!$B458,'HCC Data Entry'!$I$4:$I$22,0)),"")</f>
        <v/>
      </c>
      <c r="H458" s="246" t="str">
        <f t="shared" si="24"/>
        <v/>
      </c>
      <c r="I458" s="247" t="str">
        <f t="shared" si="25"/>
        <v/>
      </c>
      <c r="J458" s="246" t="str">
        <f t="shared" si="26"/>
        <v/>
      </c>
    </row>
    <row r="459" spans="2:10" ht="18.5" x14ac:dyDescent="0.45">
      <c r="B459" s="244" t="str">
        <f>IF('HCC Data Entry'!B454="","",'HCC Data Entry'!B454)</f>
        <v/>
      </c>
      <c r="C459" s="244" t="str">
        <f>IF('HCC Data Entry'!C454="","",'HCC Data Entry'!C454)</f>
        <v/>
      </c>
      <c r="D459" s="244" t="str">
        <f>IF('HCC Data Entry'!D454="","",'HCC Data Entry'!D454)</f>
        <v/>
      </c>
      <c r="E459" s="244" t="str">
        <f>IF('HCC Data Entry'!E454="","",'HCC Data Entry'!E454)</f>
        <v/>
      </c>
      <c r="F459" s="246" t="str">
        <f>IF('HCC Data Entry'!F454="","",'HCC Data Entry'!F454)</f>
        <v/>
      </c>
      <c r="G459" s="246" t="str">
        <f>IFERROR(INDEX('HCC Data Entry'!$J$4:$J$22, MATCH('HCC Detail'!$B459,'HCC Data Entry'!$I$4:$I$22,0)),"")</f>
        <v/>
      </c>
      <c r="H459" s="246" t="str">
        <f t="shared" si="24"/>
        <v/>
      </c>
      <c r="I459" s="247" t="str">
        <f t="shared" si="25"/>
        <v/>
      </c>
      <c r="J459" s="246" t="str">
        <f t="shared" si="26"/>
        <v/>
      </c>
    </row>
    <row r="460" spans="2:10" ht="18.5" x14ac:dyDescent="0.45">
      <c r="B460" s="244" t="str">
        <f>IF('HCC Data Entry'!B455="","",'HCC Data Entry'!B455)</f>
        <v/>
      </c>
      <c r="C460" s="244" t="str">
        <f>IF('HCC Data Entry'!C455="","",'HCC Data Entry'!C455)</f>
        <v/>
      </c>
      <c r="D460" s="244" t="str">
        <f>IF('HCC Data Entry'!D455="","",'HCC Data Entry'!D455)</f>
        <v/>
      </c>
      <c r="E460" s="244" t="str">
        <f>IF('HCC Data Entry'!E455="","",'HCC Data Entry'!E455)</f>
        <v/>
      </c>
      <c r="F460" s="246" t="str">
        <f>IF('HCC Data Entry'!F455="","",'HCC Data Entry'!F455)</f>
        <v/>
      </c>
      <c r="G460" s="246" t="str">
        <f>IFERROR(INDEX('HCC Data Entry'!$J$4:$J$22, MATCH('HCC Detail'!$B460,'HCC Data Entry'!$I$4:$I$22,0)),"")</f>
        <v/>
      </c>
      <c r="H460" s="246" t="str">
        <f t="shared" si="24"/>
        <v/>
      </c>
      <c r="I460" s="247" t="str">
        <f t="shared" si="25"/>
        <v/>
      </c>
      <c r="J460" s="246" t="str">
        <f t="shared" si="26"/>
        <v/>
      </c>
    </row>
    <row r="461" spans="2:10" ht="18.5" x14ac:dyDescent="0.45">
      <c r="B461" s="244" t="str">
        <f>IF('HCC Data Entry'!B456="","",'HCC Data Entry'!B456)</f>
        <v/>
      </c>
      <c r="C461" s="244" t="str">
        <f>IF('HCC Data Entry'!C456="","",'HCC Data Entry'!C456)</f>
        <v/>
      </c>
      <c r="D461" s="244" t="str">
        <f>IF('HCC Data Entry'!D456="","",'HCC Data Entry'!D456)</f>
        <v/>
      </c>
      <c r="E461" s="244" t="str">
        <f>IF('HCC Data Entry'!E456="","",'HCC Data Entry'!E456)</f>
        <v/>
      </c>
      <c r="F461" s="246" t="str">
        <f>IF('HCC Data Entry'!F456="","",'HCC Data Entry'!F456)</f>
        <v/>
      </c>
      <c r="G461" s="246" t="str">
        <f>IFERROR(INDEX('HCC Data Entry'!$J$4:$J$22, MATCH('HCC Detail'!$B461,'HCC Data Entry'!$I$4:$I$22,0)),"")</f>
        <v/>
      </c>
      <c r="H461" s="246" t="str">
        <f t="shared" si="24"/>
        <v/>
      </c>
      <c r="I461" s="247" t="str">
        <f t="shared" si="25"/>
        <v/>
      </c>
      <c r="J461" s="246" t="str">
        <f t="shared" si="26"/>
        <v/>
      </c>
    </row>
    <row r="462" spans="2:10" ht="18.5" x14ac:dyDescent="0.45">
      <c r="B462" s="244" t="str">
        <f>IF('HCC Data Entry'!B457="","",'HCC Data Entry'!B457)</f>
        <v/>
      </c>
      <c r="C462" s="244" t="str">
        <f>IF('HCC Data Entry'!C457="","",'HCC Data Entry'!C457)</f>
        <v/>
      </c>
      <c r="D462" s="244" t="str">
        <f>IF('HCC Data Entry'!D457="","",'HCC Data Entry'!D457)</f>
        <v/>
      </c>
      <c r="E462" s="244" t="str">
        <f>IF('HCC Data Entry'!E457="","",'HCC Data Entry'!E457)</f>
        <v/>
      </c>
      <c r="F462" s="246" t="str">
        <f>IF('HCC Data Entry'!F457="","",'HCC Data Entry'!F457)</f>
        <v/>
      </c>
      <c r="G462" s="246" t="str">
        <f>IFERROR(INDEX('HCC Data Entry'!$J$4:$J$22, MATCH('HCC Detail'!$B462,'HCC Data Entry'!$I$4:$I$22,0)),"")</f>
        <v/>
      </c>
      <c r="H462" s="246" t="str">
        <f t="shared" si="24"/>
        <v/>
      </c>
      <c r="I462" s="247" t="str">
        <f t="shared" si="25"/>
        <v/>
      </c>
      <c r="J462" s="246" t="str">
        <f t="shared" si="26"/>
        <v/>
      </c>
    </row>
    <row r="463" spans="2:10" ht="18.5" x14ac:dyDescent="0.45">
      <c r="B463" s="244" t="str">
        <f>IF('HCC Data Entry'!B458="","",'HCC Data Entry'!B458)</f>
        <v/>
      </c>
      <c r="C463" s="244" t="str">
        <f>IF('HCC Data Entry'!C458="","",'HCC Data Entry'!C458)</f>
        <v/>
      </c>
      <c r="D463" s="244" t="str">
        <f>IF('HCC Data Entry'!D458="","",'HCC Data Entry'!D458)</f>
        <v/>
      </c>
      <c r="E463" s="244" t="str">
        <f>IF('HCC Data Entry'!E458="","",'HCC Data Entry'!E458)</f>
        <v/>
      </c>
      <c r="F463" s="246" t="str">
        <f>IF('HCC Data Entry'!F458="","",'HCC Data Entry'!F458)</f>
        <v/>
      </c>
      <c r="G463" s="246" t="str">
        <f>IFERROR(INDEX('HCC Data Entry'!$J$4:$J$22, MATCH('HCC Detail'!$B463,'HCC Data Entry'!$I$4:$I$22,0)),"")</f>
        <v/>
      </c>
      <c r="H463" s="246" t="str">
        <f t="shared" si="24"/>
        <v/>
      </c>
      <c r="I463" s="247" t="str">
        <f t="shared" si="25"/>
        <v/>
      </c>
      <c r="J463" s="246" t="str">
        <f t="shared" si="26"/>
        <v/>
      </c>
    </row>
    <row r="464" spans="2:10" ht="18.5" x14ac:dyDescent="0.45">
      <c r="B464" s="244" t="str">
        <f>IF('HCC Data Entry'!B459="","",'HCC Data Entry'!B459)</f>
        <v/>
      </c>
      <c r="C464" s="244" t="str">
        <f>IF('HCC Data Entry'!C459="","",'HCC Data Entry'!C459)</f>
        <v/>
      </c>
      <c r="D464" s="244" t="str">
        <f>IF('HCC Data Entry'!D459="","",'HCC Data Entry'!D459)</f>
        <v/>
      </c>
      <c r="E464" s="244" t="str">
        <f>IF('HCC Data Entry'!E459="","",'HCC Data Entry'!E459)</f>
        <v/>
      </c>
      <c r="F464" s="246" t="str">
        <f>IF('HCC Data Entry'!F459="","",'HCC Data Entry'!F459)</f>
        <v/>
      </c>
      <c r="G464" s="246" t="str">
        <f>IFERROR(INDEX('HCC Data Entry'!$J$4:$J$22, MATCH('HCC Detail'!$B464,'HCC Data Entry'!$I$4:$I$22,0)),"")</f>
        <v/>
      </c>
      <c r="H464" s="246" t="str">
        <f t="shared" si="24"/>
        <v/>
      </c>
      <c r="I464" s="247" t="str">
        <f t="shared" si="25"/>
        <v/>
      </c>
      <c r="J464" s="246" t="str">
        <f t="shared" si="26"/>
        <v/>
      </c>
    </row>
    <row r="465" spans="2:10" ht="18.5" x14ac:dyDescent="0.45">
      <c r="B465" s="244" t="str">
        <f>IF('HCC Data Entry'!B460="","",'HCC Data Entry'!B460)</f>
        <v/>
      </c>
      <c r="C465" s="244" t="str">
        <f>IF('HCC Data Entry'!C460="","",'HCC Data Entry'!C460)</f>
        <v/>
      </c>
      <c r="D465" s="244" t="str">
        <f>IF('HCC Data Entry'!D460="","",'HCC Data Entry'!D460)</f>
        <v/>
      </c>
      <c r="E465" s="244" t="str">
        <f>IF('HCC Data Entry'!E460="","",'HCC Data Entry'!E460)</f>
        <v/>
      </c>
      <c r="F465" s="246" t="str">
        <f>IF('HCC Data Entry'!F460="","",'HCC Data Entry'!F460)</f>
        <v/>
      </c>
      <c r="G465" s="246" t="str">
        <f>IFERROR(INDEX('HCC Data Entry'!$J$4:$J$22, MATCH('HCC Detail'!$B465,'HCC Data Entry'!$I$4:$I$22,0)),"")</f>
        <v/>
      </c>
      <c r="H465" s="246" t="str">
        <f t="shared" si="24"/>
        <v/>
      </c>
      <c r="I465" s="247" t="str">
        <f t="shared" si="25"/>
        <v/>
      </c>
      <c r="J465" s="246" t="str">
        <f t="shared" si="26"/>
        <v/>
      </c>
    </row>
    <row r="466" spans="2:10" ht="18.5" x14ac:dyDescent="0.45">
      <c r="B466" s="244" t="str">
        <f>IF('HCC Data Entry'!B461="","",'HCC Data Entry'!B461)</f>
        <v/>
      </c>
      <c r="C466" s="244" t="str">
        <f>IF('HCC Data Entry'!C461="","",'HCC Data Entry'!C461)</f>
        <v/>
      </c>
      <c r="D466" s="244" t="str">
        <f>IF('HCC Data Entry'!D461="","",'HCC Data Entry'!D461)</f>
        <v/>
      </c>
      <c r="E466" s="244" t="str">
        <f>IF('HCC Data Entry'!E461="","",'HCC Data Entry'!E461)</f>
        <v/>
      </c>
      <c r="F466" s="246" t="str">
        <f>IF('HCC Data Entry'!F461="","",'HCC Data Entry'!F461)</f>
        <v/>
      </c>
      <c r="G466" s="246" t="str">
        <f>IFERROR(INDEX('HCC Data Entry'!$J$4:$J$22, MATCH('HCC Detail'!$B466,'HCC Data Entry'!$I$4:$I$22,0)),"")</f>
        <v/>
      </c>
      <c r="H466" s="246" t="str">
        <f t="shared" si="24"/>
        <v/>
      </c>
      <c r="I466" s="247" t="str">
        <f t="shared" si="25"/>
        <v/>
      </c>
      <c r="J466" s="246" t="str">
        <f t="shared" si="26"/>
        <v/>
      </c>
    </row>
    <row r="467" spans="2:10" ht="18.5" x14ac:dyDescent="0.45">
      <c r="B467" s="244" t="str">
        <f>IF('HCC Data Entry'!B462="","",'HCC Data Entry'!B462)</f>
        <v/>
      </c>
      <c r="C467" s="244" t="str">
        <f>IF('HCC Data Entry'!C462="","",'HCC Data Entry'!C462)</f>
        <v/>
      </c>
      <c r="D467" s="244" t="str">
        <f>IF('HCC Data Entry'!D462="","",'HCC Data Entry'!D462)</f>
        <v/>
      </c>
      <c r="E467" s="244" t="str">
        <f>IF('HCC Data Entry'!E462="","",'HCC Data Entry'!E462)</f>
        <v/>
      </c>
      <c r="F467" s="246" t="str">
        <f>IF('HCC Data Entry'!F462="","",'HCC Data Entry'!F462)</f>
        <v/>
      </c>
      <c r="G467" s="246" t="str">
        <f>IFERROR(INDEX('HCC Data Entry'!$J$4:$J$22, MATCH('HCC Detail'!$B467,'HCC Data Entry'!$I$4:$I$22,0)),"")</f>
        <v/>
      </c>
      <c r="H467" s="246" t="str">
        <f t="shared" si="24"/>
        <v/>
      </c>
      <c r="I467" s="247" t="str">
        <f t="shared" si="25"/>
        <v/>
      </c>
      <c r="J467" s="246" t="str">
        <f t="shared" si="26"/>
        <v/>
      </c>
    </row>
    <row r="468" spans="2:10" ht="18.5" x14ac:dyDescent="0.45">
      <c r="B468" s="244" t="str">
        <f>IF('HCC Data Entry'!B463="","",'HCC Data Entry'!B463)</f>
        <v/>
      </c>
      <c r="C468" s="244" t="str">
        <f>IF('HCC Data Entry'!C463="","",'HCC Data Entry'!C463)</f>
        <v/>
      </c>
      <c r="D468" s="244" t="str">
        <f>IF('HCC Data Entry'!D463="","",'HCC Data Entry'!D463)</f>
        <v/>
      </c>
      <c r="E468" s="244" t="str">
        <f>IF('HCC Data Entry'!E463="","",'HCC Data Entry'!E463)</f>
        <v/>
      </c>
      <c r="F468" s="246" t="str">
        <f>IF('HCC Data Entry'!F463="","",'HCC Data Entry'!F463)</f>
        <v/>
      </c>
      <c r="G468" s="246" t="str">
        <f>IFERROR(INDEX('HCC Data Entry'!$J$4:$J$22, MATCH('HCC Detail'!$B468,'HCC Data Entry'!$I$4:$I$22,0)),"")</f>
        <v/>
      </c>
      <c r="H468" s="246" t="str">
        <f t="shared" si="24"/>
        <v/>
      </c>
      <c r="I468" s="247" t="str">
        <f t="shared" si="25"/>
        <v/>
      </c>
      <c r="J468" s="246" t="str">
        <f t="shared" si="26"/>
        <v/>
      </c>
    </row>
    <row r="469" spans="2:10" ht="18.5" x14ac:dyDescent="0.45">
      <c r="B469" s="244" t="str">
        <f>IF('HCC Data Entry'!B464="","",'HCC Data Entry'!B464)</f>
        <v/>
      </c>
      <c r="C469" s="244" t="str">
        <f>IF('HCC Data Entry'!C464="","",'HCC Data Entry'!C464)</f>
        <v/>
      </c>
      <c r="D469" s="244" t="str">
        <f>IF('HCC Data Entry'!D464="","",'HCC Data Entry'!D464)</f>
        <v/>
      </c>
      <c r="E469" s="244" t="str">
        <f>IF('HCC Data Entry'!E464="","",'HCC Data Entry'!E464)</f>
        <v/>
      </c>
      <c r="F469" s="246" t="str">
        <f>IF('HCC Data Entry'!F464="","",'HCC Data Entry'!F464)</f>
        <v/>
      </c>
      <c r="G469" s="246" t="str">
        <f>IFERROR(INDEX('HCC Data Entry'!$J$4:$J$22, MATCH('HCC Detail'!$B469,'HCC Data Entry'!$I$4:$I$22,0)),"")</f>
        <v/>
      </c>
      <c r="H469" s="246" t="str">
        <f t="shared" si="24"/>
        <v/>
      </c>
      <c r="I469" s="247" t="str">
        <f t="shared" si="25"/>
        <v/>
      </c>
      <c r="J469" s="246" t="str">
        <f t="shared" si="26"/>
        <v/>
      </c>
    </row>
    <row r="470" spans="2:10" ht="18.5" x14ac:dyDescent="0.45">
      <c r="B470" s="244" t="str">
        <f>IF('HCC Data Entry'!B465="","",'HCC Data Entry'!B465)</f>
        <v/>
      </c>
      <c r="C470" s="244" t="str">
        <f>IF('HCC Data Entry'!C465="","",'HCC Data Entry'!C465)</f>
        <v/>
      </c>
      <c r="D470" s="244" t="str">
        <f>IF('HCC Data Entry'!D465="","",'HCC Data Entry'!D465)</f>
        <v/>
      </c>
      <c r="E470" s="244" t="str">
        <f>IF('HCC Data Entry'!E465="","",'HCC Data Entry'!E465)</f>
        <v/>
      </c>
      <c r="F470" s="246" t="str">
        <f>IF('HCC Data Entry'!F465="","",'HCC Data Entry'!F465)</f>
        <v/>
      </c>
      <c r="G470" s="246" t="str">
        <f>IFERROR(INDEX('HCC Data Entry'!$J$4:$J$22, MATCH('HCC Detail'!$B470,'HCC Data Entry'!$I$4:$I$22,0)),"")</f>
        <v/>
      </c>
      <c r="H470" s="246" t="str">
        <f t="shared" si="24"/>
        <v/>
      </c>
      <c r="I470" s="247" t="str">
        <f t="shared" si="25"/>
        <v/>
      </c>
      <c r="J470" s="246" t="str">
        <f t="shared" si="26"/>
        <v/>
      </c>
    </row>
    <row r="471" spans="2:10" ht="18.5" x14ac:dyDescent="0.45">
      <c r="B471" s="244" t="str">
        <f>IF('HCC Data Entry'!B466="","",'HCC Data Entry'!B466)</f>
        <v/>
      </c>
      <c r="C471" s="244" t="str">
        <f>IF('HCC Data Entry'!C466="","",'HCC Data Entry'!C466)</f>
        <v/>
      </c>
      <c r="D471" s="244" t="str">
        <f>IF('HCC Data Entry'!D466="","",'HCC Data Entry'!D466)</f>
        <v/>
      </c>
      <c r="E471" s="244" t="str">
        <f>IF('HCC Data Entry'!E466="","",'HCC Data Entry'!E466)</f>
        <v/>
      </c>
      <c r="F471" s="246" t="str">
        <f>IF('HCC Data Entry'!F466="","",'HCC Data Entry'!F466)</f>
        <v/>
      </c>
      <c r="G471" s="246" t="str">
        <f>IFERROR(INDEX('HCC Data Entry'!$J$4:$J$22, MATCH('HCC Detail'!$B471,'HCC Data Entry'!$I$4:$I$22,0)),"")</f>
        <v/>
      </c>
      <c r="H471" s="246" t="str">
        <f t="shared" si="24"/>
        <v/>
      </c>
      <c r="I471" s="247" t="str">
        <f t="shared" si="25"/>
        <v/>
      </c>
      <c r="J471" s="246" t="str">
        <f t="shared" si="26"/>
        <v/>
      </c>
    </row>
    <row r="472" spans="2:10" ht="18.5" x14ac:dyDescent="0.45">
      <c r="B472" s="244" t="str">
        <f>IF('HCC Data Entry'!B467="","",'HCC Data Entry'!B467)</f>
        <v/>
      </c>
      <c r="C472" s="244" t="str">
        <f>IF('HCC Data Entry'!C467="","",'HCC Data Entry'!C467)</f>
        <v/>
      </c>
      <c r="D472" s="244" t="str">
        <f>IF('HCC Data Entry'!D467="","",'HCC Data Entry'!D467)</f>
        <v/>
      </c>
      <c r="E472" s="244" t="str">
        <f>IF('HCC Data Entry'!E467="","",'HCC Data Entry'!E467)</f>
        <v/>
      </c>
      <c r="F472" s="246" t="str">
        <f>IF('HCC Data Entry'!F467="","",'HCC Data Entry'!F467)</f>
        <v/>
      </c>
      <c r="G472" s="246" t="str">
        <f>IFERROR(INDEX('HCC Data Entry'!$J$4:$J$22, MATCH('HCC Detail'!$B472,'HCC Data Entry'!$I$4:$I$22,0)),"")</f>
        <v/>
      </c>
      <c r="H472" s="246" t="str">
        <f t="shared" si="24"/>
        <v/>
      </c>
      <c r="I472" s="247" t="str">
        <f t="shared" si="25"/>
        <v/>
      </c>
      <c r="J472" s="246" t="str">
        <f t="shared" si="26"/>
        <v/>
      </c>
    </row>
    <row r="473" spans="2:10" ht="18.5" x14ac:dyDescent="0.45">
      <c r="B473" s="244" t="str">
        <f>IF('HCC Data Entry'!B468="","",'HCC Data Entry'!B468)</f>
        <v/>
      </c>
      <c r="C473" s="244" t="str">
        <f>IF('HCC Data Entry'!C468="","",'HCC Data Entry'!C468)</f>
        <v/>
      </c>
      <c r="D473" s="244" t="str">
        <f>IF('HCC Data Entry'!D468="","",'HCC Data Entry'!D468)</f>
        <v/>
      </c>
      <c r="E473" s="244" t="str">
        <f>IF('HCC Data Entry'!E468="","",'HCC Data Entry'!E468)</f>
        <v/>
      </c>
      <c r="F473" s="246" t="str">
        <f>IF('HCC Data Entry'!F468="","",'HCC Data Entry'!F468)</f>
        <v/>
      </c>
      <c r="G473" s="246" t="str">
        <f>IFERROR(INDEX('HCC Data Entry'!$J$4:$J$22, MATCH('HCC Detail'!$B473,'HCC Data Entry'!$I$4:$I$22,0)),"")</f>
        <v/>
      </c>
      <c r="H473" s="246" t="str">
        <f t="shared" si="24"/>
        <v/>
      </c>
      <c r="I473" s="247" t="str">
        <f t="shared" si="25"/>
        <v/>
      </c>
      <c r="J473" s="246" t="str">
        <f t="shared" si="26"/>
        <v/>
      </c>
    </row>
    <row r="474" spans="2:10" ht="18.5" x14ac:dyDescent="0.45">
      <c r="B474" s="244" t="str">
        <f>IF('HCC Data Entry'!B469="","",'HCC Data Entry'!B469)</f>
        <v/>
      </c>
      <c r="C474" s="244" t="str">
        <f>IF('HCC Data Entry'!C469="","",'HCC Data Entry'!C469)</f>
        <v/>
      </c>
      <c r="D474" s="244" t="str">
        <f>IF('HCC Data Entry'!D469="","",'HCC Data Entry'!D469)</f>
        <v/>
      </c>
      <c r="E474" s="244" t="str">
        <f>IF('HCC Data Entry'!E469="","",'HCC Data Entry'!E469)</f>
        <v/>
      </c>
      <c r="F474" s="246" t="str">
        <f>IF('HCC Data Entry'!F469="","",'HCC Data Entry'!F469)</f>
        <v/>
      </c>
      <c r="G474" s="246" t="str">
        <f>IFERROR(INDEX('HCC Data Entry'!$J$4:$J$22, MATCH('HCC Detail'!$B474,'HCC Data Entry'!$I$4:$I$22,0)),"")</f>
        <v/>
      </c>
      <c r="H474" s="246" t="str">
        <f t="shared" si="24"/>
        <v/>
      </c>
      <c r="I474" s="247" t="str">
        <f t="shared" si="25"/>
        <v/>
      </c>
      <c r="J474" s="246" t="str">
        <f t="shared" si="26"/>
        <v/>
      </c>
    </row>
    <row r="475" spans="2:10" ht="18.5" x14ac:dyDescent="0.45">
      <c r="B475" s="244" t="str">
        <f>IF('HCC Data Entry'!B470="","",'HCC Data Entry'!B470)</f>
        <v/>
      </c>
      <c r="C475" s="244" t="str">
        <f>IF('HCC Data Entry'!C470="","",'HCC Data Entry'!C470)</f>
        <v/>
      </c>
      <c r="D475" s="244" t="str">
        <f>IF('HCC Data Entry'!D470="","",'HCC Data Entry'!D470)</f>
        <v/>
      </c>
      <c r="E475" s="244" t="str">
        <f>IF('HCC Data Entry'!E470="","",'HCC Data Entry'!E470)</f>
        <v/>
      </c>
      <c r="F475" s="246" t="str">
        <f>IF('HCC Data Entry'!F470="","",'HCC Data Entry'!F470)</f>
        <v/>
      </c>
      <c r="G475" s="246" t="str">
        <f>IFERROR(INDEX('HCC Data Entry'!$J$4:$J$22, MATCH('HCC Detail'!$B475,'HCC Data Entry'!$I$4:$I$22,0)),"")</f>
        <v/>
      </c>
      <c r="H475" s="246" t="str">
        <f t="shared" si="24"/>
        <v/>
      </c>
      <c r="I475" s="247" t="str">
        <f t="shared" si="25"/>
        <v/>
      </c>
      <c r="J475" s="246" t="str">
        <f t="shared" si="26"/>
        <v/>
      </c>
    </row>
    <row r="476" spans="2:10" ht="18.5" x14ac:dyDescent="0.45">
      <c r="B476" s="244" t="str">
        <f>IF('HCC Data Entry'!B471="","",'HCC Data Entry'!B471)</f>
        <v/>
      </c>
      <c r="C476" s="244" t="str">
        <f>IF('HCC Data Entry'!C471="","",'HCC Data Entry'!C471)</f>
        <v/>
      </c>
      <c r="D476" s="244" t="str">
        <f>IF('HCC Data Entry'!D471="","",'HCC Data Entry'!D471)</f>
        <v/>
      </c>
      <c r="E476" s="244" t="str">
        <f>IF('HCC Data Entry'!E471="","",'HCC Data Entry'!E471)</f>
        <v/>
      </c>
      <c r="F476" s="246" t="str">
        <f>IF('HCC Data Entry'!F471="","",'HCC Data Entry'!F471)</f>
        <v/>
      </c>
      <c r="G476" s="246" t="str">
        <f>IFERROR(INDEX('HCC Data Entry'!$J$4:$J$22, MATCH('HCC Detail'!$B476,'HCC Data Entry'!$I$4:$I$22,0)),"")</f>
        <v/>
      </c>
      <c r="H476" s="246" t="str">
        <f t="shared" si="24"/>
        <v/>
      </c>
      <c r="I476" s="247" t="str">
        <f t="shared" si="25"/>
        <v/>
      </c>
      <c r="J476" s="246" t="str">
        <f t="shared" si="26"/>
        <v/>
      </c>
    </row>
    <row r="477" spans="2:10" ht="18.5" x14ac:dyDescent="0.45">
      <c r="B477" s="244" t="str">
        <f>IF('HCC Data Entry'!B472="","",'HCC Data Entry'!B472)</f>
        <v/>
      </c>
      <c r="C477" s="244" t="str">
        <f>IF('HCC Data Entry'!C472="","",'HCC Data Entry'!C472)</f>
        <v/>
      </c>
      <c r="D477" s="244" t="str">
        <f>IF('HCC Data Entry'!D472="","",'HCC Data Entry'!D472)</f>
        <v/>
      </c>
      <c r="E477" s="244" t="str">
        <f>IF('HCC Data Entry'!E472="","",'HCC Data Entry'!E472)</f>
        <v/>
      </c>
      <c r="F477" s="246" t="str">
        <f>IF('HCC Data Entry'!F472="","",'HCC Data Entry'!F472)</f>
        <v/>
      </c>
      <c r="G477" s="246" t="str">
        <f>IFERROR(INDEX('HCC Data Entry'!$J$4:$J$22, MATCH('HCC Detail'!$B477,'HCC Data Entry'!$I$4:$I$22,0)),"")</f>
        <v/>
      </c>
      <c r="H477" s="246" t="str">
        <f t="shared" si="24"/>
        <v/>
      </c>
      <c r="I477" s="247" t="str">
        <f t="shared" si="25"/>
        <v/>
      </c>
      <c r="J477" s="246" t="str">
        <f t="shared" si="26"/>
        <v/>
      </c>
    </row>
    <row r="478" spans="2:10" ht="18.5" x14ac:dyDescent="0.45">
      <c r="B478" s="244" t="str">
        <f>IF('HCC Data Entry'!B473="","",'HCC Data Entry'!B473)</f>
        <v/>
      </c>
      <c r="C478" s="244" t="str">
        <f>IF('HCC Data Entry'!C473="","",'HCC Data Entry'!C473)</f>
        <v/>
      </c>
      <c r="D478" s="244" t="str">
        <f>IF('HCC Data Entry'!D473="","",'HCC Data Entry'!D473)</f>
        <v/>
      </c>
      <c r="E478" s="244" t="str">
        <f>IF('HCC Data Entry'!E473="","",'HCC Data Entry'!E473)</f>
        <v/>
      </c>
      <c r="F478" s="246" t="str">
        <f>IF('HCC Data Entry'!F473="","",'HCC Data Entry'!F473)</f>
        <v/>
      </c>
      <c r="G478" s="246" t="str">
        <f>IFERROR(INDEX('HCC Data Entry'!$J$4:$J$22, MATCH('HCC Detail'!$B478,'HCC Data Entry'!$I$4:$I$22,0)),"")</f>
        <v/>
      </c>
      <c r="H478" s="246" t="str">
        <f t="shared" si="24"/>
        <v/>
      </c>
      <c r="I478" s="247" t="str">
        <f t="shared" si="25"/>
        <v/>
      </c>
      <c r="J478" s="246" t="str">
        <f t="shared" si="26"/>
        <v/>
      </c>
    </row>
    <row r="479" spans="2:10" ht="18.5" x14ac:dyDescent="0.45">
      <c r="B479" s="244" t="str">
        <f>IF('HCC Data Entry'!B474="","",'HCC Data Entry'!B474)</f>
        <v/>
      </c>
      <c r="C479" s="244" t="str">
        <f>IF('HCC Data Entry'!C474="","",'HCC Data Entry'!C474)</f>
        <v/>
      </c>
      <c r="D479" s="244" t="str">
        <f>IF('HCC Data Entry'!D474="","",'HCC Data Entry'!D474)</f>
        <v/>
      </c>
      <c r="E479" s="244" t="str">
        <f>IF('HCC Data Entry'!E474="","",'HCC Data Entry'!E474)</f>
        <v/>
      </c>
      <c r="F479" s="246" t="str">
        <f>IF('HCC Data Entry'!F474="","",'HCC Data Entry'!F474)</f>
        <v/>
      </c>
      <c r="G479" s="246" t="str">
        <f>IFERROR(INDEX('HCC Data Entry'!$J$4:$J$22, MATCH('HCC Detail'!$B479,'HCC Data Entry'!$I$4:$I$22,0)),"")</f>
        <v/>
      </c>
      <c r="H479" s="246" t="str">
        <f t="shared" si="24"/>
        <v/>
      </c>
      <c r="I479" s="247" t="str">
        <f t="shared" si="25"/>
        <v/>
      </c>
      <c r="J479" s="246" t="str">
        <f t="shared" si="26"/>
        <v/>
      </c>
    </row>
    <row r="480" spans="2:10" ht="18.5" x14ac:dyDescent="0.45">
      <c r="B480" s="244" t="str">
        <f>IF('HCC Data Entry'!B475="","",'HCC Data Entry'!B475)</f>
        <v/>
      </c>
      <c r="C480" s="244" t="str">
        <f>IF('HCC Data Entry'!C475="","",'HCC Data Entry'!C475)</f>
        <v/>
      </c>
      <c r="D480" s="244" t="str">
        <f>IF('HCC Data Entry'!D475="","",'HCC Data Entry'!D475)</f>
        <v/>
      </c>
      <c r="E480" s="244" t="str">
        <f>IF('HCC Data Entry'!E475="","",'HCC Data Entry'!E475)</f>
        <v/>
      </c>
      <c r="F480" s="246" t="str">
        <f>IF('HCC Data Entry'!F475="","",'HCC Data Entry'!F475)</f>
        <v/>
      </c>
      <c r="G480" s="246" t="str">
        <f>IFERROR(INDEX('HCC Data Entry'!$J$4:$J$22, MATCH('HCC Detail'!$B480,'HCC Data Entry'!$I$4:$I$22,0)),"")</f>
        <v/>
      </c>
      <c r="H480" s="246" t="str">
        <f t="shared" si="24"/>
        <v/>
      </c>
      <c r="I480" s="247" t="str">
        <f t="shared" si="25"/>
        <v/>
      </c>
      <c r="J480" s="246" t="str">
        <f t="shared" si="26"/>
        <v/>
      </c>
    </row>
    <row r="481" spans="2:10" ht="18.5" x14ac:dyDescent="0.45">
      <c r="B481" s="244" t="str">
        <f>IF('HCC Data Entry'!B476="","",'HCC Data Entry'!B476)</f>
        <v/>
      </c>
      <c r="C481" s="244" t="str">
        <f>IF('HCC Data Entry'!C476="","",'HCC Data Entry'!C476)</f>
        <v/>
      </c>
      <c r="D481" s="244" t="str">
        <f>IF('HCC Data Entry'!D476="","",'HCC Data Entry'!D476)</f>
        <v/>
      </c>
      <c r="E481" s="244" t="str">
        <f>IF('HCC Data Entry'!E476="","",'HCC Data Entry'!E476)</f>
        <v/>
      </c>
      <c r="F481" s="246" t="str">
        <f>IF('HCC Data Entry'!F476="","",'HCC Data Entry'!F476)</f>
        <v/>
      </c>
      <c r="G481" s="246" t="str">
        <f>IFERROR(INDEX('HCC Data Entry'!$J$4:$J$22, MATCH('HCC Detail'!$B481,'HCC Data Entry'!$I$4:$I$22,0)),"")</f>
        <v/>
      </c>
      <c r="H481" s="246" t="str">
        <f t="shared" si="24"/>
        <v/>
      </c>
      <c r="I481" s="247" t="str">
        <f t="shared" si="25"/>
        <v/>
      </c>
      <c r="J481" s="246" t="str">
        <f t="shared" si="26"/>
        <v/>
      </c>
    </row>
    <row r="482" spans="2:10" ht="18.5" x14ac:dyDescent="0.45">
      <c r="B482" s="244" t="str">
        <f>IF('HCC Data Entry'!B477="","",'HCC Data Entry'!B477)</f>
        <v/>
      </c>
      <c r="C482" s="244" t="str">
        <f>IF('HCC Data Entry'!C477="","",'HCC Data Entry'!C477)</f>
        <v/>
      </c>
      <c r="D482" s="244" t="str">
        <f>IF('HCC Data Entry'!D477="","",'HCC Data Entry'!D477)</f>
        <v/>
      </c>
      <c r="E482" s="244" t="str">
        <f>IF('HCC Data Entry'!E477="","",'HCC Data Entry'!E477)</f>
        <v/>
      </c>
      <c r="F482" s="246" t="str">
        <f>IF('HCC Data Entry'!F477="","",'HCC Data Entry'!F477)</f>
        <v/>
      </c>
      <c r="G482" s="246" t="str">
        <f>IFERROR(INDEX('HCC Data Entry'!$J$4:$J$22, MATCH('HCC Detail'!$B482,'HCC Data Entry'!$I$4:$I$22,0)),"")</f>
        <v/>
      </c>
      <c r="H482" s="246" t="str">
        <f t="shared" si="24"/>
        <v/>
      </c>
      <c r="I482" s="247" t="str">
        <f t="shared" si="25"/>
        <v/>
      </c>
      <c r="J482" s="246" t="str">
        <f t="shared" si="26"/>
        <v/>
      </c>
    </row>
    <row r="483" spans="2:10" ht="18.5" x14ac:dyDescent="0.45">
      <c r="B483" s="244" t="str">
        <f>IF('HCC Data Entry'!B478="","",'HCC Data Entry'!B478)</f>
        <v/>
      </c>
      <c r="C483" s="244" t="str">
        <f>IF('HCC Data Entry'!C478="","",'HCC Data Entry'!C478)</f>
        <v/>
      </c>
      <c r="D483" s="244" t="str">
        <f>IF('HCC Data Entry'!D478="","",'HCC Data Entry'!D478)</f>
        <v/>
      </c>
      <c r="E483" s="244" t="str">
        <f>IF('HCC Data Entry'!E478="","",'HCC Data Entry'!E478)</f>
        <v/>
      </c>
      <c r="F483" s="246" t="str">
        <f>IF('HCC Data Entry'!F478="","",'HCC Data Entry'!F478)</f>
        <v/>
      </c>
      <c r="G483" s="246" t="str">
        <f>IFERROR(INDEX('HCC Data Entry'!$J$4:$J$22, MATCH('HCC Detail'!$B483,'HCC Data Entry'!$I$4:$I$22,0)),"")</f>
        <v/>
      </c>
      <c r="H483" s="246" t="str">
        <f t="shared" si="24"/>
        <v/>
      </c>
      <c r="I483" s="247" t="str">
        <f t="shared" si="25"/>
        <v/>
      </c>
      <c r="J483" s="246" t="str">
        <f t="shared" si="26"/>
        <v/>
      </c>
    </row>
    <row r="484" spans="2:10" ht="18.5" x14ac:dyDescent="0.45">
      <c r="B484" s="244" t="str">
        <f>IF('HCC Data Entry'!B479="","",'HCC Data Entry'!B479)</f>
        <v/>
      </c>
      <c r="C484" s="244" t="str">
        <f>IF('HCC Data Entry'!C479="","",'HCC Data Entry'!C479)</f>
        <v/>
      </c>
      <c r="D484" s="244" t="str">
        <f>IF('HCC Data Entry'!D479="","",'HCC Data Entry'!D479)</f>
        <v/>
      </c>
      <c r="E484" s="244" t="str">
        <f>IF('HCC Data Entry'!E479="","",'HCC Data Entry'!E479)</f>
        <v/>
      </c>
      <c r="F484" s="246" t="str">
        <f>IF('HCC Data Entry'!F479="","",'HCC Data Entry'!F479)</f>
        <v/>
      </c>
      <c r="G484" s="246" t="str">
        <f>IFERROR(INDEX('HCC Data Entry'!$J$4:$J$22, MATCH('HCC Detail'!$B484,'HCC Data Entry'!$I$4:$I$22,0)),"")</f>
        <v/>
      </c>
      <c r="H484" s="246" t="str">
        <f t="shared" si="24"/>
        <v/>
      </c>
      <c r="I484" s="247" t="str">
        <f t="shared" si="25"/>
        <v/>
      </c>
      <c r="J484" s="246" t="str">
        <f t="shared" si="26"/>
        <v/>
      </c>
    </row>
    <row r="485" spans="2:10" ht="18.5" x14ac:dyDescent="0.45">
      <c r="B485" s="244" t="str">
        <f>IF('HCC Data Entry'!B480="","",'HCC Data Entry'!B480)</f>
        <v/>
      </c>
      <c r="C485" s="244" t="str">
        <f>IF('HCC Data Entry'!C480="","",'HCC Data Entry'!C480)</f>
        <v/>
      </c>
      <c r="D485" s="244" t="str">
        <f>IF('HCC Data Entry'!D480="","",'HCC Data Entry'!D480)</f>
        <v/>
      </c>
      <c r="E485" s="244" t="str">
        <f>IF('HCC Data Entry'!E480="","",'HCC Data Entry'!E480)</f>
        <v/>
      </c>
      <c r="F485" s="246" t="str">
        <f>IF('HCC Data Entry'!F480="","",'HCC Data Entry'!F480)</f>
        <v/>
      </c>
      <c r="G485" s="246" t="str">
        <f>IFERROR(INDEX('HCC Data Entry'!$J$4:$J$22, MATCH('HCC Detail'!$B485,'HCC Data Entry'!$I$4:$I$22,0)),"")</f>
        <v/>
      </c>
      <c r="H485" s="246" t="str">
        <f t="shared" si="24"/>
        <v/>
      </c>
      <c r="I485" s="247" t="str">
        <f t="shared" si="25"/>
        <v/>
      </c>
      <c r="J485" s="246" t="str">
        <f t="shared" si="26"/>
        <v/>
      </c>
    </row>
    <row r="486" spans="2:10" ht="18.5" x14ac:dyDescent="0.45">
      <c r="B486" s="244" t="str">
        <f>IF('HCC Data Entry'!B481="","",'HCC Data Entry'!B481)</f>
        <v/>
      </c>
      <c r="C486" s="244" t="str">
        <f>IF('HCC Data Entry'!C481="","",'HCC Data Entry'!C481)</f>
        <v/>
      </c>
      <c r="D486" s="244" t="str">
        <f>IF('HCC Data Entry'!D481="","",'HCC Data Entry'!D481)</f>
        <v/>
      </c>
      <c r="E486" s="244" t="str">
        <f>IF('HCC Data Entry'!E481="","",'HCC Data Entry'!E481)</f>
        <v/>
      </c>
      <c r="F486" s="246" t="str">
        <f>IF('HCC Data Entry'!F481="","",'HCC Data Entry'!F481)</f>
        <v/>
      </c>
      <c r="G486" s="246" t="str">
        <f>IFERROR(INDEX('HCC Data Entry'!$J$4:$J$22, MATCH('HCC Detail'!$B486,'HCC Data Entry'!$I$4:$I$22,0)),"")</f>
        <v/>
      </c>
      <c r="H486" s="246" t="str">
        <f t="shared" si="24"/>
        <v/>
      </c>
      <c r="I486" s="247" t="str">
        <f t="shared" si="25"/>
        <v/>
      </c>
      <c r="J486" s="246" t="str">
        <f t="shared" si="26"/>
        <v/>
      </c>
    </row>
    <row r="487" spans="2:10" ht="18.5" x14ac:dyDescent="0.45">
      <c r="B487" s="244" t="str">
        <f>IF('HCC Data Entry'!B482="","",'HCC Data Entry'!B482)</f>
        <v/>
      </c>
      <c r="C487" s="244" t="str">
        <f>IF('HCC Data Entry'!C482="","",'HCC Data Entry'!C482)</f>
        <v/>
      </c>
      <c r="D487" s="244" t="str">
        <f>IF('HCC Data Entry'!D482="","",'HCC Data Entry'!D482)</f>
        <v/>
      </c>
      <c r="E487" s="244" t="str">
        <f>IF('HCC Data Entry'!E482="","",'HCC Data Entry'!E482)</f>
        <v/>
      </c>
      <c r="F487" s="246" t="str">
        <f>IF('HCC Data Entry'!F482="","",'HCC Data Entry'!F482)</f>
        <v/>
      </c>
      <c r="G487" s="246" t="str">
        <f>IFERROR(INDEX('HCC Data Entry'!$J$4:$J$22, MATCH('HCC Detail'!$B487,'HCC Data Entry'!$I$4:$I$22,0)),"")</f>
        <v/>
      </c>
      <c r="H487" s="246" t="str">
        <f t="shared" si="24"/>
        <v/>
      </c>
      <c r="I487" s="247" t="str">
        <f t="shared" si="25"/>
        <v/>
      </c>
      <c r="J487" s="246" t="str">
        <f t="shared" si="26"/>
        <v/>
      </c>
    </row>
    <row r="488" spans="2:10" ht="18.5" x14ac:dyDescent="0.45">
      <c r="B488" s="244" t="str">
        <f>IF('HCC Data Entry'!B483="","",'HCC Data Entry'!B483)</f>
        <v/>
      </c>
      <c r="C488" s="244" t="str">
        <f>IF('HCC Data Entry'!C483="","",'HCC Data Entry'!C483)</f>
        <v/>
      </c>
      <c r="D488" s="244" t="str">
        <f>IF('HCC Data Entry'!D483="","",'HCC Data Entry'!D483)</f>
        <v/>
      </c>
      <c r="E488" s="244" t="str">
        <f>IF('HCC Data Entry'!E483="","",'HCC Data Entry'!E483)</f>
        <v/>
      </c>
      <c r="F488" s="246" t="str">
        <f>IF('HCC Data Entry'!F483="","",'HCC Data Entry'!F483)</f>
        <v/>
      </c>
      <c r="G488" s="246" t="str">
        <f>IFERROR(INDEX('HCC Data Entry'!$J$4:$J$22, MATCH('HCC Detail'!$B488,'HCC Data Entry'!$I$4:$I$22,0)),"")</f>
        <v/>
      </c>
      <c r="H488" s="246" t="str">
        <f t="shared" si="24"/>
        <v/>
      </c>
      <c r="I488" s="247" t="str">
        <f t="shared" si="25"/>
        <v/>
      </c>
      <c r="J488" s="246" t="str">
        <f t="shared" si="26"/>
        <v/>
      </c>
    </row>
    <row r="489" spans="2:10" ht="18.5" x14ac:dyDescent="0.45">
      <c r="B489" s="244" t="str">
        <f>IF('HCC Data Entry'!B484="","",'HCC Data Entry'!B484)</f>
        <v/>
      </c>
      <c r="C489" s="244" t="str">
        <f>IF('HCC Data Entry'!C484="","",'HCC Data Entry'!C484)</f>
        <v/>
      </c>
      <c r="D489" s="244" t="str">
        <f>IF('HCC Data Entry'!D484="","",'HCC Data Entry'!D484)</f>
        <v/>
      </c>
      <c r="E489" s="244" t="str">
        <f>IF('HCC Data Entry'!E484="","",'HCC Data Entry'!E484)</f>
        <v/>
      </c>
      <c r="F489" s="246" t="str">
        <f>IF('HCC Data Entry'!F484="","",'HCC Data Entry'!F484)</f>
        <v/>
      </c>
      <c r="G489" s="246" t="str">
        <f>IFERROR(INDEX('HCC Data Entry'!$J$4:$J$22, MATCH('HCC Detail'!$B489,'HCC Data Entry'!$I$4:$I$22,0)),"")</f>
        <v/>
      </c>
      <c r="H489" s="246" t="str">
        <f t="shared" si="24"/>
        <v/>
      </c>
      <c r="I489" s="247" t="str">
        <f t="shared" si="25"/>
        <v/>
      </c>
      <c r="J489" s="246" t="str">
        <f t="shared" si="26"/>
        <v/>
      </c>
    </row>
    <row r="490" spans="2:10" ht="18.5" x14ac:dyDescent="0.45">
      <c r="B490" s="244" t="str">
        <f>IF('HCC Data Entry'!B485="","",'HCC Data Entry'!B485)</f>
        <v/>
      </c>
      <c r="C490" s="244" t="str">
        <f>IF('HCC Data Entry'!C485="","",'HCC Data Entry'!C485)</f>
        <v/>
      </c>
      <c r="D490" s="244" t="str">
        <f>IF('HCC Data Entry'!D485="","",'HCC Data Entry'!D485)</f>
        <v/>
      </c>
      <c r="E490" s="244" t="str">
        <f>IF('HCC Data Entry'!E485="","",'HCC Data Entry'!E485)</f>
        <v/>
      </c>
      <c r="F490" s="246" t="str">
        <f>IF('HCC Data Entry'!F485="","",'HCC Data Entry'!F485)</f>
        <v/>
      </c>
      <c r="G490" s="246" t="str">
        <f>IFERROR(INDEX('HCC Data Entry'!$J$4:$J$22, MATCH('HCC Detail'!$B490,'HCC Data Entry'!$I$4:$I$22,0)),"")</f>
        <v/>
      </c>
      <c r="H490" s="246" t="str">
        <f t="shared" si="24"/>
        <v/>
      </c>
      <c r="I490" s="247" t="str">
        <f t="shared" si="25"/>
        <v/>
      </c>
      <c r="J490" s="246" t="str">
        <f t="shared" si="26"/>
        <v/>
      </c>
    </row>
    <row r="491" spans="2:10" ht="18.5" x14ac:dyDescent="0.45">
      <c r="B491" s="244" t="str">
        <f>IF('HCC Data Entry'!B486="","",'HCC Data Entry'!B486)</f>
        <v/>
      </c>
      <c r="C491" s="244" t="str">
        <f>IF('HCC Data Entry'!C486="","",'HCC Data Entry'!C486)</f>
        <v/>
      </c>
      <c r="D491" s="244" t="str">
        <f>IF('HCC Data Entry'!D486="","",'HCC Data Entry'!D486)</f>
        <v/>
      </c>
      <c r="E491" s="244" t="str">
        <f>IF('HCC Data Entry'!E486="","",'HCC Data Entry'!E486)</f>
        <v/>
      </c>
      <c r="F491" s="246" t="str">
        <f>IF('HCC Data Entry'!F486="","",'HCC Data Entry'!F486)</f>
        <v/>
      </c>
      <c r="G491" s="246" t="str">
        <f>IFERROR(INDEX('HCC Data Entry'!$J$4:$J$22, MATCH('HCC Detail'!$B491,'HCC Data Entry'!$I$4:$I$22,0)),"")</f>
        <v/>
      </c>
      <c r="H491" s="246" t="str">
        <f t="shared" si="24"/>
        <v/>
      </c>
      <c r="I491" s="247" t="str">
        <f t="shared" si="25"/>
        <v/>
      </c>
      <c r="J491" s="246" t="str">
        <f t="shared" si="26"/>
        <v/>
      </c>
    </row>
    <row r="492" spans="2:10" ht="18.5" x14ac:dyDescent="0.45">
      <c r="B492" s="244" t="str">
        <f>IF('HCC Data Entry'!B487="","",'HCC Data Entry'!B487)</f>
        <v/>
      </c>
      <c r="C492" s="244" t="str">
        <f>IF('HCC Data Entry'!C487="","",'HCC Data Entry'!C487)</f>
        <v/>
      </c>
      <c r="D492" s="244" t="str">
        <f>IF('HCC Data Entry'!D487="","",'HCC Data Entry'!D487)</f>
        <v/>
      </c>
      <c r="E492" s="244" t="str">
        <f>IF('HCC Data Entry'!E487="","",'HCC Data Entry'!E487)</f>
        <v/>
      </c>
      <c r="F492" s="246" t="str">
        <f>IF('HCC Data Entry'!F487="","",'HCC Data Entry'!F487)</f>
        <v/>
      </c>
      <c r="G492" s="246" t="str">
        <f>IFERROR(INDEX('HCC Data Entry'!$J$4:$J$22, MATCH('HCC Detail'!$B492,'HCC Data Entry'!$I$4:$I$22,0)),"")</f>
        <v/>
      </c>
      <c r="H492" s="246" t="str">
        <f t="shared" si="24"/>
        <v/>
      </c>
      <c r="I492" s="247" t="str">
        <f t="shared" si="25"/>
        <v/>
      </c>
      <c r="J492" s="246" t="str">
        <f t="shared" si="26"/>
        <v/>
      </c>
    </row>
    <row r="493" spans="2:10" ht="18.5" x14ac:dyDescent="0.45">
      <c r="B493" s="244" t="str">
        <f>IF('HCC Data Entry'!B488="","",'HCC Data Entry'!B488)</f>
        <v/>
      </c>
      <c r="C493" s="244" t="str">
        <f>IF('HCC Data Entry'!C488="","",'HCC Data Entry'!C488)</f>
        <v/>
      </c>
      <c r="D493" s="244" t="str">
        <f>IF('HCC Data Entry'!D488="","",'HCC Data Entry'!D488)</f>
        <v/>
      </c>
      <c r="E493" s="244" t="str">
        <f>IF('HCC Data Entry'!E488="","",'HCC Data Entry'!E488)</f>
        <v/>
      </c>
      <c r="F493" s="246" t="str">
        <f>IF('HCC Data Entry'!F488="","",'HCC Data Entry'!F488)</f>
        <v/>
      </c>
      <c r="G493" s="246" t="str">
        <f>IFERROR(INDEX('HCC Data Entry'!$J$4:$J$22, MATCH('HCC Detail'!$B493,'HCC Data Entry'!$I$4:$I$22,0)),"")</f>
        <v/>
      </c>
      <c r="H493" s="246" t="str">
        <f t="shared" si="24"/>
        <v/>
      </c>
      <c r="I493" s="247" t="str">
        <f t="shared" si="25"/>
        <v/>
      </c>
      <c r="J493" s="246" t="str">
        <f t="shared" si="26"/>
        <v/>
      </c>
    </row>
    <row r="494" spans="2:10" ht="18.5" x14ac:dyDescent="0.45">
      <c r="B494" s="244" t="str">
        <f>IF('HCC Data Entry'!B489="","",'HCC Data Entry'!B489)</f>
        <v/>
      </c>
      <c r="C494" s="244" t="str">
        <f>IF('HCC Data Entry'!C489="","",'HCC Data Entry'!C489)</f>
        <v/>
      </c>
      <c r="D494" s="244" t="str">
        <f>IF('HCC Data Entry'!D489="","",'HCC Data Entry'!D489)</f>
        <v/>
      </c>
      <c r="E494" s="244" t="str">
        <f>IF('HCC Data Entry'!E489="","",'HCC Data Entry'!E489)</f>
        <v/>
      </c>
      <c r="F494" s="246" t="str">
        <f>IF('HCC Data Entry'!F489="","",'HCC Data Entry'!F489)</f>
        <v/>
      </c>
      <c r="G494" s="246" t="str">
        <f>IFERROR(INDEX('HCC Data Entry'!$J$4:$J$22, MATCH('HCC Detail'!$B494,'HCC Data Entry'!$I$4:$I$22,0)),"")</f>
        <v/>
      </c>
      <c r="H494" s="246" t="str">
        <f t="shared" si="24"/>
        <v/>
      </c>
      <c r="I494" s="247" t="str">
        <f t="shared" si="25"/>
        <v/>
      </c>
      <c r="J494" s="246" t="str">
        <f t="shared" si="26"/>
        <v/>
      </c>
    </row>
    <row r="495" spans="2:10" ht="18.5" x14ac:dyDescent="0.45">
      <c r="B495" s="244" t="str">
        <f>IF('HCC Data Entry'!B490="","",'HCC Data Entry'!B490)</f>
        <v/>
      </c>
      <c r="C495" s="244" t="str">
        <f>IF('HCC Data Entry'!C490="","",'HCC Data Entry'!C490)</f>
        <v/>
      </c>
      <c r="D495" s="244" t="str">
        <f>IF('HCC Data Entry'!D490="","",'HCC Data Entry'!D490)</f>
        <v/>
      </c>
      <c r="E495" s="244" t="str">
        <f>IF('HCC Data Entry'!E490="","",'HCC Data Entry'!E490)</f>
        <v/>
      </c>
      <c r="F495" s="246" t="str">
        <f>IF('HCC Data Entry'!F490="","",'HCC Data Entry'!F490)</f>
        <v/>
      </c>
      <c r="G495" s="246" t="str">
        <f>IFERROR(INDEX('HCC Data Entry'!$J$4:$J$22, MATCH('HCC Detail'!$B495,'HCC Data Entry'!$I$4:$I$22,0)),"")</f>
        <v/>
      </c>
      <c r="H495" s="246" t="str">
        <f t="shared" si="24"/>
        <v/>
      </c>
      <c r="I495" s="247" t="str">
        <f t="shared" si="25"/>
        <v/>
      </c>
      <c r="J495" s="246" t="str">
        <f t="shared" si="26"/>
        <v/>
      </c>
    </row>
    <row r="496" spans="2:10" ht="18.5" x14ac:dyDescent="0.45">
      <c r="B496" s="244" t="str">
        <f>IF('HCC Data Entry'!B491="","",'HCC Data Entry'!B491)</f>
        <v/>
      </c>
      <c r="C496" s="244" t="str">
        <f>IF('HCC Data Entry'!C491="","",'HCC Data Entry'!C491)</f>
        <v/>
      </c>
      <c r="D496" s="244" t="str">
        <f>IF('HCC Data Entry'!D491="","",'HCC Data Entry'!D491)</f>
        <v/>
      </c>
      <c r="E496" s="244" t="str">
        <f>IF('HCC Data Entry'!E491="","",'HCC Data Entry'!E491)</f>
        <v/>
      </c>
      <c r="F496" s="246" t="str">
        <f>IF('HCC Data Entry'!F491="","",'HCC Data Entry'!F491)</f>
        <v/>
      </c>
      <c r="G496" s="246" t="str">
        <f>IFERROR(INDEX('HCC Data Entry'!$J$4:$J$22, MATCH('HCC Detail'!$B496,'HCC Data Entry'!$I$4:$I$22,0)),"")</f>
        <v/>
      </c>
      <c r="H496" s="246" t="str">
        <f t="shared" si="24"/>
        <v/>
      </c>
      <c r="I496" s="247" t="str">
        <f t="shared" si="25"/>
        <v/>
      </c>
      <c r="J496" s="246" t="str">
        <f t="shared" si="26"/>
        <v/>
      </c>
    </row>
    <row r="497" spans="2:10" ht="18.5" x14ac:dyDescent="0.45">
      <c r="B497" s="244" t="str">
        <f>IF('HCC Data Entry'!B492="","",'HCC Data Entry'!B492)</f>
        <v/>
      </c>
      <c r="C497" s="244" t="str">
        <f>IF('HCC Data Entry'!C492="","",'HCC Data Entry'!C492)</f>
        <v/>
      </c>
      <c r="D497" s="244" t="str">
        <f>IF('HCC Data Entry'!D492="","",'HCC Data Entry'!D492)</f>
        <v/>
      </c>
      <c r="E497" s="244" t="str">
        <f>IF('HCC Data Entry'!E492="","",'HCC Data Entry'!E492)</f>
        <v/>
      </c>
      <c r="F497" s="246" t="str">
        <f>IF('HCC Data Entry'!F492="","",'HCC Data Entry'!F492)</f>
        <v/>
      </c>
      <c r="G497" s="246" t="str">
        <f>IFERROR(INDEX('HCC Data Entry'!$J$4:$J$22, MATCH('HCC Detail'!$B497,'HCC Data Entry'!$I$4:$I$22,0)),"")</f>
        <v/>
      </c>
      <c r="H497" s="246" t="str">
        <f t="shared" si="24"/>
        <v/>
      </c>
      <c r="I497" s="247" t="str">
        <f t="shared" si="25"/>
        <v/>
      </c>
      <c r="J497" s="246" t="str">
        <f t="shared" si="26"/>
        <v/>
      </c>
    </row>
    <row r="498" spans="2:10" ht="18.5" x14ac:dyDescent="0.45">
      <c r="B498" s="244" t="str">
        <f>IF('HCC Data Entry'!B493="","",'HCC Data Entry'!B493)</f>
        <v/>
      </c>
      <c r="C498" s="244" t="str">
        <f>IF('HCC Data Entry'!C493="","",'HCC Data Entry'!C493)</f>
        <v/>
      </c>
      <c r="D498" s="244" t="str">
        <f>IF('HCC Data Entry'!D493="","",'HCC Data Entry'!D493)</f>
        <v/>
      </c>
      <c r="E498" s="244" t="str">
        <f>IF('HCC Data Entry'!E493="","",'HCC Data Entry'!E493)</f>
        <v/>
      </c>
      <c r="F498" s="246" t="str">
        <f>IF('HCC Data Entry'!F493="","",'HCC Data Entry'!F493)</f>
        <v/>
      </c>
      <c r="G498" s="246" t="str">
        <f>IFERROR(INDEX('HCC Data Entry'!$J$4:$J$22, MATCH('HCC Detail'!$B498,'HCC Data Entry'!$I$4:$I$22,0)),"")</f>
        <v/>
      </c>
      <c r="H498" s="246" t="str">
        <f t="shared" si="24"/>
        <v/>
      </c>
      <c r="I498" s="247" t="str">
        <f t="shared" si="25"/>
        <v/>
      </c>
      <c r="J498" s="246" t="str">
        <f t="shared" si="26"/>
        <v/>
      </c>
    </row>
    <row r="499" spans="2:10" ht="18.5" x14ac:dyDescent="0.45">
      <c r="B499" s="244" t="str">
        <f>IF('HCC Data Entry'!B494="","",'HCC Data Entry'!B494)</f>
        <v/>
      </c>
      <c r="C499" s="244" t="str">
        <f>IF('HCC Data Entry'!C494="","",'HCC Data Entry'!C494)</f>
        <v/>
      </c>
      <c r="D499" s="244" t="str">
        <f>IF('HCC Data Entry'!D494="","",'HCC Data Entry'!D494)</f>
        <v/>
      </c>
      <c r="E499" s="244" t="str">
        <f>IF('HCC Data Entry'!E494="","",'HCC Data Entry'!E494)</f>
        <v/>
      </c>
      <c r="F499" s="246" t="str">
        <f>IF('HCC Data Entry'!F494="","",'HCC Data Entry'!F494)</f>
        <v/>
      </c>
      <c r="G499" s="246" t="str">
        <f>IFERROR(INDEX('HCC Data Entry'!$J$4:$J$22, MATCH('HCC Detail'!$B499,'HCC Data Entry'!$I$4:$I$22,0)),"")</f>
        <v/>
      </c>
      <c r="H499" s="246" t="str">
        <f t="shared" si="24"/>
        <v/>
      </c>
      <c r="I499" s="247" t="str">
        <f t="shared" si="25"/>
        <v/>
      </c>
      <c r="J499" s="246" t="str">
        <f t="shared" si="26"/>
        <v/>
      </c>
    </row>
    <row r="500" spans="2:10" ht="18.5" x14ac:dyDescent="0.45">
      <c r="B500" s="244" t="str">
        <f>IF('HCC Data Entry'!B495="","",'HCC Data Entry'!B495)</f>
        <v/>
      </c>
      <c r="C500" s="244" t="str">
        <f>IF('HCC Data Entry'!C495="","",'HCC Data Entry'!C495)</f>
        <v/>
      </c>
      <c r="D500" s="244" t="str">
        <f>IF('HCC Data Entry'!D495="","",'HCC Data Entry'!D495)</f>
        <v/>
      </c>
      <c r="E500" s="244" t="str">
        <f>IF('HCC Data Entry'!E495="","",'HCC Data Entry'!E495)</f>
        <v/>
      </c>
      <c r="F500" s="246" t="str">
        <f>IF('HCC Data Entry'!F495="","",'HCC Data Entry'!F495)</f>
        <v/>
      </c>
      <c r="G500" s="246" t="str">
        <f>IFERROR(INDEX('HCC Data Entry'!$J$4:$J$22, MATCH('HCC Detail'!$B500,'HCC Data Entry'!$I$4:$I$22,0)),"")</f>
        <v/>
      </c>
      <c r="H500" s="246" t="str">
        <f t="shared" si="24"/>
        <v/>
      </c>
      <c r="I500" s="247" t="str">
        <f t="shared" si="25"/>
        <v/>
      </c>
      <c r="J500" s="246" t="str">
        <f t="shared" si="26"/>
        <v/>
      </c>
    </row>
  </sheetData>
  <mergeCells count="4">
    <mergeCell ref="B2:L2"/>
    <mergeCell ref="B3:L3"/>
    <mergeCell ref="B5:L5"/>
    <mergeCell ref="B6:L6"/>
  </mergeCells>
  <printOptions horizontalCentered="1"/>
  <pageMargins left="0.7" right="0.7" top="0.75" bottom="0.75" header="0.3" footer="0.3"/>
  <pageSetup scale="60" fitToHeight="0" orientation="landscape" horizontalDpi="300" verticalDpi="300" r:id="rId1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F9DE4-AEF8-4202-ABB6-904E410DF3D1}">
  <sheetPr>
    <tabColor theme="4" tint="0.39997558519241921"/>
    <pageSetUpPr fitToPage="1"/>
  </sheetPr>
  <dimension ref="B1:U495"/>
  <sheetViews>
    <sheetView view="pageBreakPreview" zoomScale="66" zoomScaleNormal="70" zoomScaleSheetLayoutView="66" workbookViewId="0">
      <selection activeCell="T42" sqref="T42"/>
    </sheetView>
  </sheetViews>
  <sheetFormatPr defaultRowHeight="14.5" x14ac:dyDescent="0.35"/>
  <cols>
    <col min="1" max="1" width="1" customWidth="1"/>
    <col min="2" max="2" width="47.453125" customWidth="1"/>
    <col min="3" max="3" width="12.7265625" style="58" customWidth="1"/>
    <col min="4" max="4" width="13" style="58" customWidth="1"/>
    <col min="5" max="5" width="13.54296875" style="58" customWidth="1"/>
    <col min="6" max="6" width="15.1796875" style="58" customWidth="1"/>
    <col min="7" max="7" width="39.81640625" style="58" customWidth="1"/>
    <col min="8" max="8" width="13.7265625" style="58" customWidth="1"/>
    <col min="9" max="9" width="69.54296875" customWidth="1"/>
    <col min="10" max="11" width="15.7265625" style="513" customWidth="1"/>
    <col min="12" max="12" width="17.54296875" style="514" bestFit="1" customWidth="1"/>
    <col min="13" max="13" width="15.81640625" style="513" customWidth="1"/>
    <col min="14" max="14" width="17.26953125" style="513" customWidth="1"/>
    <col min="15" max="15" width="14.81640625" style="513" customWidth="1"/>
    <col min="16" max="16" width="20.453125" style="515" customWidth="1"/>
    <col min="17" max="17" width="5.54296875" style="11" hidden="1" customWidth="1"/>
    <col min="18" max="18" width="6.26953125" style="11" hidden="1" customWidth="1"/>
    <col min="20" max="20" width="24.1796875" bestFit="1" customWidth="1"/>
    <col min="21" max="21" width="13.453125" customWidth="1"/>
  </cols>
  <sheetData>
    <row r="1" spans="2:21" ht="5.25" customHeight="1" x14ac:dyDescent="0.35"/>
    <row r="2" spans="2:21" ht="23.5" x14ac:dyDescent="0.55000000000000004">
      <c r="B2" s="603" t="str">
        <f>Narrative!H5</f>
        <v>NOREBT</v>
      </c>
      <c r="C2" s="603"/>
      <c r="D2" s="603"/>
      <c r="E2" s="603"/>
      <c r="F2" s="603"/>
      <c r="G2" s="603"/>
      <c r="H2" s="603"/>
      <c r="I2" s="603"/>
      <c r="J2" s="603"/>
      <c r="K2" s="603"/>
      <c r="L2" s="603"/>
      <c r="M2" s="603"/>
      <c r="N2" s="603"/>
      <c r="O2" s="603"/>
      <c r="P2" s="603"/>
      <c r="Q2" s="603"/>
      <c r="R2" s="603"/>
    </row>
    <row r="3" spans="2:21" ht="18.5" x14ac:dyDescent="0.45">
      <c r="B3" s="604" t="s">
        <v>335</v>
      </c>
      <c r="C3" s="604"/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  <c r="O3" s="604"/>
      <c r="P3" s="604"/>
      <c r="Q3" s="604"/>
      <c r="R3" s="604"/>
      <c r="T3" s="99" t="s">
        <v>184</v>
      </c>
      <c r="U3" s="211">
        <v>150000</v>
      </c>
    </row>
    <row r="4" spans="2:21" ht="18.5" x14ac:dyDescent="0.45">
      <c r="B4" s="203"/>
      <c r="C4" s="203"/>
      <c r="D4" s="203"/>
      <c r="E4" s="203"/>
      <c r="F4" s="203"/>
      <c r="G4" s="203"/>
      <c r="H4" s="203"/>
      <c r="I4" s="203"/>
      <c r="J4" s="506"/>
      <c r="K4" s="506"/>
      <c r="L4" s="506"/>
      <c r="M4" s="506"/>
      <c r="N4" s="506"/>
      <c r="O4" s="506"/>
      <c r="P4" s="510"/>
      <c r="Q4" s="208"/>
      <c r="R4" s="208"/>
      <c r="T4" s="99" t="s">
        <v>185</v>
      </c>
      <c r="U4" s="211">
        <v>300000</v>
      </c>
    </row>
    <row r="5" spans="2:21" ht="18.5" x14ac:dyDescent="0.45">
      <c r="B5" s="619" t="str">
        <f>"Claims &gt;"&amp;DOLLAR($U$3,0)&amp;", Mini-Pool Threshold "&amp;DOLLAR($U$4,0)</f>
        <v>Claims &gt;$150,000, Mini-Pool Threshold $300,000</v>
      </c>
      <c r="C5" s="619"/>
      <c r="D5" s="619"/>
      <c r="E5" s="619"/>
      <c r="F5" s="619"/>
      <c r="G5" s="619"/>
      <c r="H5" s="619"/>
      <c r="I5" s="619"/>
      <c r="J5" s="619"/>
      <c r="K5" s="619"/>
      <c r="L5" s="619"/>
      <c r="M5" s="619"/>
      <c r="N5" s="619"/>
      <c r="O5" s="619"/>
      <c r="P5" s="619"/>
      <c r="Q5" s="619"/>
      <c r="R5" s="619"/>
    </row>
    <row r="6" spans="2:21" ht="18.5" x14ac:dyDescent="0.45">
      <c r="B6" s="618" t="str">
        <f>Addendum!E6</f>
        <v>Claims Paid July 2024 through February 2025</v>
      </c>
      <c r="C6" s="618"/>
      <c r="D6" s="618"/>
      <c r="E6" s="618"/>
      <c r="F6" s="618"/>
      <c r="G6" s="618"/>
      <c r="H6" s="618"/>
      <c r="I6" s="618"/>
      <c r="J6" s="618"/>
      <c r="K6" s="618"/>
      <c r="L6" s="618"/>
      <c r="M6" s="618"/>
      <c r="N6" s="618"/>
      <c r="O6" s="618"/>
      <c r="P6" s="618"/>
      <c r="Q6" s="618"/>
      <c r="R6" s="618"/>
    </row>
    <row r="7" spans="2:21" ht="18.5" x14ac:dyDescent="0.45">
      <c r="B7" s="204"/>
      <c r="C7" s="204"/>
      <c r="D7" s="204"/>
      <c r="E7" s="204"/>
      <c r="F7" s="204"/>
      <c r="G7" s="204"/>
      <c r="H7" s="204"/>
      <c r="I7" s="204"/>
      <c r="J7" s="507"/>
      <c r="K7" s="507"/>
      <c r="L7" s="509"/>
      <c r="M7" s="507"/>
      <c r="N7" s="507"/>
      <c r="O7" s="507"/>
      <c r="P7" s="511"/>
      <c r="Q7" s="209"/>
      <c r="R7" s="209"/>
    </row>
    <row r="8" spans="2:21" s="73" customFormat="1" ht="36" customHeight="1" x14ac:dyDescent="0.45">
      <c r="B8" s="503" t="s">
        <v>152</v>
      </c>
      <c r="C8" s="503" t="s">
        <v>153</v>
      </c>
      <c r="D8" s="503" t="s">
        <v>328</v>
      </c>
      <c r="E8" s="503" t="s">
        <v>329</v>
      </c>
      <c r="F8" s="503" t="s">
        <v>186</v>
      </c>
      <c r="G8" s="503" t="s">
        <v>336</v>
      </c>
      <c r="H8" s="503" t="s">
        <v>330</v>
      </c>
      <c r="I8" s="503" t="s">
        <v>334</v>
      </c>
      <c r="J8" s="508" t="s">
        <v>331</v>
      </c>
      <c r="K8" s="508" t="s">
        <v>332</v>
      </c>
      <c r="L8" s="508" t="s">
        <v>333</v>
      </c>
      <c r="M8" s="508" t="s">
        <v>156</v>
      </c>
      <c r="N8" s="508" t="s">
        <v>157</v>
      </c>
      <c r="O8" s="508" t="s">
        <v>158</v>
      </c>
      <c r="P8" s="512" t="s">
        <v>240</v>
      </c>
      <c r="Q8" s="504" t="s">
        <v>159</v>
      </c>
      <c r="R8" s="504" t="s">
        <v>160</v>
      </c>
      <c r="S8" s="505"/>
    </row>
    <row r="9" spans="2:21" s="73" customFormat="1" ht="19.5" customHeight="1" x14ac:dyDescent="0.45">
      <c r="B9" s="588" t="s">
        <v>170</v>
      </c>
      <c r="C9" s="587">
        <v>13576981</v>
      </c>
      <c r="D9" s="587">
        <v>43</v>
      </c>
      <c r="E9" s="587" t="s">
        <v>11</v>
      </c>
      <c r="F9" s="587" t="s">
        <v>358</v>
      </c>
      <c r="G9" s="587" t="s">
        <v>385</v>
      </c>
      <c r="H9" s="587">
        <v>20250201</v>
      </c>
      <c r="I9" s="588" t="s">
        <v>371</v>
      </c>
      <c r="J9" s="589">
        <v>1008307.84</v>
      </c>
      <c r="K9" s="589">
        <v>1515.25</v>
      </c>
      <c r="L9" s="590">
        <v>1009823.09</v>
      </c>
      <c r="M9" s="516">
        <f>IFERROR(INDEX('HCC Data Entry'!$J$4:$J$22, MATCH('HCC Detail w Diag'!$B9,'HCC Data Entry'!$I$4:$I$22,0)),"")</f>
        <v>68000</v>
      </c>
      <c r="N9" s="516">
        <f t="shared" ref="N9:N49" si="0">IF(B9="","",IF(M9="Unknown", "", IF(L9&gt;M9,L9-M9,0)))</f>
        <v>941823.09</v>
      </c>
      <c r="O9" s="518">
        <f t="shared" ref="O9:O49" si="1">IF(N9="","",IF(N9=0,0, IF(L9&gt;$U$4,($U$4-M9),N9)))</f>
        <v>232000</v>
      </c>
      <c r="P9" s="531">
        <f t="shared" ref="P9:P49" si="2">IF(O9="","",IF(O9=0,0,IF(L9&gt;$U$4,L9-$U$4,0)))</f>
        <v>709823.09</v>
      </c>
      <c r="Q9" s="504"/>
      <c r="R9" s="504"/>
      <c r="S9" s="505"/>
    </row>
    <row r="10" spans="2:21" s="73" customFormat="1" ht="19.5" customHeight="1" x14ac:dyDescent="0.45">
      <c r="B10" s="588" t="s">
        <v>183</v>
      </c>
      <c r="C10" s="587">
        <v>13599805</v>
      </c>
      <c r="D10" s="587">
        <v>58</v>
      </c>
      <c r="E10" s="587" t="s">
        <v>368</v>
      </c>
      <c r="F10" s="587" t="s">
        <v>358</v>
      </c>
      <c r="G10" s="587" t="s">
        <v>369</v>
      </c>
      <c r="H10" s="587">
        <v>20250201</v>
      </c>
      <c r="I10" s="588" t="s">
        <v>370</v>
      </c>
      <c r="J10" s="589">
        <v>749018.21</v>
      </c>
      <c r="K10" s="589">
        <v>3112.31</v>
      </c>
      <c r="L10" s="590">
        <v>752130.52</v>
      </c>
      <c r="M10" s="516">
        <f>IFERROR(INDEX('HCC Data Entry'!$J$4:$J$22, MATCH('HCC Detail w Diag'!$B10,'HCC Data Entry'!$I$4:$I$22,0)),"")</f>
        <v>95000</v>
      </c>
      <c r="N10" s="516">
        <f t="shared" si="0"/>
        <v>657130.52</v>
      </c>
      <c r="O10" s="518">
        <f t="shared" si="1"/>
        <v>205000</v>
      </c>
      <c r="P10" s="531">
        <f t="shared" si="2"/>
        <v>452130.52</v>
      </c>
      <c r="Q10" s="504"/>
      <c r="R10" s="504"/>
      <c r="S10" s="505"/>
    </row>
    <row r="11" spans="2:21" ht="18.5" x14ac:dyDescent="0.45">
      <c r="B11" s="244" t="s">
        <v>171</v>
      </c>
      <c r="C11" s="502">
        <v>13586691</v>
      </c>
      <c r="D11" s="502">
        <v>21</v>
      </c>
      <c r="E11" s="502" t="s">
        <v>11</v>
      </c>
      <c r="F11" s="502" t="s">
        <v>359</v>
      </c>
      <c r="G11" s="502" t="s">
        <v>404</v>
      </c>
      <c r="H11" s="502">
        <v>20250201</v>
      </c>
      <c r="I11" s="244" t="s">
        <v>405</v>
      </c>
      <c r="J11" s="516">
        <v>596534.31999999995</v>
      </c>
      <c r="K11" s="516">
        <v>578.11</v>
      </c>
      <c r="L11" s="590">
        <v>597112.43000000005</v>
      </c>
      <c r="M11" s="516">
        <f>IFERROR(INDEX('HCC Data Entry'!$J$4:$J$22, MATCH('HCC Detail w Diag'!$B11,'HCC Data Entry'!$I$4:$I$22,0)),"")</f>
        <v>85000</v>
      </c>
      <c r="N11" s="516">
        <f t="shared" si="0"/>
        <v>512112.43000000005</v>
      </c>
      <c r="O11" s="518">
        <f t="shared" si="1"/>
        <v>215000</v>
      </c>
      <c r="P11" s="531">
        <f t="shared" si="2"/>
        <v>297112.43000000005</v>
      </c>
      <c r="Q11" s="246"/>
      <c r="R11" s="246" t="str">
        <f>IF(Q11="","",IF(Q11=0,0,P11-Q11))</f>
        <v/>
      </c>
      <c r="S11" s="244"/>
      <c r="T11" s="207"/>
    </row>
    <row r="12" spans="2:21" ht="18.5" x14ac:dyDescent="0.45">
      <c r="B12" s="244" t="s">
        <v>176</v>
      </c>
      <c r="C12" s="502">
        <v>13617410</v>
      </c>
      <c r="D12" s="502">
        <v>41</v>
      </c>
      <c r="E12" s="502" t="s">
        <v>11</v>
      </c>
      <c r="F12" s="502" t="s">
        <v>358</v>
      </c>
      <c r="G12" s="502" t="s">
        <v>432</v>
      </c>
      <c r="H12" s="502">
        <v>20250201</v>
      </c>
      <c r="I12" s="244" t="s">
        <v>376</v>
      </c>
      <c r="J12" s="516">
        <v>512451.36</v>
      </c>
      <c r="K12" s="516">
        <v>14563.75</v>
      </c>
      <c r="L12" s="590">
        <v>527015.11</v>
      </c>
      <c r="M12" s="516">
        <f>IFERROR(INDEX('HCC Data Entry'!$J$4:$J$22, MATCH('HCC Detail w Diag'!$B12,'HCC Data Entry'!$I$4:$I$22,0)),"")</f>
        <v>75000</v>
      </c>
      <c r="N12" s="516">
        <f t="shared" si="0"/>
        <v>452015.11</v>
      </c>
      <c r="O12" s="518">
        <f t="shared" si="1"/>
        <v>225000</v>
      </c>
      <c r="P12" s="531">
        <f t="shared" si="2"/>
        <v>227015.11</v>
      </c>
      <c r="Q12" s="246"/>
      <c r="R12" s="246"/>
      <c r="S12" s="244"/>
      <c r="T12" s="207"/>
    </row>
    <row r="13" spans="2:21" ht="18.5" x14ac:dyDescent="0.45">
      <c r="B13" s="244" t="s">
        <v>183</v>
      </c>
      <c r="C13" s="502">
        <v>13598360</v>
      </c>
      <c r="D13" s="502">
        <v>46</v>
      </c>
      <c r="E13" s="502" t="s">
        <v>11</v>
      </c>
      <c r="F13" s="502" t="s">
        <v>357</v>
      </c>
      <c r="G13" s="502" t="s">
        <v>377</v>
      </c>
      <c r="H13" s="502">
        <v>20250201</v>
      </c>
      <c r="I13" s="244" t="s">
        <v>378</v>
      </c>
      <c r="J13" s="516">
        <v>515543.01</v>
      </c>
      <c r="K13" s="516">
        <v>4956.8900000000003</v>
      </c>
      <c r="L13" s="590">
        <v>520499.9</v>
      </c>
      <c r="M13" s="516">
        <f>IFERROR(INDEX('HCC Data Entry'!$J$4:$J$22, MATCH('HCC Detail w Diag'!$B13,'HCC Data Entry'!$I$4:$I$22,0)),"")</f>
        <v>95000</v>
      </c>
      <c r="N13" s="516">
        <f t="shared" si="0"/>
        <v>425499.9</v>
      </c>
      <c r="O13" s="518">
        <f t="shared" si="1"/>
        <v>205000</v>
      </c>
      <c r="P13" s="531">
        <f t="shared" si="2"/>
        <v>220499.90000000002</v>
      </c>
      <c r="Q13" s="246"/>
      <c r="R13" s="246"/>
      <c r="S13" s="244"/>
      <c r="T13" s="207"/>
    </row>
    <row r="14" spans="2:21" ht="18.5" x14ac:dyDescent="0.45">
      <c r="B14" s="244" t="s">
        <v>173</v>
      </c>
      <c r="C14" s="502">
        <v>28859458</v>
      </c>
      <c r="D14" s="502">
        <v>65</v>
      </c>
      <c r="E14" s="502" t="s">
        <v>368</v>
      </c>
      <c r="F14" s="502" t="s">
        <v>358</v>
      </c>
      <c r="G14" s="502" t="s">
        <v>382</v>
      </c>
      <c r="H14" s="502">
        <v>20250201</v>
      </c>
      <c r="I14" s="244" t="s">
        <v>380</v>
      </c>
      <c r="J14" s="516">
        <v>228962.07</v>
      </c>
      <c r="K14" s="516">
        <v>220482.08</v>
      </c>
      <c r="L14" s="590">
        <v>449444.15</v>
      </c>
      <c r="M14" s="516">
        <f>IFERROR(INDEX('HCC Data Entry'!$J$4:$J$22, MATCH('HCC Detail w Diag'!$B14,'HCC Data Entry'!$I$4:$I$22,0)),"")</f>
        <v>68000</v>
      </c>
      <c r="N14" s="516">
        <f t="shared" si="0"/>
        <v>381444.15</v>
      </c>
      <c r="O14" s="518">
        <f t="shared" si="1"/>
        <v>232000</v>
      </c>
      <c r="P14" s="531">
        <f t="shared" si="2"/>
        <v>149444.15000000002</v>
      </c>
      <c r="Q14" s="246"/>
      <c r="R14" s="246"/>
      <c r="S14" s="244"/>
      <c r="T14" s="207"/>
    </row>
    <row r="15" spans="2:21" ht="18.5" x14ac:dyDescent="0.45">
      <c r="B15" s="244" t="s">
        <v>178</v>
      </c>
      <c r="C15" s="502">
        <v>13612822</v>
      </c>
      <c r="D15" s="502">
        <v>62</v>
      </c>
      <c r="E15" s="502" t="s">
        <v>11</v>
      </c>
      <c r="F15" s="502" t="s">
        <v>357</v>
      </c>
      <c r="G15" s="502" t="s">
        <v>366</v>
      </c>
      <c r="H15" s="502">
        <v>20240901</v>
      </c>
      <c r="I15" s="244" t="s">
        <v>367</v>
      </c>
      <c r="J15" s="516">
        <v>407944.28</v>
      </c>
      <c r="K15" s="516">
        <v>8951.4500000000007</v>
      </c>
      <c r="L15" s="590">
        <v>416895.73</v>
      </c>
      <c r="M15" s="516">
        <f>IFERROR(INDEX('HCC Data Entry'!$J$4:$J$22, MATCH('HCC Detail w Diag'!$B15,'HCC Data Entry'!$I$4:$I$22,0)),"")</f>
        <v>110000</v>
      </c>
      <c r="N15" s="516">
        <f t="shared" si="0"/>
        <v>306895.73</v>
      </c>
      <c r="O15" s="518">
        <f t="shared" si="1"/>
        <v>190000</v>
      </c>
      <c r="P15" s="531">
        <f t="shared" si="2"/>
        <v>116895.72999999998</v>
      </c>
      <c r="Q15" s="246"/>
      <c r="R15" s="246"/>
      <c r="S15" s="244"/>
      <c r="T15" s="207"/>
    </row>
    <row r="16" spans="2:21" ht="18.5" x14ac:dyDescent="0.45">
      <c r="B16" s="244" t="s">
        <v>170</v>
      </c>
      <c r="C16" s="502">
        <v>28765391</v>
      </c>
      <c r="D16" s="502">
        <v>16</v>
      </c>
      <c r="E16" s="502" t="s">
        <v>368</v>
      </c>
      <c r="F16" s="502" t="s">
        <v>359</v>
      </c>
      <c r="G16" s="502" t="s">
        <v>420</v>
      </c>
      <c r="H16" s="502">
        <v>20250201</v>
      </c>
      <c r="I16" s="244" t="s">
        <v>421</v>
      </c>
      <c r="J16" s="516">
        <v>4713.8</v>
      </c>
      <c r="K16" s="516">
        <v>406837.1</v>
      </c>
      <c r="L16" s="590">
        <v>411550.9</v>
      </c>
      <c r="M16" s="516">
        <f>IFERROR(INDEX('HCC Data Entry'!$J$4:$J$22, MATCH('HCC Detail w Diag'!$B16,'HCC Data Entry'!$I$4:$I$22,0)),"")</f>
        <v>68000</v>
      </c>
      <c r="N16" s="516">
        <f t="shared" si="0"/>
        <v>343550.9</v>
      </c>
      <c r="O16" s="518">
        <f t="shared" si="1"/>
        <v>232000</v>
      </c>
      <c r="P16" s="531">
        <f t="shared" si="2"/>
        <v>111550.90000000002</v>
      </c>
      <c r="Q16" s="246"/>
      <c r="R16" s="246"/>
      <c r="S16" s="244"/>
      <c r="T16" s="207"/>
    </row>
    <row r="17" spans="2:20" ht="18.5" x14ac:dyDescent="0.45">
      <c r="B17" s="244" t="s">
        <v>176</v>
      </c>
      <c r="C17" s="502">
        <v>13620341</v>
      </c>
      <c r="D17" s="502">
        <v>11</v>
      </c>
      <c r="E17" s="502" t="s">
        <v>368</v>
      </c>
      <c r="F17" s="502" t="s">
        <v>359</v>
      </c>
      <c r="G17" s="502" t="s">
        <v>374</v>
      </c>
      <c r="H17" s="502">
        <v>20250201</v>
      </c>
      <c r="I17" s="244" t="s">
        <v>375</v>
      </c>
      <c r="J17" s="516">
        <v>411508.11</v>
      </c>
      <c r="K17" s="516">
        <v>0</v>
      </c>
      <c r="L17" s="590">
        <v>411508.11</v>
      </c>
      <c r="M17" s="516">
        <f>IFERROR(INDEX('HCC Data Entry'!$J$4:$J$22, MATCH('HCC Detail w Diag'!$B17,'HCC Data Entry'!$I$4:$I$22,0)),"")</f>
        <v>75000</v>
      </c>
      <c r="N17" s="516">
        <f t="shared" si="0"/>
        <v>336508.11</v>
      </c>
      <c r="O17" s="518">
        <f t="shared" si="1"/>
        <v>225000</v>
      </c>
      <c r="P17" s="531">
        <f t="shared" si="2"/>
        <v>111508.10999999999</v>
      </c>
      <c r="Q17" s="246"/>
      <c r="R17" s="246"/>
      <c r="S17" s="244"/>
      <c r="T17" s="207"/>
    </row>
    <row r="18" spans="2:20" ht="18.5" x14ac:dyDescent="0.45">
      <c r="B18" s="244" t="s">
        <v>174</v>
      </c>
      <c r="C18" s="502">
        <v>13596686</v>
      </c>
      <c r="D18" s="502">
        <v>46</v>
      </c>
      <c r="E18" s="502" t="s">
        <v>11</v>
      </c>
      <c r="F18" s="502" t="s">
        <v>357</v>
      </c>
      <c r="G18" s="502" t="s">
        <v>406</v>
      </c>
      <c r="H18" s="502">
        <v>20250201</v>
      </c>
      <c r="I18" s="244" t="s">
        <v>418</v>
      </c>
      <c r="J18" s="516">
        <v>398342.5</v>
      </c>
      <c r="K18" s="516">
        <v>2559.66</v>
      </c>
      <c r="L18" s="590">
        <v>400902.16</v>
      </c>
      <c r="M18" s="516">
        <f>IFERROR(INDEX('HCC Data Entry'!$J$4:$J$22, MATCH('HCC Detail w Diag'!$B18,'HCC Data Entry'!$I$4:$I$22,0)),"")</f>
        <v>68000</v>
      </c>
      <c r="N18" s="516">
        <f t="shared" si="0"/>
        <v>332902.15999999997</v>
      </c>
      <c r="O18" s="518">
        <f t="shared" si="1"/>
        <v>232000</v>
      </c>
      <c r="P18" s="531">
        <f t="shared" si="2"/>
        <v>100902.15999999997</v>
      </c>
      <c r="Q18" s="246"/>
      <c r="R18" s="246"/>
      <c r="S18" s="244"/>
      <c r="T18" s="207"/>
    </row>
    <row r="19" spans="2:20" ht="18.5" x14ac:dyDescent="0.45">
      <c r="B19" s="244" t="s">
        <v>178</v>
      </c>
      <c r="C19" s="502">
        <v>13612274</v>
      </c>
      <c r="D19" s="502">
        <v>61</v>
      </c>
      <c r="E19" s="502" t="s">
        <v>368</v>
      </c>
      <c r="F19" s="502" t="s">
        <v>358</v>
      </c>
      <c r="G19" s="502" t="s">
        <v>379</v>
      </c>
      <c r="H19" s="502">
        <v>20250201</v>
      </c>
      <c r="I19" s="244" t="s">
        <v>380</v>
      </c>
      <c r="J19" s="516">
        <v>270547.08</v>
      </c>
      <c r="K19" s="516">
        <v>110821.92</v>
      </c>
      <c r="L19" s="590">
        <v>381369</v>
      </c>
      <c r="M19" s="516">
        <f>IFERROR(INDEX('HCC Data Entry'!$J$4:$J$22, MATCH('HCC Detail w Diag'!$B19,'HCC Data Entry'!$I$4:$I$22,0)),"")</f>
        <v>110000</v>
      </c>
      <c r="N19" s="516">
        <f t="shared" si="0"/>
        <v>271369</v>
      </c>
      <c r="O19" s="518">
        <f t="shared" si="1"/>
        <v>190000</v>
      </c>
      <c r="P19" s="531">
        <f t="shared" si="2"/>
        <v>81369</v>
      </c>
      <c r="Q19" s="246"/>
      <c r="R19" s="246"/>
      <c r="S19" s="244"/>
      <c r="T19" s="207"/>
    </row>
    <row r="20" spans="2:20" ht="18.5" x14ac:dyDescent="0.45">
      <c r="B20" s="244" t="s">
        <v>177</v>
      </c>
      <c r="C20" s="502">
        <v>13615924</v>
      </c>
      <c r="D20" s="502">
        <v>33</v>
      </c>
      <c r="E20" s="502" t="s">
        <v>368</v>
      </c>
      <c r="F20" s="502" t="s">
        <v>358</v>
      </c>
      <c r="G20" s="502" t="s">
        <v>374</v>
      </c>
      <c r="H20" s="502">
        <v>20250201</v>
      </c>
      <c r="I20" s="244" t="s">
        <v>419</v>
      </c>
      <c r="J20" s="516">
        <v>353371.51</v>
      </c>
      <c r="K20" s="516">
        <v>1991.77</v>
      </c>
      <c r="L20" s="590">
        <v>355363.28</v>
      </c>
      <c r="M20" s="516">
        <f>IFERROR(INDEX('HCC Data Entry'!$J$4:$J$22, MATCH('HCC Detail w Diag'!$B20,'HCC Data Entry'!$I$4:$I$22,0)),"")</f>
        <v>85000</v>
      </c>
      <c r="N20" s="516">
        <f t="shared" si="0"/>
        <v>270363.28000000003</v>
      </c>
      <c r="O20" s="518">
        <f t="shared" si="1"/>
        <v>215000</v>
      </c>
      <c r="P20" s="531">
        <f t="shared" si="2"/>
        <v>55363.280000000028</v>
      </c>
      <c r="Q20" s="246"/>
      <c r="R20" s="246"/>
      <c r="S20" s="244"/>
      <c r="T20" s="207"/>
    </row>
    <row r="21" spans="2:20" ht="18.5" x14ac:dyDescent="0.45">
      <c r="B21" s="244" t="s">
        <v>166</v>
      </c>
      <c r="C21" s="502">
        <v>13579127</v>
      </c>
      <c r="D21" s="502">
        <v>63</v>
      </c>
      <c r="E21" s="502" t="s">
        <v>11</v>
      </c>
      <c r="F21" s="502" t="s">
        <v>357</v>
      </c>
      <c r="G21" s="502" t="s">
        <v>407</v>
      </c>
      <c r="H21" s="502">
        <v>20250201</v>
      </c>
      <c r="I21" s="244" t="s">
        <v>370</v>
      </c>
      <c r="J21" s="516">
        <v>185050.37</v>
      </c>
      <c r="K21" s="516">
        <v>170039.6</v>
      </c>
      <c r="L21" s="590">
        <v>355089.97</v>
      </c>
      <c r="M21" s="516">
        <f>IFERROR(INDEX('HCC Data Entry'!$J$4:$J$22, MATCH('HCC Detail w Diag'!$B21,'HCC Data Entry'!$I$4:$I$22,0)),"")</f>
        <v>68000</v>
      </c>
      <c r="N21" s="516">
        <f t="shared" si="0"/>
        <v>287089.96999999997</v>
      </c>
      <c r="O21" s="518">
        <f t="shared" si="1"/>
        <v>232000</v>
      </c>
      <c r="P21" s="531">
        <f t="shared" si="2"/>
        <v>55089.969999999972</v>
      </c>
      <c r="Q21" s="246"/>
      <c r="R21" s="246"/>
      <c r="S21" s="244"/>
      <c r="T21" s="207"/>
    </row>
    <row r="22" spans="2:20" ht="18.5" x14ac:dyDescent="0.45">
      <c r="B22" s="244" t="s">
        <v>182</v>
      </c>
      <c r="C22" s="502">
        <v>13622150</v>
      </c>
      <c r="D22" s="502">
        <v>39</v>
      </c>
      <c r="E22" s="502" t="s">
        <v>368</v>
      </c>
      <c r="F22" s="502" t="s">
        <v>358</v>
      </c>
      <c r="G22" s="502" t="s">
        <v>389</v>
      </c>
      <c r="H22" s="502">
        <v>20250201</v>
      </c>
      <c r="I22" s="244" t="s">
        <v>390</v>
      </c>
      <c r="J22" s="516">
        <v>1006.55</v>
      </c>
      <c r="K22" s="516">
        <v>348428.91</v>
      </c>
      <c r="L22" s="590">
        <v>349435.46</v>
      </c>
      <c r="M22" s="516">
        <f>IFERROR(INDEX('HCC Data Entry'!$J$4:$J$22, MATCH('HCC Detail w Diag'!$B22,'HCC Data Entry'!$I$4:$I$22,0)),"")</f>
        <v>68000</v>
      </c>
      <c r="N22" s="516">
        <f t="shared" si="0"/>
        <v>281435.46000000002</v>
      </c>
      <c r="O22" s="518">
        <f t="shared" si="1"/>
        <v>232000</v>
      </c>
      <c r="P22" s="531">
        <f t="shared" si="2"/>
        <v>49435.460000000021</v>
      </c>
      <c r="Q22" s="246"/>
      <c r="R22" s="246"/>
      <c r="S22" s="244"/>
      <c r="T22" s="207"/>
    </row>
    <row r="23" spans="2:20" ht="18.5" x14ac:dyDescent="0.45">
      <c r="B23" s="244" t="s">
        <v>215</v>
      </c>
      <c r="C23" s="502">
        <v>13596608</v>
      </c>
      <c r="D23" s="502">
        <v>65</v>
      </c>
      <c r="E23" s="502" t="s">
        <v>368</v>
      </c>
      <c r="F23" s="502" t="s">
        <v>358</v>
      </c>
      <c r="G23" s="502" t="s">
        <v>388</v>
      </c>
      <c r="H23" s="502">
        <v>20250201</v>
      </c>
      <c r="I23" s="244" t="s">
        <v>380</v>
      </c>
      <c r="J23" s="516">
        <v>345036.25</v>
      </c>
      <c r="K23" s="516">
        <v>3946</v>
      </c>
      <c r="L23" s="590">
        <v>348982.25</v>
      </c>
      <c r="M23" s="516">
        <f>IFERROR(INDEX('HCC Data Entry'!$J$4:$J$22, MATCH('HCC Detail w Diag'!$B23,'HCC Data Entry'!$I$4:$I$22,0)),"")</f>
        <v>85000</v>
      </c>
      <c r="N23" s="516">
        <f t="shared" si="0"/>
        <v>263982.25</v>
      </c>
      <c r="O23" s="518">
        <f t="shared" si="1"/>
        <v>215000</v>
      </c>
      <c r="P23" s="531">
        <f t="shared" si="2"/>
        <v>48982.25</v>
      </c>
      <c r="Q23" s="246"/>
      <c r="R23" s="246"/>
      <c r="S23" s="244"/>
      <c r="T23" s="207"/>
    </row>
    <row r="24" spans="2:20" ht="18.5" x14ac:dyDescent="0.45">
      <c r="B24" s="244" t="s">
        <v>176</v>
      </c>
      <c r="C24" s="502">
        <v>13615725</v>
      </c>
      <c r="D24" s="502">
        <v>61</v>
      </c>
      <c r="E24" s="502" t="s">
        <v>11</v>
      </c>
      <c r="F24" s="502" t="s">
        <v>357</v>
      </c>
      <c r="G24" s="502" t="s">
        <v>381</v>
      </c>
      <c r="H24" s="502">
        <v>20250201</v>
      </c>
      <c r="I24" s="244" t="s">
        <v>370</v>
      </c>
      <c r="J24" s="516">
        <v>317001.13</v>
      </c>
      <c r="K24" s="516">
        <v>8801.44</v>
      </c>
      <c r="L24" s="590">
        <v>325802.57</v>
      </c>
      <c r="M24" s="516">
        <f>IFERROR(INDEX('HCC Data Entry'!$J$4:$J$22, MATCH('HCC Detail w Diag'!$B24,'HCC Data Entry'!$I$4:$I$22,0)),"")</f>
        <v>75000</v>
      </c>
      <c r="N24" s="516">
        <f t="shared" si="0"/>
        <v>250802.57</v>
      </c>
      <c r="O24" s="518">
        <f t="shared" si="1"/>
        <v>225000</v>
      </c>
      <c r="P24" s="531">
        <f t="shared" si="2"/>
        <v>25802.570000000007</v>
      </c>
      <c r="Q24" s="246"/>
      <c r="R24" s="246"/>
      <c r="S24" s="244"/>
      <c r="T24" s="207"/>
    </row>
    <row r="25" spans="2:20" ht="18.5" x14ac:dyDescent="0.45">
      <c r="B25" s="244" t="s">
        <v>178</v>
      </c>
      <c r="C25" s="502">
        <v>13605668</v>
      </c>
      <c r="D25" s="502">
        <v>60</v>
      </c>
      <c r="E25" s="502" t="s">
        <v>368</v>
      </c>
      <c r="F25" s="502" t="s">
        <v>358</v>
      </c>
      <c r="G25" s="502" t="s">
        <v>374</v>
      </c>
      <c r="H25" s="502">
        <v>20241201</v>
      </c>
      <c r="I25" s="244" t="s">
        <v>416</v>
      </c>
      <c r="J25" s="516">
        <v>292838.81</v>
      </c>
      <c r="K25" s="516">
        <v>3737.31</v>
      </c>
      <c r="L25" s="590">
        <v>296576.12</v>
      </c>
      <c r="M25" s="516">
        <f>IFERROR(INDEX('HCC Data Entry'!$J$4:$J$22, MATCH('HCC Detail w Diag'!$B25,'HCC Data Entry'!$I$4:$I$22,0)),"")</f>
        <v>110000</v>
      </c>
      <c r="N25" s="516">
        <f t="shared" si="0"/>
        <v>186576.12</v>
      </c>
      <c r="O25" s="518">
        <f t="shared" si="1"/>
        <v>186576.12</v>
      </c>
      <c r="P25" s="531">
        <f t="shared" si="2"/>
        <v>0</v>
      </c>
      <c r="Q25" s="246"/>
      <c r="R25" s="246"/>
      <c r="S25" s="244"/>
      <c r="T25" s="207"/>
    </row>
    <row r="26" spans="2:20" ht="18.5" x14ac:dyDescent="0.45">
      <c r="B26" s="244" t="s">
        <v>171</v>
      </c>
      <c r="C26" s="502">
        <v>13578936</v>
      </c>
      <c r="D26" s="502">
        <v>41</v>
      </c>
      <c r="E26" s="502" t="s">
        <v>368</v>
      </c>
      <c r="F26" s="502" t="s">
        <v>358</v>
      </c>
      <c r="G26" s="502" t="s">
        <v>408</v>
      </c>
      <c r="H26" s="502">
        <v>20250201</v>
      </c>
      <c r="I26" s="244" t="s">
        <v>409</v>
      </c>
      <c r="J26" s="516">
        <v>255007.17</v>
      </c>
      <c r="K26" s="516">
        <v>6509.71</v>
      </c>
      <c r="L26" s="590">
        <v>261516.88</v>
      </c>
      <c r="M26" s="516">
        <f>IFERROR(INDEX('HCC Data Entry'!$J$4:$J$22, MATCH('HCC Detail w Diag'!$B26,'HCC Data Entry'!$I$4:$I$22,0)),"")</f>
        <v>85000</v>
      </c>
      <c r="N26" s="516">
        <f t="shared" si="0"/>
        <v>176516.88</v>
      </c>
      <c r="O26" s="518">
        <f t="shared" si="1"/>
        <v>176516.88</v>
      </c>
      <c r="P26" s="531">
        <f t="shared" si="2"/>
        <v>0</v>
      </c>
      <c r="Q26" s="246"/>
      <c r="R26" s="246"/>
      <c r="S26" s="244"/>
      <c r="T26" s="207"/>
    </row>
    <row r="27" spans="2:20" ht="18.5" x14ac:dyDescent="0.45">
      <c r="B27" s="244" t="s">
        <v>176</v>
      </c>
      <c r="C27" s="502">
        <v>13616521</v>
      </c>
      <c r="D27" s="502">
        <v>47</v>
      </c>
      <c r="E27" s="502" t="s">
        <v>368</v>
      </c>
      <c r="F27" s="502" t="s">
        <v>357</v>
      </c>
      <c r="G27" s="502" t="s">
        <v>374</v>
      </c>
      <c r="H27" s="502">
        <v>20250201</v>
      </c>
      <c r="I27" s="244" t="s">
        <v>410</v>
      </c>
      <c r="J27" s="516">
        <v>232855.77</v>
      </c>
      <c r="K27" s="516">
        <v>223.61</v>
      </c>
      <c r="L27" s="590">
        <v>233079.38</v>
      </c>
      <c r="M27" s="516">
        <f>IFERROR(INDEX('HCC Data Entry'!$J$4:$J$22, MATCH('HCC Detail w Diag'!$B27,'HCC Data Entry'!$I$4:$I$22,0)),"")</f>
        <v>75000</v>
      </c>
      <c r="N27" s="516">
        <f t="shared" si="0"/>
        <v>158079.38</v>
      </c>
      <c r="O27" s="518">
        <f t="shared" si="1"/>
        <v>158079.38</v>
      </c>
      <c r="P27" s="531">
        <f t="shared" si="2"/>
        <v>0</v>
      </c>
      <c r="Q27" s="246"/>
      <c r="R27" s="246"/>
      <c r="S27" s="244"/>
      <c r="T27" s="207"/>
    </row>
    <row r="28" spans="2:20" ht="18.5" x14ac:dyDescent="0.45">
      <c r="B28" s="244" t="s">
        <v>167</v>
      </c>
      <c r="C28" s="502">
        <v>13581822</v>
      </c>
      <c r="D28" s="502">
        <v>67</v>
      </c>
      <c r="E28" s="502" t="s">
        <v>11</v>
      </c>
      <c r="F28" s="502" t="s">
        <v>357</v>
      </c>
      <c r="G28" s="502"/>
      <c r="H28" s="502">
        <v>20250201</v>
      </c>
      <c r="I28" s="244" t="s">
        <v>433</v>
      </c>
      <c r="J28" s="516">
        <v>145830.91</v>
      </c>
      <c r="K28" s="516">
        <v>84239.3</v>
      </c>
      <c r="L28" s="590">
        <v>230070.21</v>
      </c>
      <c r="M28" s="516">
        <f>IFERROR(INDEX('HCC Data Entry'!$J$4:$J$22, MATCH('HCC Detail w Diag'!$B28,'HCC Data Entry'!$I$4:$I$22,0)),"")</f>
        <v>68000</v>
      </c>
      <c r="N28" s="516">
        <f t="shared" si="0"/>
        <v>162070.21</v>
      </c>
      <c r="O28" s="518">
        <f t="shared" si="1"/>
        <v>162070.21</v>
      </c>
      <c r="P28" s="531">
        <f t="shared" si="2"/>
        <v>0</v>
      </c>
      <c r="Q28" s="246"/>
      <c r="R28" s="246"/>
      <c r="S28" s="244"/>
      <c r="T28" s="207"/>
    </row>
    <row r="29" spans="2:20" ht="18.5" x14ac:dyDescent="0.45">
      <c r="B29" s="244" t="s">
        <v>175</v>
      </c>
      <c r="C29" s="502">
        <v>13919704</v>
      </c>
      <c r="D29" s="502">
        <v>50</v>
      </c>
      <c r="E29" s="502" t="s">
        <v>368</v>
      </c>
      <c r="F29" s="502" t="s">
        <v>357</v>
      </c>
      <c r="G29" s="502" t="s">
        <v>422</v>
      </c>
      <c r="H29" s="502">
        <v>20250201</v>
      </c>
      <c r="I29" s="244" t="s">
        <v>423</v>
      </c>
      <c r="J29" s="516">
        <v>210238.4</v>
      </c>
      <c r="K29" s="516">
        <v>9926.7800000000007</v>
      </c>
      <c r="L29" s="590">
        <v>220165.18</v>
      </c>
      <c r="M29" s="516">
        <f>IFERROR(INDEX('HCC Data Entry'!$J$4:$J$22, MATCH('HCC Detail w Diag'!$B29,'HCC Data Entry'!$I$4:$I$22,0)),"")</f>
        <v>85000</v>
      </c>
      <c r="N29" s="516">
        <f t="shared" si="0"/>
        <v>135165.18</v>
      </c>
      <c r="O29" s="518">
        <f t="shared" si="1"/>
        <v>135165.18</v>
      </c>
      <c r="P29" s="531">
        <f t="shared" si="2"/>
        <v>0</v>
      </c>
      <c r="Q29" s="246"/>
      <c r="R29" s="246"/>
      <c r="S29" s="244"/>
      <c r="T29" s="207"/>
    </row>
    <row r="30" spans="2:20" ht="18.5" x14ac:dyDescent="0.45">
      <c r="B30" s="244" t="s">
        <v>178</v>
      </c>
      <c r="C30" s="502">
        <v>13597629</v>
      </c>
      <c r="D30" s="502">
        <v>59</v>
      </c>
      <c r="E30" s="502" t="s">
        <v>368</v>
      </c>
      <c r="F30" s="502" t="s">
        <v>357</v>
      </c>
      <c r="G30" s="502" t="s">
        <v>424</v>
      </c>
      <c r="H30" s="502">
        <v>20250201</v>
      </c>
      <c r="I30" s="244" t="s">
        <v>425</v>
      </c>
      <c r="J30" s="516">
        <v>216332.68</v>
      </c>
      <c r="K30" s="516">
        <v>272.36</v>
      </c>
      <c r="L30" s="590">
        <v>216605.04</v>
      </c>
      <c r="M30" s="516">
        <f>IFERROR(INDEX('HCC Data Entry'!$J$4:$J$22, MATCH('HCC Detail w Diag'!$B30,'HCC Data Entry'!$I$4:$I$22,0)),"")</f>
        <v>110000</v>
      </c>
      <c r="N30" s="516">
        <f t="shared" si="0"/>
        <v>106605.04000000001</v>
      </c>
      <c r="O30" s="518">
        <f t="shared" si="1"/>
        <v>106605.04000000001</v>
      </c>
      <c r="P30" s="531">
        <f t="shared" si="2"/>
        <v>0</v>
      </c>
      <c r="Q30" s="246"/>
      <c r="R30" s="246"/>
      <c r="S30" s="244"/>
      <c r="T30" s="207"/>
    </row>
    <row r="31" spans="2:20" ht="18.5" x14ac:dyDescent="0.45">
      <c r="B31" s="244" t="s">
        <v>173</v>
      </c>
      <c r="C31" s="502">
        <v>13575653</v>
      </c>
      <c r="D31" s="502">
        <v>54</v>
      </c>
      <c r="E31" s="502" t="s">
        <v>11</v>
      </c>
      <c r="F31" s="502" t="s">
        <v>357</v>
      </c>
      <c r="G31" s="502" t="s">
        <v>434</v>
      </c>
      <c r="H31" s="502">
        <v>20250201</v>
      </c>
      <c r="I31" s="244" t="s">
        <v>435</v>
      </c>
      <c r="J31" s="516">
        <v>208356.77</v>
      </c>
      <c r="K31" s="516">
        <v>1374.22</v>
      </c>
      <c r="L31" s="590">
        <v>209730.99</v>
      </c>
      <c r="M31" s="516">
        <f>IFERROR(INDEX('HCC Data Entry'!$J$4:$J$22, MATCH('HCC Detail w Diag'!$B31,'HCC Data Entry'!$I$4:$I$22,0)),"")</f>
        <v>68000</v>
      </c>
      <c r="N31" s="516">
        <f t="shared" si="0"/>
        <v>141730.99</v>
      </c>
      <c r="O31" s="518">
        <f t="shared" si="1"/>
        <v>141730.99</v>
      </c>
      <c r="P31" s="531">
        <f t="shared" si="2"/>
        <v>0</v>
      </c>
      <c r="Q31" s="246"/>
      <c r="R31" s="246"/>
      <c r="S31" s="244"/>
      <c r="T31" s="207"/>
    </row>
    <row r="32" spans="2:20" ht="18.5" x14ac:dyDescent="0.45">
      <c r="B32" s="244" t="s">
        <v>170</v>
      </c>
      <c r="C32" s="502">
        <v>29065602</v>
      </c>
      <c r="D32" s="502">
        <v>0</v>
      </c>
      <c r="E32" s="502" t="s">
        <v>11</v>
      </c>
      <c r="F32" s="502" t="s">
        <v>359</v>
      </c>
      <c r="G32" s="502" t="s">
        <v>386</v>
      </c>
      <c r="H32" s="502">
        <v>20250201</v>
      </c>
      <c r="I32" s="244" t="s">
        <v>387</v>
      </c>
      <c r="J32" s="516">
        <v>206578.15</v>
      </c>
      <c r="K32" s="516">
        <v>332.57</v>
      </c>
      <c r="L32" s="590">
        <v>206910.72</v>
      </c>
      <c r="M32" s="516">
        <f>IFERROR(INDEX('HCC Data Entry'!$J$4:$J$22, MATCH('HCC Detail w Diag'!$B32,'HCC Data Entry'!$I$4:$I$22,0)),"")</f>
        <v>68000</v>
      </c>
      <c r="N32" s="516">
        <f t="shared" si="0"/>
        <v>138910.72</v>
      </c>
      <c r="O32" s="518">
        <f t="shared" si="1"/>
        <v>138910.72</v>
      </c>
      <c r="P32" s="531">
        <f t="shared" si="2"/>
        <v>0</v>
      </c>
      <c r="Q32" s="246"/>
      <c r="R32" s="246"/>
      <c r="S32" s="244"/>
      <c r="T32" s="207"/>
    </row>
    <row r="33" spans="2:20" ht="18.5" x14ac:dyDescent="0.45">
      <c r="B33" s="244" t="s">
        <v>178</v>
      </c>
      <c r="C33" s="502">
        <v>27877903</v>
      </c>
      <c r="D33" s="502">
        <v>46</v>
      </c>
      <c r="E33" s="502" t="s">
        <v>11</v>
      </c>
      <c r="F33" s="502" t="s">
        <v>357</v>
      </c>
      <c r="G33" s="502" t="s">
        <v>389</v>
      </c>
      <c r="H33" s="502">
        <v>20250201</v>
      </c>
      <c r="I33" s="244" t="s">
        <v>417</v>
      </c>
      <c r="J33" s="516">
        <v>9305.64</v>
      </c>
      <c r="K33" s="516">
        <v>192485.51</v>
      </c>
      <c r="L33" s="590">
        <v>201791.15</v>
      </c>
      <c r="M33" s="516">
        <f>IFERROR(INDEX('HCC Data Entry'!$J$4:$J$22, MATCH('HCC Detail w Diag'!$B33,'HCC Data Entry'!$I$4:$I$22,0)),"")</f>
        <v>110000</v>
      </c>
      <c r="N33" s="516">
        <f t="shared" si="0"/>
        <v>91791.15</v>
      </c>
      <c r="O33" s="518">
        <f t="shared" si="1"/>
        <v>91791.15</v>
      </c>
      <c r="P33" s="531">
        <f t="shared" si="2"/>
        <v>0</v>
      </c>
      <c r="Q33" s="246"/>
      <c r="R33" s="246"/>
      <c r="S33" s="244"/>
      <c r="T33" s="207"/>
    </row>
    <row r="34" spans="2:20" ht="18.5" x14ac:dyDescent="0.45">
      <c r="B34" s="244" t="s">
        <v>170</v>
      </c>
      <c r="C34" s="502">
        <v>13646024</v>
      </c>
      <c r="D34" s="502">
        <v>61</v>
      </c>
      <c r="E34" s="502" t="s">
        <v>11</v>
      </c>
      <c r="F34" s="502" t="s">
        <v>357</v>
      </c>
      <c r="G34" s="502" t="s">
        <v>426</v>
      </c>
      <c r="H34" s="502">
        <v>20250201</v>
      </c>
      <c r="I34" s="244" t="s">
        <v>427</v>
      </c>
      <c r="J34" s="516">
        <v>145470.81</v>
      </c>
      <c r="K34" s="516">
        <v>54097.36</v>
      </c>
      <c r="L34" s="590">
        <v>199568.17</v>
      </c>
      <c r="M34" s="516">
        <f>IFERROR(INDEX('HCC Data Entry'!$J$4:$J$22, MATCH('HCC Detail w Diag'!$B34,'HCC Data Entry'!$I$4:$I$22,0)),"")</f>
        <v>68000</v>
      </c>
      <c r="N34" s="516">
        <f t="shared" si="0"/>
        <v>131568.17000000001</v>
      </c>
      <c r="O34" s="518">
        <f t="shared" si="1"/>
        <v>131568.17000000001</v>
      </c>
      <c r="P34" s="531">
        <f t="shared" si="2"/>
        <v>0</v>
      </c>
      <c r="Q34" s="246"/>
      <c r="R34" s="246"/>
      <c r="S34" s="244"/>
      <c r="T34" s="207"/>
    </row>
    <row r="35" spans="2:20" ht="18.5" x14ac:dyDescent="0.45">
      <c r="B35" s="244" t="s">
        <v>179</v>
      </c>
      <c r="C35" s="502">
        <v>13595491</v>
      </c>
      <c r="D35" s="502">
        <v>62</v>
      </c>
      <c r="E35" s="502" t="s">
        <v>11</v>
      </c>
      <c r="F35" s="502" t="s">
        <v>358</v>
      </c>
      <c r="G35" s="502" t="s">
        <v>383</v>
      </c>
      <c r="H35" s="502">
        <v>20250201</v>
      </c>
      <c r="I35" s="244" t="s">
        <v>384</v>
      </c>
      <c r="J35" s="516">
        <v>136563.87</v>
      </c>
      <c r="K35" s="516">
        <v>61829.24</v>
      </c>
      <c r="L35" s="590">
        <v>198393.11</v>
      </c>
      <c r="M35" s="516">
        <f>IFERROR(INDEX('HCC Data Entry'!$J$4:$J$22, MATCH('HCC Detail w Diag'!$B35,'HCC Data Entry'!$I$4:$I$22,0)),"")</f>
        <v>85000</v>
      </c>
      <c r="N35" s="516">
        <f t="shared" si="0"/>
        <v>113393.10999999999</v>
      </c>
      <c r="O35" s="518">
        <f t="shared" si="1"/>
        <v>113393.10999999999</v>
      </c>
      <c r="P35" s="531">
        <f t="shared" si="2"/>
        <v>0</v>
      </c>
      <c r="Q35" s="246"/>
      <c r="R35" s="246"/>
      <c r="S35" s="244"/>
      <c r="T35" s="207"/>
    </row>
    <row r="36" spans="2:20" ht="18.5" x14ac:dyDescent="0.45">
      <c r="B36" s="244" t="s">
        <v>166</v>
      </c>
      <c r="C36" s="502">
        <v>13576849</v>
      </c>
      <c r="D36" s="502">
        <v>63</v>
      </c>
      <c r="E36" s="502" t="s">
        <v>368</v>
      </c>
      <c r="F36" s="502" t="s">
        <v>358</v>
      </c>
      <c r="G36" s="502" t="s">
        <v>436</v>
      </c>
      <c r="H36" s="502">
        <v>20250201</v>
      </c>
      <c r="I36" s="244" t="s">
        <v>437</v>
      </c>
      <c r="J36" s="516">
        <v>194399.26</v>
      </c>
      <c r="K36" s="516">
        <v>245.17</v>
      </c>
      <c r="L36" s="590">
        <v>194644.43</v>
      </c>
      <c r="M36" s="516">
        <f>IFERROR(INDEX('HCC Data Entry'!$J$4:$J$22, MATCH('HCC Detail w Diag'!$B36,'HCC Data Entry'!$I$4:$I$22,0)),"")</f>
        <v>68000</v>
      </c>
      <c r="N36" s="516">
        <f t="shared" si="0"/>
        <v>126644.43</v>
      </c>
      <c r="O36" s="518">
        <f t="shared" si="1"/>
        <v>126644.43</v>
      </c>
      <c r="P36" s="531">
        <f t="shared" si="2"/>
        <v>0</v>
      </c>
      <c r="Q36" s="246"/>
      <c r="R36" s="246"/>
      <c r="S36" s="244"/>
      <c r="T36" s="207"/>
    </row>
    <row r="37" spans="2:20" ht="18.5" x14ac:dyDescent="0.45">
      <c r="B37" s="244" t="s">
        <v>173</v>
      </c>
      <c r="C37" s="502">
        <v>29033259</v>
      </c>
      <c r="D37" s="502">
        <v>48</v>
      </c>
      <c r="E37" s="502" t="s">
        <v>11</v>
      </c>
      <c r="F37" s="502" t="s">
        <v>358</v>
      </c>
      <c r="G37" s="502" t="s">
        <v>428</v>
      </c>
      <c r="H37" s="502">
        <v>20250201</v>
      </c>
      <c r="I37" s="244" t="s">
        <v>429</v>
      </c>
      <c r="J37" s="516">
        <v>187745.98</v>
      </c>
      <c r="K37" s="516">
        <v>4476.71</v>
      </c>
      <c r="L37" s="590">
        <v>192222.69</v>
      </c>
      <c r="M37" s="516">
        <f>IFERROR(INDEX('HCC Data Entry'!$J$4:$J$22, MATCH('HCC Detail w Diag'!$B37,'HCC Data Entry'!$I$4:$I$22,0)),"")</f>
        <v>68000</v>
      </c>
      <c r="N37" s="516">
        <f t="shared" si="0"/>
        <v>124222.69</v>
      </c>
      <c r="O37" s="518">
        <f t="shared" si="1"/>
        <v>124222.69</v>
      </c>
      <c r="P37" s="531">
        <f t="shared" si="2"/>
        <v>0</v>
      </c>
      <c r="Q37" s="246"/>
      <c r="R37" s="246"/>
      <c r="S37" s="244"/>
      <c r="T37" s="207"/>
    </row>
    <row r="38" spans="2:20" ht="18.5" x14ac:dyDescent="0.45">
      <c r="B38" s="244" t="s">
        <v>183</v>
      </c>
      <c r="C38" s="502">
        <v>13602238</v>
      </c>
      <c r="D38" s="502">
        <v>57</v>
      </c>
      <c r="E38" s="502" t="s">
        <v>368</v>
      </c>
      <c r="F38" s="502" t="s">
        <v>358</v>
      </c>
      <c r="G38" s="502" t="s">
        <v>413</v>
      </c>
      <c r="H38" s="502">
        <v>20250101</v>
      </c>
      <c r="I38" s="244" t="s">
        <v>414</v>
      </c>
      <c r="J38" s="516">
        <v>185241.03</v>
      </c>
      <c r="K38" s="516">
        <v>6064.71</v>
      </c>
      <c r="L38" s="590">
        <v>191305.74</v>
      </c>
      <c r="M38" s="516">
        <f>IFERROR(INDEX('HCC Data Entry'!$J$4:$J$22, MATCH('HCC Detail w Diag'!$B38,'HCC Data Entry'!$I$4:$I$22,0)),"")</f>
        <v>95000</v>
      </c>
      <c r="N38" s="516">
        <f t="shared" si="0"/>
        <v>96305.739999999991</v>
      </c>
      <c r="O38" s="518">
        <f t="shared" si="1"/>
        <v>96305.739999999991</v>
      </c>
      <c r="P38" s="531">
        <f t="shared" si="2"/>
        <v>0</v>
      </c>
      <c r="Q38" s="246"/>
      <c r="R38" s="246"/>
      <c r="S38" s="244"/>
      <c r="T38" s="207"/>
    </row>
    <row r="39" spans="2:20" ht="18.5" x14ac:dyDescent="0.45">
      <c r="B39" s="244" t="s">
        <v>178</v>
      </c>
      <c r="C39" s="502">
        <v>13601953</v>
      </c>
      <c r="D39" s="502">
        <v>36</v>
      </c>
      <c r="E39" s="502" t="s">
        <v>11</v>
      </c>
      <c r="F39" s="502" t="s">
        <v>358</v>
      </c>
      <c r="G39" s="502" t="s">
        <v>430</v>
      </c>
      <c r="H39" s="502">
        <v>20250201</v>
      </c>
      <c r="I39" s="244" t="s">
        <v>431</v>
      </c>
      <c r="J39" s="516">
        <v>4786.62</v>
      </c>
      <c r="K39" s="516">
        <v>180342.34</v>
      </c>
      <c r="L39" s="590">
        <v>185128.95999999999</v>
      </c>
      <c r="M39" s="516">
        <f>IFERROR(INDEX('HCC Data Entry'!$J$4:$J$22, MATCH('HCC Detail w Diag'!$B39,'HCC Data Entry'!$I$4:$I$22,0)),"")</f>
        <v>110000</v>
      </c>
      <c r="N39" s="516">
        <f t="shared" si="0"/>
        <v>75128.959999999992</v>
      </c>
      <c r="O39" s="518">
        <f t="shared" si="1"/>
        <v>75128.959999999992</v>
      </c>
      <c r="P39" s="531">
        <f t="shared" si="2"/>
        <v>0</v>
      </c>
      <c r="Q39" s="246"/>
      <c r="R39" s="246"/>
      <c r="S39" s="244"/>
      <c r="T39" s="207"/>
    </row>
    <row r="40" spans="2:20" ht="18.5" x14ac:dyDescent="0.45">
      <c r="B40" s="244" t="s">
        <v>166</v>
      </c>
      <c r="C40" s="502">
        <v>13578467</v>
      </c>
      <c r="D40" s="502">
        <v>58</v>
      </c>
      <c r="E40" s="502" t="s">
        <v>368</v>
      </c>
      <c r="F40" s="502" t="s">
        <v>357</v>
      </c>
      <c r="G40" s="502" t="s">
        <v>374</v>
      </c>
      <c r="H40" s="502">
        <v>20250101</v>
      </c>
      <c r="I40" s="244" t="s">
        <v>438</v>
      </c>
      <c r="J40" s="516">
        <v>179935.78</v>
      </c>
      <c r="K40" s="516">
        <v>570.79999999999995</v>
      </c>
      <c r="L40" s="590">
        <v>180506.58</v>
      </c>
      <c r="M40" s="516">
        <f>IFERROR(INDEX('HCC Data Entry'!$J$4:$J$22, MATCH('HCC Detail w Diag'!$B40,'HCC Data Entry'!$I$4:$I$22,0)),"")</f>
        <v>68000</v>
      </c>
      <c r="N40" s="516">
        <f t="shared" si="0"/>
        <v>112506.57999999999</v>
      </c>
      <c r="O40" s="518">
        <f t="shared" si="1"/>
        <v>112506.57999999999</v>
      </c>
      <c r="P40" s="531">
        <f t="shared" si="2"/>
        <v>0</v>
      </c>
      <c r="Q40" s="246"/>
      <c r="R40" s="246"/>
      <c r="S40" s="244"/>
      <c r="T40" s="207"/>
    </row>
    <row r="41" spans="2:20" ht="18.5" x14ac:dyDescent="0.45">
      <c r="B41" s="244" t="s">
        <v>172</v>
      </c>
      <c r="C41" s="502">
        <v>13577032</v>
      </c>
      <c r="D41" s="502">
        <v>43</v>
      </c>
      <c r="E41" s="502" t="s">
        <v>11</v>
      </c>
      <c r="F41" s="502" t="s">
        <v>357</v>
      </c>
      <c r="G41" s="502" t="s">
        <v>430</v>
      </c>
      <c r="H41" s="502">
        <v>20250201</v>
      </c>
      <c r="I41" s="244" t="s">
        <v>439</v>
      </c>
      <c r="J41" s="516">
        <v>13898.75</v>
      </c>
      <c r="K41" s="516">
        <v>157071.24</v>
      </c>
      <c r="L41" s="590">
        <v>170969.99</v>
      </c>
      <c r="M41" s="516">
        <f>IFERROR(INDEX('HCC Data Entry'!$J$4:$J$22, MATCH('HCC Detail w Diag'!$B41,'HCC Data Entry'!$I$4:$I$22,0)),"")</f>
        <v>68000</v>
      </c>
      <c r="N41" s="516">
        <f t="shared" si="0"/>
        <v>102969.98999999999</v>
      </c>
      <c r="O41" s="518">
        <f t="shared" si="1"/>
        <v>102969.98999999999</v>
      </c>
      <c r="P41" s="531">
        <f t="shared" si="2"/>
        <v>0</v>
      </c>
      <c r="Q41" s="246"/>
      <c r="R41" s="246"/>
      <c r="S41" s="244"/>
      <c r="T41" s="207"/>
    </row>
    <row r="42" spans="2:20" ht="18.5" x14ac:dyDescent="0.45">
      <c r="B42" s="244" t="s">
        <v>170</v>
      </c>
      <c r="C42" s="502">
        <v>13580766</v>
      </c>
      <c r="D42" s="502">
        <v>61</v>
      </c>
      <c r="E42" s="502" t="s">
        <v>368</v>
      </c>
      <c r="F42" s="502" t="s">
        <v>358</v>
      </c>
      <c r="G42" s="502" t="s">
        <v>372</v>
      </c>
      <c r="H42" s="502">
        <v>20250201</v>
      </c>
      <c r="I42" s="244" t="s">
        <v>373</v>
      </c>
      <c r="J42" s="516">
        <v>163483.53</v>
      </c>
      <c r="K42" s="516">
        <v>5434.53</v>
      </c>
      <c r="L42" s="590">
        <v>168918.06</v>
      </c>
      <c r="M42" s="516">
        <f>IFERROR(INDEX('HCC Data Entry'!$J$4:$J$22, MATCH('HCC Detail w Diag'!$B42,'HCC Data Entry'!$I$4:$I$22,0)),"")</f>
        <v>68000</v>
      </c>
      <c r="N42" s="516">
        <f t="shared" si="0"/>
        <v>100918.06</v>
      </c>
      <c r="O42" s="518">
        <f t="shared" si="1"/>
        <v>100918.06</v>
      </c>
      <c r="P42" s="531">
        <f t="shared" si="2"/>
        <v>0</v>
      </c>
      <c r="Q42" s="246"/>
      <c r="R42" s="246"/>
      <c r="S42" s="244"/>
      <c r="T42" s="207"/>
    </row>
    <row r="43" spans="2:20" ht="18.5" x14ac:dyDescent="0.45">
      <c r="B43" s="244" t="s">
        <v>173</v>
      </c>
      <c r="C43" s="502">
        <v>28875137</v>
      </c>
      <c r="D43" s="502">
        <v>62</v>
      </c>
      <c r="E43" s="502" t="s">
        <v>368</v>
      </c>
      <c r="F43" s="502" t="s">
        <v>358</v>
      </c>
      <c r="G43" s="502" t="s">
        <v>391</v>
      </c>
      <c r="H43" s="502">
        <v>20250201</v>
      </c>
      <c r="I43" s="244" t="s">
        <v>392</v>
      </c>
      <c r="J43" s="516">
        <v>152010.49</v>
      </c>
      <c r="K43" s="516">
        <v>14847.27</v>
      </c>
      <c r="L43" s="590">
        <v>166857.76</v>
      </c>
      <c r="M43" s="516">
        <f>IFERROR(INDEX('HCC Data Entry'!$J$4:$J$22, MATCH('HCC Detail w Diag'!$B43,'HCC Data Entry'!$I$4:$I$22,0)),"")</f>
        <v>68000</v>
      </c>
      <c r="N43" s="516">
        <f t="shared" si="0"/>
        <v>98857.760000000009</v>
      </c>
      <c r="O43" s="518">
        <f t="shared" si="1"/>
        <v>98857.760000000009</v>
      </c>
      <c r="P43" s="531">
        <f t="shared" si="2"/>
        <v>0</v>
      </c>
      <c r="Q43" s="246"/>
      <c r="R43" s="246"/>
      <c r="S43" s="244"/>
      <c r="T43" s="207"/>
    </row>
    <row r="44" spans="2:20" ht="18.5" x14ac:dyDescent="0.45">
      <c r="B44" s="244" t="s">
        <v>175</v>
      </c>
      <c r="C44" s="502">
        <v>13603161</v>
      </c>
      <c r="D44" s="502">
        <v>56</v>
      </c>
      <c r="E44" s="502" t="s">
        <v>368</v>
      </c>
      <c r="F44" s="502" t="s">
        <v>357</v>
      </c>
      <c r="G44" s="502" t="s">
        <v>411</v>
      </c>
      <c r="H44" s="502">
        <v>20250201</v>
      </c>
      <c r="I44" s="244" t="s">
        <v>412</v>
      </c>
      <c r="J44" s="516">
        <v>151307.81</v>
      </c>
      <c r="K44" s="516">
        <v>12702.09</v>
      </c>
      <c r="L44" s="590">
        <v>164009.9</v>
      </c>
      <c r="M44" s="516">
        <f>IFERROR(INDEX('HCC Data Entry'!$J$4:$J$22, MATCH('HCC Detail w Diag'!$B44,'HCC Data Entry'!$I$4:$I$22,0)),"")</f>
        <v>85000</v>
      </c>
      <c r="N44" s="516">
        <f t="shared" si="0"/>
        <v>79009.899999999994</v>
      </c>
      <c r="O44" s="518">
        <f t="shared" si="1"/>
        <v>79009.899999999994</v>
      </c>
      <c r="P44" s="531">
        <f t="shared" si="2"/>
        <v>0</v>
      </c>
      <c r="Q44" s="246"/>
      <c r="R44" s="246"/>
      <c r="S44" s="244"/>
      <c r="T44" s="207"/>
    </row>
    <row r="45" spans="2:20" ht="18.5" x14ac:dyDescent="0.45">
      <c r="B45" s="244" t="s">
        <v>176</v>
      </c>
      <c r="C45" s="502">
        <v>13619583</v>
      </c>
      <c r="D45" s="502">
        <v>20</v>
      </c>
      <c r="E45" s="502" t="s">
        <v>368</v>
      </c>
      <c r="F45" s="502" t="s">
        <v>359</v>
      </c>
      <c r="G45" s="502" t="s">
        <v>440</v>
      </c>
      <c r="H45" s="502">
        <v>20250201</v>
      </c>
      <c r="I45" s="244" t="s">
        <v>441</v>
      </c>
      <c r="J45" s="516">
        <v>37361.93</v>
      </c>
      <c r="K45" s="516">
        <v>126167.24</v>
      </c>
      <c r="L45" s="590">
        <v>163529.17000000001</v>
      </c>
      <c r="M45" s="516">
        <f>IFERROR(INDEX('HCC Data Entry'!$J$4:$J$22, MATCH('HCC Detail w Diag'!$B45,'HCC Data Entry'!$I$4:$I$22,0)),"")</f>
        <v>75000</v>
      </c>
      <c r="N45" s="516">
        <f t="shared" si="0"/>
        <v>88529.170000000013</v>
      </c>
      <c r="O45" s="518">
        <f t="shared" si="1"/>
        <v>88529.170000000013</v>
      </c>
      <c r="P45" s="531">
        <f t="shared" si="2"/>
        <v>0</v>
      </c>
      <c r="Q45" s="246"/>
      <c r="R45" s="246"/>
      <c r="S45" s="244"/>
      <c r="T45" s="207"/>
    </row>
    <row r="46" spans="2:20" ht="18.5" x14ac:dyDescent="0.45">
      <c r="B46" s="244" t="s">
        <v>176</v>
      </c>
      <c r="C46" s="502">
        <v>13619876</v>
      </c>
      <c r="D46" s="502">
        <v>49</v>
      </c>
      <c r="E46" s="502" t="s">
        <v>368</v>
      </c>
      <c r="F46" s="502" t="s">
        <v>358</v>
      </c>
      <c r="G46" s="502" t="s">
        <v>442</v>
      </c>
      <c r="H46" s="502">
        <v>20250201</v>
      </c>
      <c r="I46" s="244" t="s">
        <v>443</v>
      </c>
      <c r="J46" s="516">
        <v>2087.4899999999998</v>
      </c>
      <c r="K46" s="516">
        <v>156570.69</v>
      </c>
      <c r="L46" s="590">
        <v>158658.18</v>
      </c>
      <c r="M46" s="516">
        <f>IFERROR(INDEX('HCC Data Entry'!$J$4:$J$22, MATCH('HCC Detail w Diag'!$B46,'HCC Data Entry'!$I$4:$I$22,0)),"")</f>
        <v>75000</v>
      </c>
      <c r="N46" s="516">
        <f t="shared" si="0"/>
        <v>83658.179999999993</v>
      </c>
      <c r="O46" s="518">
        <f t="shared" si="1"/>
        <v>83658.179999999993</v>
      </c>
      <c r="P46" s="531">
        <f t="shared" si="2"/>
        <v>0</v>
      </c>
      <c r="Q46" s="246"/>
      <c r="R46" s="246"/>
      <c r="S46" s="244"/>
      <c r="T46" s="207"/>
    </row>
    <row r="47" spans="2:20" ht="18.5" x14ac:dyDescent="0.45">
      <c r="B47" s="244" t="s">
        <v>177</v>
      </c>
      <c r="C47" s="502">
        <v>21669676</v>
      </c>
      <c r="D47" s="502">
        <v>2</v>
      </c>
      <c r="E47" s="502" t="s">
        <v>11</v>
      </c>
      <c r="F47" s="502" t="s">
        <v>359</v>
      </c>
      <c r="G47" s="502" t="s">
        <v>444</v>
      </c>
      <c r="H47" s="502">
        <v>20250201</v>
      </c>
      <c r="I47" s="244" t="s">
        <v>445</v>
      </c>
      <c r="J47" s="516">
        <v>16209.54</v>
      </c>
      <c r="K47" s="516">
        <v>140815.45000000001</v>
      </c>
      <c r="L47" s="590">
        <v>157024.99</v>
      </c>
      <c r="M47" s="516">
        <f>IFERROR(INDEX('HCC Data Entry'!$J$4:$J$22, MATCH('HCC Detail w Diag'!$B47,'HCC Data Entry'!$I$4:$I$22,0)),"")</f>
        <v>85000</v>
      </c>
      <c r="N47" s="516">
        <f t="shared" si="0"/>
        <v>72024.989999999991</v>
      </c>
      <c r="O47" s="518">
        <f t="shared" si="1"/>
        <v>72024.989999999991</v>
      </c>
      <c r="P47" s="531">
        <f t="shared" si="2"/>
        <v>0</v>
      </c>
      <c r="Q47" s="246"/>
      <c r="R47" s="246"/>
      <c r="S47" s="244"/>
      <c r="T47" s="207"/>
    </row>
    <row r="48" spans="2:20" ht="18.5" x14ac:dyDescent="0.45">
      <c r="B48" s="244" t="s">
        <v>180</v>
      </c>
      <c r="C48" s="502">
        <v>13614015</v>
      </c>
      <c r="D48" s="502">
        <v>65</v>
      </c>
      <c r="E48" s="502" t="s">
        <v>368</v>
      </c>
      <c r="F48" s="502" t="s">
        <v>358</v>
      </c>
      <c r="G48" s="502" t="s">
        <v>446</v>
      </c>
      <c r="H48" s="502">
        <v>20240601</v>
      </c>
      <c r="I48" s="244" t="s">
        <v>429</v>
      </c>
      <c r="J48" s="516">
        <v>154659.57</v>
      </c>
      <c r="K48" s="516">
        <v>0</v>
      </c>
      <c r="L48" s="590">
        <v>154659.57</v>
      </c>
      <c r="M48" s="516">
        <f>IFERROR(INDEX('HCC Data Entry'!$J$4:$J$22, MATCH('HCC Detail w Diag'!$B48,'HCC Data Entry'!$I$4:$I$22,0)),"")</f>
        <v>68000</v>
      </c>
      <c r="N48" s="516">
        <f t="shared" si="0"/>
        <v>86659.57</v>
      </c>
      <c r="O48" s="518">
        <f t="shared" si="1"/>
        <v>86659.57</v>
      </c>
      <c r="P48" s="531">
        <f t="shared" si="2"/>
        <v>0</v>
      </c>
      <c r="Q48" s="246"/>
      <c r="R48" s="246"/>
      <c r="S48" s="244"/>
      <c r="T48" s="207"/>
    </row>
    <row r="49" spans="2:20" ht="18.5" x14ac:dyDescent="0.45">
      <c r="B49" s="244" t="s">
        <v>166</v>
      </c>
      <c r="C49" s="502">
        <v>13572964</v>
      </c>
      <c r="D49" s="502">
        <v>59</v>
      </c>
      <c r="E49" s="502" t="s">
        <v>11</v>
      </c>
      <c r="F49" s="502" t="s">
        <v>357</v>
      </c>
      <c r="G49" s="502" t="s">
        <v>447</v>
      </c>
      <c r="H49" s="502">
        <v>20250201</v>
      </c>
      <c r="I49" s="244" t="s">
        <v>448</v>
      </c>
      <c r="J49" s="516">
        <v>11730.68</v>
      </c>
      <c r="K49" s="516">
        <v>142584.09</v>
      </c>
      <c r="L49" s="590">
        <v>154314.76999999999</v>
      </c>
      <c r="M49" s="516">
        <f>IFERROR(INDEX('HCC Data Entry'!$J$4:$J$22, MATCH('HCC Detail w Diag'!$B49,'HCC Data Entry'!$I$4:$I$22,0)),"")</f>
        <v>68000</v>
      </c>
      <c r="N49" s="516">
        <f t="shared" si="0"/>
        <v>86314.76999999999</v>
      </c>
      <c r="O49" s="518">
        <f t="shared" si="1"/>
        <v>86314.76999999999</v>
      </c>
      <c r="P49" s="531">
        <f t="shared" si="2"/>
        <v>0</v>
      </c>
      <c r="Q49" s="246"/>
      <c r="R49" s="246"/>
      <c r="S49" s="244"/>
      <c r="T49" s="207"/>
    </row>
    <row r="50" spans="2:20" ht="18.5" x14ac:dyDescent="0.45">
      <c r="B50" s="537"/>
      <c r="C50" s="538"/>
      <c r="D50" s="538"/>
      <c r="E50" s="538"/>
      <c r="F50" s="538"/>
      <c r="G50" s="538"/>
      <c r="H50" s="538"/>
      <c r="I50" s="537"/>
      <c r="J50" s="540">
        <f>SUM(J9:J49)</f>
        <v>9819575.8299999945</v>
      </c>
      <c r="K50" s="540">
        <f>SUM(K9:K49)</f>
        <v>2670506.5400000005</v>
      </c>
      <c r="L50" s="540">
        <f>SUM(L9:L49)</f>
        <v>12490082.370000003</v>
      </c>
      <c r="M50" s="539" t="str">
        <f>IFERROR(INDEX('HCC Data Entry'!$J$4:$J$22, MATCH('HCC Detail w Diag'!$B50,'HCC Data Entry'!$I$4:$I$22,0)),"")</f>
        <v/>
      </c>
      <c r="N50" s="540">
        <f>SUM(N9:N49)</f>
        <v>9191082.370000001</v>
      </c>
      <c r="O50" s="540">
        <f>SUM(O9:O49)</f>
        <v>6378157.7400000002</v>
      </c>
      <c r="P50" s="540">
        <f>SUM(P9:P49)</f>
        <v>2812924.6299999994</v>
      </c>
      <c r="Q50"/>
      <c r="R50"/>
    </row>
    <row r="51" spans="2:20" ht="18.5" x14ac:dyDescent="0.45">
      <c r="B51" s="244"/>
      <c r="C51" s="502"/>
      <c r="D51" s="502"/>
      <c r="E51" s="502"/>
      <c r="F51" s="502"/>
      <c r="G51" s="502"/>
      <c r="H51" s="502"/>
      <c r="I51" s="244"/>
      <c r="J51" s="516"/>
      <c r="K51" s="516"/>
      <c r="L51" s="517"/>
      <c r="M51" s="516" t="str">
        <f>IFERROR(INDEX('HCC Data Entry'!$J$4:$J$22, MATCH('HCC Detail w Diag'!$B51,'HCC Data Entry'!$I$4:$I$22,0)),"")</f>
        <v/>
      </c>
      <c r="N51" s="516" t="str">
        <f t="shared" ref="N51:N102" si="3">IF(B51="","",IF(M51="Unknown", "", IF(L51&gt;M51,L51-M51,0)))</f>
        <v/>
      </c>
      <c r="O51" s="518" t="str">
        <f t="shared" ref="O51:O68" si="4">IF(N51="","",IF(N51=0,0, IF(L51&gt;$U$4,($U$4-M51),N51)))</f>
        <v/>
      </c>
      <c r="P51" s="519" t="str">
        <f t="shared" ref="P51:P68" si="5">IF(O51="","",IF(O51=0,0,IF(L51&gt;$U$4,L51-$U$4,0)))</f>
        <v/>
      </c>
      <c r="Q51"/>
      <c r="R51"/>
    </row>
    <row r="52" spans="2:20" ht="18.5" x14ac:dyDescent="0.45">
      <c r="B52" s="244"/>
      <c r="C52" s="502"/>
      <c r="D52" s="502"/>
      <c r="E52" s="502"/>
      <c r="F52" s="502"/>
      <c r="G52" s="502"/>
      <c r="H52" s="502"/>
      <c r="I52" s="244"/>
      <c r="J52" s="516"/>
      <c r="K52" s="516"/>
      <c r="L52" s="517"/>
      <c r="M52" s="516" t="str">
        <f>IFERROR(INDEX('HCC Data Entry'!$J$4:$J$22, MATCH('HCC Detail w Diag'!$B52,'HCC Data Entry'!$I$4:$I$22,0)),"")</f>
        <v/>
      </c>
      <c r="N52" s="516" t="str">
        <f t="shared" si="3"/>
        <v/>
      </c>
      <c r="O52" s="518" t="str">
        <f t="shared" si="4"/>
        <v/>
      </c>
      <c r="P52" s="519" t="str">
        <f t="shared" si="5"/>
        <v/>
      </c>
      <c r="Q52"/>
      <c r="R52"/>
    </row>
    <row r="53" spans="2:20" ht="18.5" x14ac:dyDescent="0.45">
      <c r="B53" s="244"/>
      <c r="C53" s="502"/>
      <c r="D53" s="502"/>
      <c r="E53" s="502"/>
      <c r="F53" s="502"/>
      <c r="G53" s="502"/>
      <c r="H53" s="502"/>
      <c r="I53" s="244"/>
      <c r="J53" s="516"/>
      <c r="K53" s="516"/>
      <c r="L53" s="517"/>
      <c r="M53" s="516" t="str">
        <f>IFERROR(INDEX('HCC Data Entry'!$J$4:$J$22, MATCH('HCC Detail w Diag'!$B53,'HCC Data Entry'!$I$4:$I$22,0)),"")</f>
        <v/>
      </c>
      <c r="N53" s="516" t="str">
        <f t="shared" si="3"/>
        <v/>
      </c>
      <c r="O53" s="518" t="str">
        <f t="shared" si="4"/>
        <v/>
      </c>
      <c r="P53" s="519" t="str">
        <f t="shared" si="5"/>
        <v/>
      </c>
      <c r="Q53"/>
      <c r="R53"/>
    </row>
    <row r="54" spans="2:20" ht="18.5" x14ac:dyDescent="0.45">
      <c r="B54" s="244"/>
      <c r="C54" s="502"/>
      <c r="D54" s="502"/>
      <c r="E54" s="502"/>
      <c r="F54" s="502"/>
      <c r="G54" s="502"/>
      <c r="H54" s="502"/>
      <c r="I54" s="244"/>
      <c r="J54" s="516"/>
      <c r="K54" s="516"/>
      <c r="L54" s="517"/>
      <c r="M54" s="516" t="str">
        <f>IFERROR(INDEX('HCC Data Entry'!$J$4:$J$22, MATCH('HCC Detail w Diag'!$B54,'HCC Data Entry'!$I$4:$I$22,0)),"")</f>
        <v/>
      </c>
      <c r="N54" s="516" t="str">
        <f t="shared" si="3"/>
        <v/>
      </c>
      <c r="O54" s="518" t="str">
        <f t="shared" si="4"/>
        <v/>
      </c>
      <c r="P54" s="519" t="str">
        <f t="shared" si="5"/>
        <v/>
      </c>
      <c r="Q54"/>
      <c r="R54"/>
    </row>
    <row r="55" spans="2:20" ht="18.5" x14ac:dyDescent="0.45">
      <c r="B55" s="244"/>
      <c r="C55" s="502"/>
      <c r="D55" s="502"/>
      <c r="E55" s="502"/>
      <c r="F55" s="502"/>
      <c r="G55" s="502"/>
      <c r="H55" s="502"/>
      <c r="I55" s="244"/>
      <c r="J55" s="516"/>
      <c r="K55" s="516"/>
      <c r="L55" s="517"/>
      <c r="M55" s="516" t="str">
        <f>IFERROR(INDEX('HCC Data Entry'!$J$4:$J$22, MATCH('HCC Detail w Diag'!$B55,'HCC Data Entry'!$I$4:$I$22,0)),"")</f>
        <v/>
      </c>
      <c r="N55" s="516" t="str">
        <f t="shared" si="3"/>
        <v/>
      </c>
      <c r="O55" s="518" t="str">
        <f t="shared" si="4"/>
        <v/>
      </c>
      <c r="P55" s="519" t="str">
        <f t="shared" si="5"/>
        <v/>
      </c>
      <c r="Q55"/>
      <c r="R55"/>
    </row>
    <row r="56" spans="2:20" ht="18.5" x14ac:dyDescent="0.45">
      <c r="B56" s="244"/>
      <c r="C56" s="502"/>
      <c r="D56" s="502"/>
      <c r="E56" s="502"/>
      <c r="F56" s="502"/>
      <c r="G56" s="502"/>
      <c r="H56" s="502"/>
      <c r="I56" s="244"/>
      <c r="J56" s="516"/>
      <c r="K56" s="516"/>
      <c r="L56" s="517"/>
      <c r="M56" s="516" t="str">
        <f>IFERROR(INDEX('HCC Data Entry'!$J$4:$J$22, MATCH('HCC Detail w Diag'!$B56,'HCC Data Entry'!$I$4:$I$22,0)),"")</f>
        <v/>
      </c>
      <c r="N56" s="516" t="str">
        <f t="shared" si="3"/>
        <v/>
      </c>
      <c r="O56" s="518" t="str">
        <f t="shared" si="4"/>
        <v/>
      </c>
      <c r="P56" s="519" t="str">
        <f t="shared" si="5"/>
        <v/>
      </c>
      <c r="Q56"/>
      <c r="R56"/>
    </row>
    <row r="57" spans="2:20" ht="18.5" x14ac:dyDescent="0.45">
      <c r="B57" s="244"/>
      <c r="C57" s="502"/>
      <c r="D57" s="502"/>
      <c r="E57" s="502"/>
      <c r="F57" s="502"/>
      <c r="G57" s="502"/>
      <c r="H57" s="502"/>
      <c r="I57" s="244"/>
      <c r="J57" s="516"/>
      <c r="K57" s="516"/>
      <c r="L57" s="517"/>
      <c r="M57" s="516" t="str">
        <f>IFERROR(INDEX('HCC Data Entry'!$J$4:$J$22, MATCH('HCC Detail w Diag'!$B57,'HCC Data Entry'!$I$4:$I$22,0)),"")</f>
        <v/>
      </c>
      <c r="N57" s="516" t="str">
        <f t="shared" si="3"/>
        <v/>
      </c>
      <c r="O57" s="518" t="str">
        <f t="shared" si="4"/>
        <v/>
      </c>
      <c r="P57" s="519" t="str">
        <f t="shared" si="5"/>
        <v/>
      </c>
      <c r="Q57"/>
      <c r="R57"/>
    </row>
    <row r="58" spans="2:20" ht="18.5" x14ac:dyDescent="0.45">
      <c r="B58" s="244"/>
      <c r="C58" s="502"/>
      <c r="D58" s="502"/>
      <c r="E58" s="502"/>
      <c r="F58" s="502"/>
      <c r="G58" s="502"/>
      <c r="H58" s="502"/>
      <c r="I58" s="244"/>
      <c r="J58" s="516"/>
      <c r="K58" s="516"/>
      <c r="L58" s="517"/>
      <c r="M58" s="516" t="str">
        <f>IFERROR(INDEX('HCC Data Entry'!$J$4:$J$22, MATCH('HCC Detail w Diag'!$B58,'HCC Data Entry'!$I$4:$I$22,0)),"")</f>
        <v/>
      </c>
      <c r="N58" s="516" t="str">
        <f t="shared" si="3"/>
        <v/>
      </c>
      <c r="O58" s="518" t="str">
        <f t="shared" si="4"/>
        <v/>
      </c>
      <c r="P58" s="519" t="str">
        <f t="shared" si="5"/>
        <v/>
      </c>
      <c r="Q58"/>
      <c r="R58"/>
    </row>
    <row r="59" spans="2:20" ht="18.5" x14ac:dyDescent="0.45">
      <c r="B59" s="244"/>
      <c r="C59" s="502"/>
      <c r="D59" s="502"/>
      <c r="E59" s="502"/>
      <c r="F59" s="502"/>
      <c r="G59" s="502"/>
      <c r="H59" s="502"/>
      <c r="I59" s="244"/>
      <c r="J59" s="516"/>
      <c r="K59" s="516"/>
      <c r="L59" s="517"/>
      <c r="M59" s="516" t="str">
        <f>IFERROR(INDEX('HCC Data Entry'!$J$4:$J$22, MATCH('HCC Detail w Diag'!$B59,'HCC Data Entry'!$I$4:$I$22,0)),"")</f>
        <v/>
      </c>
      <c r="N59" s="516" t="str">
        <f t="shared" si="3"/>
        <v/>
      </c>
      <c r="O59" s="518" t="str">
        <f t="shared" si="4"/>
        <v/>
      </c>
      <c r="P59" s="519" t="str">
        <f t="shared" si="5"/>
        <v/>
      </c>
      <c r="Q59"/>
      <c r="R59"/>
    </row>
    <row r="60" spans="2:20" ht="19.5" customHeight="1" x14ac:dyDescent="0.45">
      <c r="B60" s="244"/>
      <c r="C60" s="502"/>
      <c r="D60" s="502"/>
      <c r="E60" s="502"/>
      <c r="F60" s="502"/>
      <c r="G60" s="502"/>
      <c r="H60" s="502"/>
      <c r="I60" s="244"/>
      <c r="J60" s="516"/>
      <c r="K60" s="516"/>
      <c r="L60" s="517"/>
      <c r="M60" s="516" t="str">
        <f>IFERROR(INDEX('HCC Data Entry'!$J$4:$J$22, MATCH('HCC Detail w Diag'!$B60,'HCC Data Entry'!$I$4:$I$22,0)),"")</f>
        <v/>
      </c>
      <c r="N60" s="516" t="str">
        <f t="shared" si="3"/>
        <v/>
      </c>
      <c r="O60" s="518" t="str">
        <f t="shared" si="4"/>
        <v/>
      </c>
      <c r="P60" s="519" t="str">
        <f t="shared" si="5"/>
        <v/>
      </c>
      <c r="Q60"/>
      <c r="R60"/>
    </row>
    <row r="61" spans="2:20" ht="19.5" customHeight="1" x14ac:dyDescent="0.45">
      <c r="B61" s="244"/>
      <c r="C61" s="502"/>
      <c r="D61" s="502"/>
      <c r="E61" s="502"/>
      <c r="F61" s="502"/>
      <c r="G61" s="502"/>
      <c r="H61" s="502"/>
      <c r="I61" s="244"/>
      <c r="J61" s="516"/>
      <c r="K61" s="516"/>
      <c r="L61" s="517"/>
      <c r="M61" s="516" t="str">
        <f>IFERROR(INDEX('HCC Data Entry'!$J$4:$J$22, MATCH('HCC Detail w Diag'!$B61,'HCC Data Entry'!$I$4:$I$22,0)),"")</f>
        <v/>
      </c>
      <c r="N61" s="516" t="str">
        <f t="shared" si="3"/>
        <v/>
      </c>
      <c r="O61" s="518" t="str">
        <f t="shared" si="4"/>
        <v/>
      </c>
      <c r="P61" s="519" t="str">
        <f t="shared" si="5"/>
        <v/>
      </c>
      <c r="Q61"/>
      <c r="R61"/>
    </row>
    <row r="62" spans="2:20" ht="18.5" x14ac:dyDescent="0.45">
      <c r="B62" s="244"/>
      <c r="C62" s="502"/>
      <c r="D62" s="502"/>
      <c r="E62" s="502"/>
      <c r="F62" s="502"/>
      <c r="G62" s="502"/>
      <c r="H62" s="502"/>
      <c r="I62" s="244"/>
      <c r="J62" s="516"/>
      <c r="K62" s="516"/>
      <c r="L62" s="517"/>
      <c r="M62" s="516" t="str">
        <f>IFERROR(INDEX('HCC Data Entry'!$J$4:$J$22, MATCH('HCC Detail w Diag'!$B62,'HCC Data Entry'!$I$4:$I$22,0)),"")</f>
        <v/>
      </c>
      <c r="N62" s="516" t="str">
        <f t="shared" si="3"/>
        <v/>
      </c>
      <c r="O62" s="518" t="str">
        <f t="shared" si="4"/>
        <v/>
      </c>
      <c r="P62" s="519" t="str">
        <f t="shared" si="5"/>
        <v/>
      </c>
      <c r="Q62"/>
      <c r="R62"/>
    </row>
    <row r="63" spans="2:20" ht="18.5" x14ac:dyDescent="0.45">
      <c r="B63" s="244"/>
      <c r="C63" s="502"/>
      <c r="D63" s="502"/>
      <c r="E63" s="502"/>
      <c r="F63" s="502"/>
      <c r="G63" s="502"/>
      <c r="H63" s="502"/>
      <c r="I63" s="244"/>
      <c r="J63" s="516"/>
      <c r="K63" s="516"/>
      <c r="L63" s="517"/>
      <c r="M63" s="516" t="str">
        <f>IFERROR(INDEX('HCC Data Entry'!$J$4:$J$22, MATCH('HCC Detail w Diag'!$B63,'HCC Data Entry'!$I$4:$I$22,0)),"")</f>
        <v/>
      </c>
      <c r="N63" s="516" t="str">
        <f t="shared" si="3"/>
        <v/>
      </c>
      <c r="O63" s="518" t="str">
        <f t="shared" si="4"/>
        <v/>
      </c>
      <c r="P63" s="519" t="str">
        <f t="shared" si="5"/>
        <v/>
      </c>
      <c r="Q63"/>
      <c r="R63"/>
    </row>
    <row r="64" spans="2:20" ht="17.5" customHeight="1" x14ac:dyDescent="0.45">
      <c r="B64" s="244"/>
      <c r="C64" s="502"/>
      <c r="D64" s="502"/>
      <c r="E64" s="502"/>
      <c r="F64" s="502"/>
      <c r="G64" s="502"/>
      <c r="H64" s="502"/>
      <c r="I64" s="244"/>
      <c r="J64" s="516"/>
      <c r="K64" s="516"/>
      <c r="L64" s="517"/>
      <c r="M64" s="516" t="str">
        <f>IFERROR(INDEX('HCC Data Entry'!$J$4:$J$22, MATCH('HCC Detail w Diag'!$B64,'HCC Data Entry'!$I$4:$I$22,0)),"")</f>
        <v/>
      </c>
      <c r="N64" s="516" t="str">
        <f t="shared" si="3"/>
        <v/>
      </c>
      <c r="O64" s="518" t="str">
        <f t="shared" si="4"/>
        <v/>
      </c>
      <c r="P64" s="519" t="str">
        <f t="shared" si="5"/>
        <v/>
      </c>
      <c r="Q64"/>
      <c r="R64"/>
    </row>
    <row r="65" spans="2:18" ht="17.5" customHeight="1" x14ac:dyDescent="0.45">
      <c r="B65" s="244"/>
      <c r="C65" s="502"/>
      <c r="D65" s="502"/>
      <c r="E65" s="502"/>
      <c r="F65" s="502"/>
      <c r="G65" s="502"/>
      <c r="H65" s="502"/>
      <c r="I65" s="244"/>
      <c r="J65" s="516"/>
      <c r="K65" s="516"/>
      <c r="L65" s="517"/>
      <c r="M65" s="516" t="str">
        <f>IFERROR(INDEX('HCC Data Entry'!$J$4:$J$22, MATCH('HCC Detail w Diag'!$B65,'HCC Data Entry'!$I$4:$I$22,0)),"")</f>
        <v/>
      </c>
      <c r="N65" s="516" t="str">
        <f t="shared" si="3"/>
        <v/>
      </c>
      <c r="O65" s="518" t="str">
        <f t="shared" si="4"/>
        <v/>
      </c>
      <c r="P65" s="519" t="str">
        <f t="shared" si="5"/>
        <v/>
      </c>
      <c r="Q65"/>
      <c r="R65"/>
    </row>
    <row r="66" spans="2:18" ht="18.5" x14ac:dyDescent="0.45">
      <c r="B66" s="244"/>
      <c r="C66" s="502"/>
      <c r="D66" s="502"/>
      <c r="E66" s="502"/>
      <c r="F66" s="502"/>
      <c r="G66" s="502"/>
      <c r="H66" s="502"/>
      <c r="I66" s="244"/>
      <c r="J66" s="516"/>
      <c r="K66" s="516"/>
      <c r="L66" s="517"/>
      <c r="M66" s="516" t="str">
        <f>IFERROR(INDEX('HCC Data Entry'!$J$4:$J$22, MATCH('HCC Detail w Diag'!$B66,'HCC Data Entry'!$I$4:$I$22,0)),"")</f>
        <v/>
      </c>
      <c r="N66" s="516" t="str">
        <f t="shared" si="3"/>
        <v/>
      </c>
      <c r="O66" s="518" t="str">
        <f t="shared" si="4"/>
        <v/>
      </c>
      <c r="P66" s="519" t="str">
        <f t="shared" si="5"/>
        <v/>
      </c>
      <c r="Q66"/>
      <c r="R66"/>
    </row>
    <row r="67" spans="2:18" ht="18.5" x14ac:dyDescent="0.45">
      <c r="B67" s="244"/>
      <c r="C67" s="502"/>
      <c r="D67" s="502"/>
      <c r="E67" s="502"/>
      <c r="F67" s="502"/>
      <c r="G67" s="502"/>
      <c r="H67" s="502"/>
      <c r="I67" s="244"/>
      <c r="J67" s="516"/>
      <c r="K67" s="516"/>
      <c r="L67" s="517"/>
      <c r="M67" s="516" t="str">
        <f>IFERROR(INDEX('HCC Data Entry'!$J$4:$J$22, MATCH('HCC Detail w Diag'!$B67,'HCC Data Entry'!$I$4:$I$22,0)),"")</f>
        <v/>
      </c>
      <c r="N67" s="516" t="str">
        <f t="shared" si="3"/>
        <v/>
      </c>
      <c r="O67" s="518" t="str">
        <f t="shared" si="4"/>
        <v/>
      </c>
      <c r="P67" s="519" t="str">
        <f t="shared" si="5"/>
        <v/>
      </c>
      <c r="Q67"/>
      <c r="R67"/>
    </row>
    <row r="68" spans="2:18" ht="18.5" x14ac:dyDescent="0.45">
      <c r="B68" s="244"/>
      <c r="C68" s="502"/>
      <c r="D68" s="502"/>
      <c r="E68" s="502"/>
      <c r="F68" s="502"/>
      <c r="G68" s="502"/>
      <c r="H68" s="502"/>
      <c r="I68" s="244"/>
      <c r="J68" s="516"/>
      <c r="K68" s="516"/>
      <c r="L68" s="517"/>
      <c r="M68" s="516" t="str">
        <f>IFERROR(INDEX('HCC Data Entry'!$J$4:$J$22, MATCH('HCC Detail w Diag'!$B68,'HCC Data Entry'!$I$4:$I$22,0)),"")</f>
        <v/>
      </c>
      <c r="N68" s="516" t="str">
        <f t="shared" si="3"/>
        <v/>
      </c>
      <c r="O68" s="518" t="str">
        <f t="shared" si="4"/>
        <v/>
      </c>
      <c r="P68" s="519" t="str">
        <f t="shared" si="5"/>
        <v/>
      </c>
      <c r="Q68"/>
      <c r="R68"/>
    </row>
    <row r="69" spans="2:18" ht="18.5" x14ac:dyDescent="0.45">
      <c r="B69" s="244"/>
      <c r="C69" s="502"/>
      <c r="D69" s="502"/>
      <c r="E69" s="502"/>
      <c r="F69" s="502"/>
      <c r="G69" s="502"/>
      <c r="H69" s="502"/>
      <c r="I69" s="244"/>
      <c r="J69" s="516"/>
      <c r="K69" s="516"/>
      <c r="L69" s="517"/>
      <c r="M69" s="516" t="str">
        <f>IFERROR(INDEX('HCC Data Entry'!$J$4:$J$22, MATCH('HCC Detail w Diag'!$B69,'HCC Data Entry'!$I$4:$I$22,0)),"")</f>
        <v/>
      </c>
      <c r="N69" s="516" t="str">
        <f t="shared" si="3"/>
        <v/>
      </c>
      <c r="O69" s="518" t="str">
        <f t="shared" ref="O69:O132" si="6">IF(N69="","",IF(N69=0,0, IF(L69&gt;$U$4,($U$4-M69),N69)))</f>
        <v/>
      </c>
      <c r="P69" s="519" t="str">
        <f t="shared" ref="P69:P132" si="7">IF(O69="","",IF(O69=0,0,IF(L69&gt;$U$4,L69-$U$4,0)))</f>
        <v/>
      </c>
      <c r="Q69"/>
      <c r="R69"/>
    </row>
    <row r="70" spans="2:18" ht="18.5" x14ac:dyDescent="0.45">
      <c r="B70" s="244"/>
      <c r="C70" s="502"/>
      <c r="D70" s="502"/>
      <c r="E70" s="502"/>
      <c r="F70" s="502"/>
      <c r="G70" s="502"/>
      <c r="H70" s="502"/>
      <c r="I70" s="244"/>
      <c r="J70" s="516"/>
      <c r="K70" s="516"/>
      <c r="L70" s="517"/>
      <c r="M70" s="516" t="str">
        <f>IFERROR(INDEX('HCC Data Entry'!$J$4:$J$22, MATCH('HCC Detail w Diag'!$B70,'HCC Data Entry'!$I$4:$I$22,0)),"")</f>
        <v/>
      </c>
      <c r="N70" s="516" t="str">
        <f t="shared" si="3"/>
        <v/>
      </c>
      <c r="O70" s="518" t="str">
        <f t="shared" si="6"/>
        <v/>
      </c>
      <c r="P70" s="519" t="str">
        <f t="shared" si="7"/>
        <v/>
      </c>
      <c r="Q70"/>
      <c r="R70"/>
    </row>
    <row r="71" spans="2:18" ht="18.5" x14ac:dyDescent="0.45">
      <c r="B71" s="244"/>
      <c r="C71" s="502"/>
      <c r="D71" s="502"/>
      <c r="E71" s="502"/>
      <c r="F71" s="502"/>
      <c r="G71" s="502"/>
      <c r="H71" s="502"/>
      <c r="I71" s="244"/>
      <c r="J71" s="516"/>
      <c r="K71" s="516"/>
      <c r="L71" s="517"/>
      <c r="M71" s="516" t="str">
        <f>IFERROR(INDEX('HCC Data Entry'!$J$4:$J$22, MATCH('HCC Detail w Diag'!$B71,'HCC Data Entry'!$I$4:$I$22,0)),"")</f>
        <v/>
      </c>
      <c r="N71" s="516" t="str">
        <f t="shared" si="3"/>
        <v/>
      </c>
      <c r="O71" s="518" t="str">
        <f t="shared" si="6"/>
        <v/>
      </c>
      <c r="P71" s="519" t="str">
        <f t="shared" si="7"/>
        <v/>
      </c>
      <c r="Q71"/>
      <c r="R71"/>
    </row>
    <row r="72" spans="2:18" ht="18.5" x14ac:dyDescent="0.45">
      <c r="B72" s="244"/>
      <c r="C72" s="502"/>
      <c r="D72" s="502"/>
      <c r="E72" s="502"/>
      <c r="F72" s="502"/>
      <c r="G72" s="502"/>
      <c r="H72" s="502"/>
      <c r="I72" s="244"/>
      <c r="J72" s="516"/>
      <c r="K72" s="516"/>
      <c r="L72" s="517"/>
      <c r="M72" s="516" t="str">
        <f>IFERROR(INDEX('HCC Data Entry'!$J$4:$J$22, MATCH('HCC Detail w Diag'!$B72,'HCC Data Entry'!$I$4:$I$22,0)),"")</f>
        <v/>
      </c>
      <c r="N72" s="516" t="str">
        <f t="shared" si="3"/>
        <v/>
      </c>
      <c r="O72" s="518" t="str">
        <f t="shared" si="6"/>
        <v/>
      </c>
      <c r="P72" s="519" t="str">
        <f t="shared" si="7"/>
        <v/>
      </c>
      <c r="Q72"/>
      <c r="R72"/>
    </row>
    <row r="73" spans="2:18" ht="18.5" x14ac:dyDescent="0.45">
      <c r="B73" s="244"/>
      <c r="C73" s="502"/>
      <c r="D73" s="502"/>
      <c r="E73" s="502"/>
      <c r="F73" s="502"/>
      <c r="G73" s="502"/>
      <c r="H73" s="502"/>
      <c r="I73" s="244"/>
      <c r="J73" s="516"/>
      <c r="K73" s="516"/>
      <c r="L73" s="517"/>
      <c r="M73" s="516" t="str">
        <f>IFERROR(INDEX('HCC Data Entry'!$J$4:$J$22, MATCH('HCC Detail w Diag'!$B73,'HCC Data Entry'!$I$4:$I$22,0)),"")</f>
        <v/>
      </c>
      <c r="N73" s="516" t="str">
        <f t="shared" si="3"/>
        <v/>
      </c>
      <c r="O73" s="518" t="str">
        <f t="shared" si="6"/>
        <v/>
      </c>
      <c r="P73" s="519" t="str">
        <f t="shared" si="7"/>
        <v/>
      </c>
      <c r="Q73"/>
      <c r="R73"/>
    </row>
    <row r="74" spans="2:18" ht="18.5" x14ac:dyDescent="0.45">
      <c r="B74" s="244"/>
      <c r="C74" s="502"/>
      <c r="D74" s="502"/>
      <c r="E74" s="502"/>
      <c r="F74" s="502"/>
      <c r="G74" s="502"/>
      <c r="H74" s="502"/>
      <c r="I74" s="244"/>
      <c r="J74" s="516"/>
      <c r="K74" s="516"/>
      <c r="L74" s="517"/>
      <c r="M74" s="516" t="str">
        <f>IFERROR(INDEX('HCC Data Entry'!$J$4:$J$22, MATCH('HCC Detail w Diag'!$B74,'HCC Data Entry'!$I$4:$I$22,0)),"")</f>
        <v/>
      </c>
      <c r="N74" s="516" t="str">
        <f t="shared" si="3"/>
        <v/>
      </c>
      <c r="O74" s="518" t="str">
        <f t="shared" si="6"/>
        <v/>
      </c>
      <c r="P74" s="519" t="str">
        <f t="shared" si="7"/>
        <v/>
      </c>
      <c r="Q74"/>
      <c r="R74"/>
    </row>
    <row r="75" spans="2:18" ht="18.5" x14ac:dyDescent="0.45">
      <c r="B75" s="244"/>
      <c r="C75" s="502"/>
      <c r="D75" s="502"/>
      <c r="E75" s="502"/>
      <c r="F75" s="502"/>
      <c r="G75" s="502"/>
      <c r="H75" s="502"/>
      <c r="I75" s="244"/>
      <c r="J75" s="516"/>
      <c r="K75" s="516"/>
      <c r="L75" s="517"/>
      <c r="M75" s="516" t="str">
        <f>IFERROR(INDEX('HCC Data Entry'!$J$4:$J$22, MATCH('HCC Detail w Diag'!$B75,'HCC Data Entry'!$I$4:$I$22,0)),"")</f>
        <v/>
      </c>
      <c r="N75" s="516" t="str">
        <f t="shared" si="3"/>
        <v/>
      </c>
      <c r="O75" s="518" t="str">
        <f t="shared" si="6"/>
        <v/>
      </c>
      <c r="P75" s="519" t="str">
        <f t="shared" si="7"/>
        <v/>
      </c>
      <c r="Q75"/>
      <c r="R75"/>
    </row>
    <row r="76" spans="2:18" ht="18.5" x14ac:dyDescent="0.45">
      <c r="B76" s="244"/>
      <c r="C76" s="502"/>
      <c r="D76" s="502"/>
      <c r="E76" s="502"/>
      <c r="F76" s="502"/>
      <c r="G76" s="502"/>
      <c r="H76" s="502"/>
      <c r="I76" s="244"/>
      <c r="J76" s="516"/>
      <c r="K76" s="516"/>
      <c r="L76" s="517"/>
      <c r="M76" s="516" t="str">
        <f>IFERROR(INDEX('HCC Data Entry'!$J$4:$J$22, MATCH('HCC Detail w Diag'!$B76,'HCC Data Entry'!$I$4:$I$22,0)),"")</f>
        <v/>
      </c>
      <c r="N76" s="516" t="str">
        <f t="shared" si="3"/>
        <v/>
      </c>
      <c r="O76" s="518" t="str">
        <f t="shared" si="6"/>
        <v/>
      </c>
      <c r="P76" s="519" t="str">
        <f t="shared" si="7"/>
        <v/>
      </c>
      <c r="Q76"/>
      <c r="R76"/>
    </row>
    <row r="77" spans="2:18" ht="18.5" x14ac:dyDescent="0.45">
      <c r="B77" s="244"/>
      <c r="C77" s="502"/>
      <c r="D77" s="502"/>
      <c r="E77" s="502"/>
      <c r="F77" s="502"/>
      <c r="G77" s="502"/>
      <c r="H77" s="502"/>
      <c r="I77" s="244"/>
      <c r="J77" s="516"/>
      <c r="K77" s="516"/>
      <c r="L77" s="517"/>
      <c r="M77" s="516" t="str">
        <f>IFERROR(INDEX('HCC Data Entry'!$J$4:$J$22, MATCH('HCC Detail w Diag'!$B77,'HCC Data Entry'!$I$4:$I$22,0)),"")</f>
        <v/>
      </c>
      <c r="N77" s="516" t="str">
        <f t="shared" si="3"/>
        <v/>
      </c>
      <c r="O77" s="518" t="str">
        <f t="shared" si="6"/>
        <v/>
      </c>
      <c r="P77" s="519" t="str">
        <f t="shared" si="7"/>
        <v/>
      </c>
      <c r="Q77"/>
      <c r="R77"/>
    </row>
    <row r="78" spans="2:18" ht="18.5" x14ac:dyDescent="0.45">
      <c r="B78" s="244"/>
      <c r="C78" s="502"/>
      <c r="D78" s="502"/>
      <c r="E78" s="502"/>
      <c r="F78" s="502"/>
      <c r="G78" s="502"/>
      <c r="H78" s="502"/>
      <c r="I78" s="244"/>
      <c r="J78" s="516"/>
      <c r="K78" s="516"/>
      <c r="L78" s="517"/>
      <c r="M78" s="516" t="str">
        <f>IFERROR(INDEX('HCC Data Entry'!$J$4:$J$22, MATCH('HCC Detail w Diag'!$B78,'HCC Data Entry'!$I$4:$I$22,0)),"")</f>
        <v/>
      </c>
      <c r="N78" s="516" t="str">
        <f t="shared" si="3"/>
        <v/>
      </c>
      <c r="O78" s="518" t="str">
        <f t="shared" si="6"/>
        <v/>
      </c>
      <c r="P78" s="519" t="str">
        <f t="shared" si="7"/>
        <v/>
      </c>
      <c r="Q78"/>
      <c r="R78"/>
    </row>
    <row r="79" spans="2:18" ht="18.5" x14ac:dyDescent="0.45">
      <c r="B79" s="244"/>
      <c r="C79" s="502"/>
      <c r="D79" s="502"/>
      <c r="E79" s="502"/>
      <c r="F79" s="502"/>
      <c r="G79" s="502"/>
      <c r="H79" s="502"/>
      <c r="I79" s="244"/>
      <c r="J79" s="516"/>
      <c r="K79" s="516"/>
      <c r="L79" s="517"/>
      <c r="M79" s="516" t="str">
        <f>IFERROR(INDEX('HCC Data Entry'!$J$4:$J$22, MATCH('HCC Detail w Diag'!$B79,'HCC Data Entry'!$I$4:$I$22,0)),"")</f>
        <v/>
      </c>
      <c r="N79" s="516" t="str">
        <f t="shared" si="3"/>
        <v/>
      </c>
      <c r="O79" s="518" t="str">
        <f t="shared" si="6"/>
        <v/>
      </c>
      <c r="P79" s="519" t="str">
        <f t="shared" si="7"/>
        <v/>
      </c>
      <c r="Q79"/>
      <c r="R79"/>
    </row>
    <row r="80" spans="2:18" ht="18.5" x14ac:dyDescent="0.45">
      <c r="B80" s="244"/>
      <c r="C80" s="502"/>
      <c r="D80" s="502"/>
      <c r="E80" s="502"/>
      <c r="F80" s="502"/>
      <c r="G80" s="502"/>
      <c r="H80" s="502"/>
      <c r="I80" s="244"/>
      <c r="J80" s="516"/>
      <c r="K80" s="516"/>
      <c r="L80" s="517"/>
      <c r="M80" s="516" t="str">
        <f>IFERROR(INDEX('HCC Data Entry'!$J$4:$J$22, MATCH('HCC Detail w Diag'!$B80,'HCC Data Entry'!$I$4:$I$22,0)),"")</f>
        <v/>
      </c>
      <c r="N80" s="516" t="str">
        <f t="shared" si="3"/>
        <v/>
      </c>
      <c r="O80" s="518" t="str">
        <f t="shared" si="6"/>
        <v/>
      </c>
      <c r="P80" s="519" t="str">
        <f t="shared" si="7"/>
        <v/>
      </c>
      <c r="Q80"/>
      <c r="R80"/>
    </row>
    <row r="81" spans="2:18" ht="18.5" x14ac:dyDescent="0.45">
      <c r="B81" s="244"/>
      <c r="C81" s="502"/>
      <c r="D81" s="502"/>
      <c r="E81" s="502"/>
      <c r="F81" s="502"/>
      <c r="G81" s="502"/>
      <c r="H81" s="502"/>
      <c r="I81" s="244"/>
      <c r="J81" s="516"/>
      <c r="K81" s="516"/>
      <c r="L81" s="517"/>
      <c r="M81" s="516" t="str">
        <f>IFERROR(INDEX('HCC Data Entry'!$J$4:$J$22, MATCH('HCC Detail w Diag'!$B81,'HCC Data Entry'!$I$4:$I$22,0)),"")</f>
        <v/>
      </c>
      <c r="N81" s="516" t="str">
        <f t="shared" si="3"/>
        <v/>
      </c>
      <c r="O81" s="518" t="str">
        <f t="shared" si="6"/>
        <v/>
      </c>
      <c r="P81" s="519" t="str">
        <f t="shared" si="7"/>
        <v/>
      </c>
      <c r="Q81"/>
      <c r="R81"/>
    </row>
    <row r="82" spans="2:18" ht="18.5" x14ac:dyDescent="0.45">
      <c r="B82" s="244"/>
      <c r="C82" s="502"/>
      <c r="D82" s="502"/>
      <c r="E82" s="502"/>
      <c r="F82" s="502"/>
      <c r="G82" s="502"/>
      <c r="H82" s="502"/>
      <c r="I82" s="244"/>
      <c r="J82" s="516"/>
      <c r="K82" s="516"/>
      <c r="L82" s="517"/>
      <c r="M82" s="516" t="str">
        <f>IFERROR(INDEX('HCC Data Entry'!$J$4:$J$22, MATCH('HCC Detail w Diag'!$B82,'HCC Data Entry'!$I$4:$I$22,0)),"")</f>
        <v/>
      </c>
      <c r="N82" s="516" t="str">
        <f t="shared" si="3"/>
        <v/>
      </c>
      <c r="O82" s="518" t="str">
        <f t="shared" si="6"/>
        <v/>
      </c>
      <c r="P82" s="519" t="str">
        <f t="shared" si="7"/>
        <v/>
      </c>
      <c r="Q82"/>
      <c r="R82"/>
    </row>
    <row r="83" spans="2:18" ht="18.5" x14ac:dyDescent="0.45">
      <c r="B83" s="244"/>
      <c r="C83" s="502"/>
      <c r="D83" s="502"/>
      <c r="E83" s="502"/>
      <c r="F83" s="502"/>
      <c r="G83" s="502"/>
      <c r="H83" s="502"/>
      <c r="I83" s="244"/>
      <c r="J83" s="516"/>
      <c r="K83" s="516"/>
      <c r="L83" s="517"/>
      <c r="M83" s="516" t="str">
        <f>IFERROR(INDEX('HCC Data Entry'!$J$4:$J$22, MATCH('HCC Detail w Diag'!$B83,'HCC Data Entry'!$I$4:$I$22,0)),"")</f>
        <v/>
      </c>
      <c r="N83" s="516" t="str">
        <f t="shared" si="3"/>
        <v/>
      </c>
      <c r="O83" s="518" t="str">
        <f t="shared" si="6"/>
        <v/>
      </c>
      <c r="P83" s="519" t="str">
        <f t="shared" si="7"/>
        <v/>
      </c>
      <c r="Q83"/>
      <c r="R83"/>
    </row>
    <row r="84" spans="2:18" ht="18.5" x14ac:dyDescent="0.45">
      <c r="B84" s="244"/>
      <c r="C84" s="502"/>
      <c r="D84" s="502"/>
      <c r="E84" s="502"/>
      <c r="F84" s="502"/>
      <c r="G84" s="502"/>
      <c r="H84" s="502"/>
      <c r="I84" s="244"/>
      <c r="J84" s="516"/>
      <c r="K84" s="516"/>
      <c r="L84" s="517"/>
      <c r="M84" s="516" t="str">
        <f>IFERROR(INDEX('HCC Data Entry'!$J$4:$J$22, MATCH('HCC Detail w Diag'!$B84,'HCC Data Entry'!$I$4:$I$22,0)),"")</f>
        <v/>
      </c>
      <c r="N84" s="516" t="str">
        <f t="shared" si="3"/>
        <v/>
      </c>
      <c r="O84" s="518" t="str">
        <f t="shared" si="6"/>
        <v/>
      </c>
      <c r="P84" s="519" t="str">
        <f t="shared" si="7"/>
        <v/>
      </c>
      <c r="Q84"/>
      <c r="R84"/>
    </row>
    <row r="85" spans="2:18" ht="18.5" x14ac:dyDescent="0.45">
      <c r="B85" s="244"/>
      <c r="C85" s="502"/>
      <c r="D85" s="502"/>
      <c r="E85" s="502"/>
      <c r="F85" s="502"/>
      <c r="G85" s="502"/>
      <c r="H85" s="502"/>
      <c r="I85" s="244"/>
      <c r="J85" s="516"/>
      <c r="K85" s="516"/>
      <c r="L85" s="517"/>
      <c r="M85" s="516" t="str">
        <f>IFERROR(INDEX('HCC Data Entry'!$J$4:$J$22, MATCH('HCC Detail w Diag'!$B85,'HCC Data Entry'!$I$4:$I$22,0)),"")</f>
        <v/>
      </c>
      <c r="N85" s="516" t="str">
        <f t="shared" si="3"/>
        <v/>
      </c>
      <c r="O85" s="518" t="str">
        <f t="shared" si="6"/>
        <v/>
      </c>
      <c r="P85" s="519" t="str">
        <f t="shared" si="7"/>
        <v/>
      </c>
      <c r="Q85"/>
      <c r="R85"/>
    </row>
    <row r="86" spans="2:18" ht="18.5" x14ac:dyDescent="0.45">
      <c r="B86" s="244"/>
      <c r="C86" s="502"/>
      <c r="D86" s="502"/>
      <c r="E86" s="502"/>
      <c r="F86" s="502"/>
      <c r="G86" s="502"/>
      <c r="H86" s="502"/>
      <c r="I86" s="244"/>
      <c r="J86" s="516"/>
      <c r="K86" s="516"/>
      <c r="L86" s="517"/>
      <c r="M86" s="516" t="str">
        <f>IFERROR(INDEX('HCC Data Entry'!$J$4:$J$22, MATCH('HCC Detail w Diag'!$B86,'HCC Data Entry'!$I$4:$I$22,0)),"")</f>
        <v/>
      </c>
      <c r="N86" s="516" t="str">
        <f t="shared" si="3"/>
        <v/>
      </c>
      <c r="O86" s="518" t="str">
        <f t="shared" si="6"/>
        <v/>
      </c>
      <c r="P86" s="519" t="str">
        <f t="shared" si="7"/>
        <v/>
      </c>
      <c r="Q86"/>
      <c r="R86"/>
    </row>
    <row r="87" spans="2:18" ht="18.5" x14ac:dyDescent="0.45">
      <c r="B87" s="244"/>
      <c r="C87" s="502"/>
      <c r="D87" s="502"/>
      <c r="E87" s="502"/>
      <c r="F87" s="502"/>
      <c r="G87" s="502"/>
      <c r="H87" s="502"/>
      <c r="I87" s="244"/>
      <c r="J87" s="516"/>
      <c r="K87" s="516"/>
      <c r="L87" s="517"/>
      <c r="M87" s="516" t="str">
        <f>IFERROR(INDEX('HCC Data Entry'!$J$4:$J$22, MATCH('HCC Detail w Diag'!$B87,'HCC Data Entry'!$I$4:$I$22,0)),"")</f>
        <v/>
      </c>
      <c r="N87" s="516" t="str">
        <f t="shared" si="3"/>
        <v/>
      </c>
      <c r="O87" s="518" t="str">
        <f t="shared" si="6"/>
        <v/>
      </c>
      <c r="P87" s="519" t="str">
        <f t="shared" si="7"/>
        <v/>
      </c>
      <c r="Q87"/>
      <c r="R87"/>
    </row>
    <row r="88" spans="2:18" ht="18.5" x14ac:dyDescent="0.45">
      <c r="B88" s="244"/>
      <c r="C88" s="502"/>
      <c r="D88" s="502"/>
      <c r="E88" s="502"/>
      <c r="F88" s="502"/>
      <c r="G88" s="502"/>
      <c r="H88" s="502"/>
      <c r="I88" s="244"/>
      <c r="J88" s="516"/>
      <c r="K88" s="516"/>
      <c r="L88" s="517"/>
      <c r="M88" s="516" t="str">
        <f>IFERROR(INDEX('HCC Data Entry'!$J$4:$J$22, MATCH('HCC Detail w Diag'!$B88,'HCC Data Entry'!$I$4:$I$22,0)),"")</f>
        <v/>
      </c>
      <c r="N88" s="516" t="str">
        <f t="shared" si="3"/>
        <v/>
      </c>
      <c r="O88" s="518" t="str">
        <f t="shared" si="6"/>
        <v/>
      </c>
      <c r="P88" s="519" t="str">
        <f t="shared" si="7"/>
        <v/>
      </c>
      <c r="Q88"/>
      <c r="R88"/>
    </row>
    <row r="89" spans="2:18" ht="18.5" x14ac:dyDescent="0.45">
      <c r="B89" s="244"/>
      <c r="C89" s="502"/>
      <c r="D89" s="502"/>
      <c r="E89" s="502"/>
      <c r="F89" s="502"/>
      <c r="G89" s="502"/>
      <c r="H89" s="502"/>
      <c r="I89" s="244"/>
      <c r="J89" s="516"/>
      <c r="K89" s="516"/>
      <c r="L89" s="517"/>
      <c r="M89" s="516" t="str">
        <f>IFERROR(INDEX('HCC Data Entry'!$J$4:$J$22, MATCH('HCC Detail w Diag'!$B89,'HCC Data Entry'!$I$4:$I$22,0)),"")</f>
        <v/>
      </c>
      <c r="N89" s="516" t="str">
        <f t="shared" si="3"/>
        <v/>
      </c>
      <c r="O89" s="518" t="str">
        <f t="shared" si="6"/>
        <v/>
      </c>
      <c r="P89" s="519" t="str">
        <f t="shared" si="7"/>
        <v/>
      </c>
      <c r="Q89"/>
      <c r="R89"/>
    </row>
    <row r="90" spans="2:18" ht="18.5" x14ac:dyDescent="0.45">
      <c r="B90" s="244"/>
      <c r="C90" s="502"/>
      <c r="D90" s="502"/>
      <c r="E90" s="502"/>
      <c r="F90" s="502"/>
      <c r="G90" s="502"/>
      <c r="H90" s="502"/>
      <c r="I90" s="244"/>
      <c r="J90" s="516"/>
      <c r="K90" s="516"/>
      <c r="L90" s="517"/>
      <c r="M90" s="516" t="str">
        <f>IFERROR(INDEX('HCC Data Entry'!$J$4:$J$22, MATCH('HCC Detail w Diag'!$B90,'HCC Data Entry'!$I$4:$I$22,0)),"")</f>
        <v/>
      </c>
      <c r="N90" s="516" t="str">
        <f t="shared" si="3"/>
        <v/>
      </c>
      <c r="O90" s="518" t="str">
        <f t="shared" si="6"/>
        <v/>
      </c>
      <c r="P90" s="519" t="str">
        <f t="shared" si="7"/>
        <v/>
      </c>
      <c r="Q90"/>
      <c r="R90"/>
    </row>
    <row r="91" spans="2:18" ht="18.5" x14ac:dyDescent="0.45">
      <c r="B91" s="244"/>
      <c r="C91" s="502"/>
      <c r="D91" s="502"/>
      <c r="E91" s="502"/>
      <c r="F91" s="502"/>
      <c r="G91" s="502"/>
      <c r="H91" s="502"/>
      <c r="I91" s="244"/>
      <c r="J91" s="516"/>
      <c r="K91" s="516"/>
      <c r="L91" s="517"/>
      <c r="M91" s="516" t="str">
        <f>IFERROR(INDEX('HCC Data Entry'!$J$4:$J$22, MATCH('HCC Detail w Diag'!$B91,'HCC Data Entry'!$I$4:$I$22,0)),"")</f>
        <v/>
      </c>
      <c r="N91" s="516" t="str">
        <f t="shared" si="3"/>
        <v/>
      </c>
      <c r="O91" s="518" t="str">
        <f t="shared" si="6"/>
        <v/>
      </c>
      <c r="P91" s="519" t="str">
        <f t="shared" si="7"/>
        <v/>
      </c>
      <c r="Q91"/>
      <c r="R91"/>
    </row>
    <row r="92" spans="2:18" ht="18.5" x14ac:dyDescent="0.45">
      <c r="B92" s="244"/>
      <c r="C92" s="502"/>
      <c r="D92" s="502"/>
      <c r="E92" s="502"/>
      <c r="F92" s="502"/>
      <c r="G92" s="502"/>
      <c r="H92" s="502"/>
      <c r="I92" s="244"/>
      <c r="J92" s="516"/>
      <c r="K92" s="516"/>
      <c r="L92" s="517"/>
      <c r="M92" s="516" t="str">
        <f>IFERROR(INDEX('HCC Data Entry'!$J$4:$J$22, MATCH('HCC Detail w Diag'!$B92,'HCC Data Entry'!$I$4:$I$22,0)),"")</f>
        <v/>
      </c>
      <c r="N92" s="516" t="str">
        <f t="shared" si="3"/>
        <v/>
      </c>
      <c r="O92" s="518" t="str">
        <f t="shared" si="6"/>
        <v/>
      </c>
      <c r="P92" s="519" t="str">
        <f t="shared" si="7"/>
        <v/>
      </c>
      <c r="Q92"/>
      <c r="R92"/>
    </row>
    <row r="93" spans="2:18" ht="18.5" x14ac:dyDescent="0.45">
      <c r="B93" s="244"/>
      <c r="C93" s="502"/>
      <c r="D93" s="502"/>
      <c r="E93" s="502"/>
      <c r="F93" s="502"/>
      <c r="G93" s="502"/>
      <c r="H93" s="502"/>
      <c r="I93" s="244"/>
      <c r="J93" s="516"/>
      <c r="K93" s="516"/>
      <c r="L93" s="517"/>
      <c r="M93" s="516" t="str">
        <f>IFERROR(INDEX('HCC Data Entry'!$J$4:$J$22, MATCH('HCC Detail w Diag'!$B93,'HCC Data Entry'!$I$4:$I$22,0)),"")</f>
        <v/>
      </c>
      <c r="N93" s="516" t="str">
        <f t="shared" si="3"/>
        <v/>
      </c>
      <c r="O93" s="518" t="str">
        <f t="shared" si="6"/>
        <v/>
      </c>
      <c r="P93" s="519" t="str">
        <f t="shared" si="7"/>
        <v/>
      </c>
      <c r="Q93"/>
      <c r="R93"/>
    </row>
    <row r="94" spans="2:18" ht="18.5" x14ac:dyDescent="0.45">
      <c r="B94" s="244"/>
      <c r="C94" s="502"/>
      <c r="D94" s="502"/>
      <c r="E94" s="502"/>
      <c r="F94" s="502"/>
      <c r="G94" s="502"/>
      <c r="H94" s="502"/>
      <c r="I94" s="244"/>
      <c r="J94" s="516"/>
      <c r="K94" s="516"/>
      <c r="L94" s="517"/>
      <c r="M94" s="516" t="str">
        <f>IFERROR(INDEX('HCC Data Entry'!$J$4:$J$22, MATCH('HCC Detail w Diag'!$B94,'HCC Data Entry'!$I$4:$I$22,0)),"")</f>
        <v/>
      </c>
      <c r="N94" s="516" t="str">
        <f t="shared" si="3"/>
        <v/>
      </c>
      <c r="O94" s="518" t="str">
        <f t="shared" si="6"/>
        <v/>
      </c>
      <c r="P94" s="519" t="str">
        <f t="shared" si="7"/>
        <v/>
      </c>
      <c r="Q94"/>
      <c r="R94"/>
    </row>
    <row r="95" spans="2:18" ht="18.5" x14ac:dyDescent="0.45">
      <c r="B95" s="244"/>
      <c r="C95" s="502"/>
      <c r="D95" s="502"/>
      <c r="E95" s="502"/>
      <c r="F95" s="502"/>
      <c r="G95" s="502"/>
      <c r="H95" s="502"/>
      <c r="I95" s="244"/>
      <c r="J95" s="516"/>
      <c r="K95" s="516"/>
      <c r="L95" s="517"/>
      <c r="M95" s="516" t="str">
        <f>IFERROR(INDEX('HCC Data Entry'!$J$4:$J$22, MATCH('HCC Detail w Diag'!$B95,'HCC Data Entry'!$I$4:$I$22,0)),"")</f>
        <v/>
      </c>
      <c r="N95" s="516" t="str">
        <f t="shared" si="3"/>
        <v/>
      </c>
      <c r="O95" s="518" t="str">
        <f t="shared" si="6"/>
        <v/>
      </c>
      <c r="P95" s="519" t="str">
        <f t="shared" si="7"/>
        <v/>
      </c>
      <c r="Q95"/>
      <c r="R95"/>
    </row>
    <row r="96" spans="2:18" ht="18.5" x14ac:dyDescent="0.45">
      <c r="B96" s="244"/>
      <c r="C96" s="502"/>
      <c r="D96" s="502"/>
      <c r="E96" s="502"/>
      <c r="F96" s="502"/>
      <c r="G96" s="502"/>
      <c r="H96" s="502"/>
      <c r="I96" s="244"/>
      <c r="J96" s="516"/>
      <c r="K96" s="516"/>
      <c r="L96" s="517"/>
      <c r="M96" s="516" t="str">
        <f>IFERROR(INDEX('HCC Data Entry'!$J$4:$J$22, MATCH('HCC Detail w Diag'!$B96,'HCC Data Entry'!$I$4:$I$22,0)),"")</f>
        <v/>
      </c>
      <c r="N96" s="516" t="str">
        <f t="shared" si="3"/>
        <v/>
      </c>
      <c r="O96" s="518" t="str">
        <f t="shared" si="6"/>
        <v/>
      </c>
      <c r="P96" s="519" t="str">
        <f t="shared" si="7"/>
        <v/>
      </c>
      <c r="Q96"/>
      <c r="R96"/>
    </row>
    <row r="97" spans="2:18" ht="18.5" x14ac:dyDescent="0.45">
      <c r="B97" s="244"/>
      <c r="C97" s="502"/>
      <c r="D97" s="502"/>
      <c r="E97" s="502"/>
      <c r="F97" s="502"/>
      <c r="G97" s="502"/>
      <c r="H97" s="502"/>
      <c r="I97" s="244"/>
      <c r="J97" s="516"/>
      <c r="K97" s="516"/>
      <c r="L97" s="517"/>
      <c r="M97" s="516" t="str">
        <f>IFERROR(INDEX('HCC Data Entry'!$J$4:$J$22, MATCH('HCC Detail w Diag'!$B97,'HCC Data Entry'!$I$4:$I$22,0)),"")</f>
        <v/>
      </c>
      <c r="N97" s="516" t="str">
        <f t="shared" si="3"/>
        <v/>
      </c>
      <c r="O97" s="518" t="str">
        <f t="shared" si="6"/>
        <v/>
      </c>
      <c r="P97" s="519" t="str">
        <f t="shared" si="7"/>
        <v/>
      </c>
      <c r="Q97"/>
      <c r="R97"/>
    </row>
    <row r="98" spans="2:18" ht="18.5" x14ac:dyDescent="0.45">
      <c r="B98" s="244"/>
      <c r="C98" s="502"/>
      <c r="D98" s="502"/>
      <c r="E98" s="502"/>
      <c r="F98" s="502"/>
      <c r="G98" s="502"/>
      <c r="H98" s="502"/>
      <c r="I98" s="244"/>
      <c r="J98" s="516"/>
      <c r="K98" s="516"/>
      <c r="L98" s="517"/>
      <c r="M98" s="516" t="str">
        <f>IFERROR(INDEX('HCC Data Entry'!$J$4:$J$22, MATCH('HCC Detail w Diag'!$B98,'HCC Data Entry'!$I$4:$I$22,0)),"")</f>
        <v/>
      </c>
      <c r="N98" s="516" t="str">
        <f t="shared" si="3"/>
        <v/>
      </c>
      <c r="O98" s="518" t="str">
        <f t="shared" si="6"/>
        <v/>
      </c>
      <c r="P98" s="519" t="str">
        <f t="shared" si="7"/>
        <v/>
      </c>
      <c r="Q98"/>
      <c r="R98"/>
    </row>
    <row r="99" spans="2:18" ht="18.5" x14ac:dyDescent="0.45">
      <c r="B99" s="244"/>
      <c r="C99" s="502"/>
      <c r="D99" s="502"/>
      <c r="E99" s="502"/>
      <c r="F99" s="502"/>
      <c r="G99" s="502"/>
      <c r="H99" s="502"/>
      <c r="I99" s="244"/>
      <c r="J99" s="516"/>
      <c r="K99" s="516"/>
      <c r="L99" s="517"/>
      <c r="M99" s="516" t="str">
        <f>IFERROR(INDEX('HCC Data Entry'!$J$4:$J$22, MATCH('HCC Detail w Diag'!$B99,'HCC Data Entry'!$I$4:$I$22,0)),"")</f>
        <v/>
      </c>
      <c r="N99" s="516" t="str">
        <f t="shared" si="3"/>
        <v/>
      </c>
      <c r="O99" s="518" t="str">
        <f t="shared" si="6"/>
        <v/>
      </c>
      <c r="P99" s="519" t="str">
        <f t="shared" si="7"/>
        <v/>
      </c>
      <c r="Q99"/>
      <c r="R99"/>
    </row>
    <row r="100" spans="2:18" ht="18.5" x14ac:dyDescent="0.45">
      <c r="B100" s="244"/>
      <c r="C100" s="502"/>
      <c r="D100" s="502"/>
      <c r="E100" s="502"/>
      <c r="F100" s="502"/>
      <c r="G100" s="502"/>
      <c r="H100" s="502"/>
      <c r="I100" s="244"/>
      <c r="J100" s="516"/>
      <c r="K100" s="516"/>
      <c r="L100" s="517"/>
      <c r="M100" s="516" t="str">
        <f>IFERROR(INDEX('HCC Data Entry'!$J$4:$J$22, MATCH('HCC Detail w Diag'!$B100,'HCC Data Entry'!$I$4:$I$22,0)),"")</f>
        <v/>
      </c>
      <c r="N100" s="516" t="str">
        <f t="shared" si="3"/>
        <v/>
      </c>
      <c r="O100" s="518" t="str">
        <f t="shared" si="6"/>
        <v/>
      </c>
      <c r="P100" s="519" t="str">
        <f t="shared" si="7"/>
        <v/>
      </c>
      <c r="Q100"/>
      <c r="R100"/>
    </row>
    <row r="101" spans="2:18" ht="18.5" x14ac:dyDescent="0.45">
      <c r="B101" s="244"/>
      <c r="C101" s="502"/>
      <c r="D101" s="502"/>
      <c r="E101" s="502"/>
      <c r="F101" s="502"/>
      <c r="G101" s="502"/>
      <c r="H101" s="502"/>
      <c r="I101" s="244"/>
      <c r="J101" s="516"/>
      <c r="K101" s="516"/>
      <c r="L101" s="517"/>
      <c r="M101" s="516" t="str">
        <f>IFERROR(INDEX('HCC Data Entry'!$J$4:$J$22, MATCH('HCC Detail w Diag'!$B101,'HCC Data Entry'!$I$4:$I$22,0)),"")</f>
        <v/>
      </c>
      <c r="N101" s="516" t="str">
        <f t="shared" si="3"/>
        <v/>
      </c>
      <c r="O101" s="518" t="str">
        <f t="shared" si="6"/>
        <v/>
      </c>
      <c r="P101" s="519" t="str">
        <f t="shared" si="7"/>
        <v/>
      </c>
      <c r="Q101"/>
      <c r="R101"/>
    </row>
    <row r="102" spans="2:18" ht="18.5" x14ac:dyDescent="0.45">
      <c r="B102" s="244"/>
      <c r="C102" s="502"/>
      <c r="D102" s="502"/>
      <c r="E102" s="502"/>
      <c r="F102" s="502"/>
      <c r="G102" s="502"/>
      <c r="H102" s="502"/>
      <c r="I102" s="244"/>
      <c r="J102" s="516"/>
      <c r="K102" s="516"/>
      <c r="L102" s="517"/>
      <c r="M102" s="516" t="str">
        <f>IFERROR(INDEX('HCC Data Entry'!$J$4:$J$22, MATCH('HCC Detail w Diag'!$B102,'HCC Data Entry'!$I$4:$I$22,0)),"")</f>
        <v/>
      </c>
      <c r="N102" s="516" t="str">
        <f t="shared" si="3"/>
        <v/>
      </c>
      <c r="O102" s="518" t="str">
        <f t="shared" si="6"/>
        <v/>
      </c>
      <c r="P102" s="519" t="str">
        <f t="shared" si="7"/>
        <v/>
      </c>
      <c r="Q102"/>
      <c r="R102"/>
    </row>
    <row r="103" spans="2:18" ht="18.5" x14ac:dyDescent="0.45">
      <c r="B103" s="244"/>
      <c r="C103" s="502"/>
      <c r="D103" s="502"/>
      <c r="E103" s="502"/>
      <c r="F103" s="502"/>
      <c r="G103" s="502"/>
      <c r="H103" s="502"/>
      <c r="I103" s="244"/>
      <c r="J103" s="516"/>
      <c r="K103" s="516"/>
      <c r="L103" s="517"/>
      <c r="M103" s="516" t="str">
        <f>IFERROR(INDEX('HCC Data Entry'!$J$4:$J$22, MATCH('HCC Detail w Diag'!$B103,'HCC Data Entry'!$I$4:$I$22,0)),"")</f>
        <v/>
      </c>
      <c r="N103" s="516" t="str">
        <f t="shared" ref="N103:N166" si="8">IF(B103="","",IF(M103="Unknown", "", IF(L103&gt;M103,L103-M103,0)))</f>
        <v/>
      </c>
      <c r="O103" s="518" t="str">
        <f t="shared" si="6"/>
        <v/>
      </c>
      <c r="P103" s="519" t="str">
        <f t="shared" si="7"/>
        <v/>
      </c>
      <c r="Q103"/>
      <c r="R103"/>
    </row>
    <row r="104" spans="2:18" ht="18.5" x14ac:dyDescent="0.45">
      <c r="B104" s="244"/>
      <c r="C104" s="502"/>
      <c r="D104" s="502"/>
      <c r="E104" s="502"/>
      <c r="F104" s="502"/>
      <c r="G104" s="502"/>
      <c r="H104" s="502"/>
      <c r="I104" s="244"/>
      <c r="J104" s="516"/>
      <c r="K104" s="516"/>
      <c r="L104" s="517"/>
      <c r="M104" s="516" t="str">
        <f>IFERROR(INDEX('HCC Data Entry'!$J$4:$J$22, MATCH('HCC Detail w Diag'!$B104,'HCC Data Entry'!$I$4:$I$22,0)),"")</f>
        <v/>
      </c>
      <c r="N104" s="516" t="str">
        <f t="shared" si="8"/>
        <v/>
      </c>
      <c r="O104" s="518" t="str">
        <f t="shared" si="6"/>
        <v/>
      </c>
      <c r="P104" s="519" t="str">
        <f t="shared" si="7"/>
        <v/>
      </c>
      <c r="Q104"/>
      <c r="R104"/>
    </row>
    <row r="105" spans="2:18" ht="18.5" x14ac:dyDescent="0.45">
      <c r="B105" s="244"/>
      <c r="C105" s="502"/>
      <c r="D105" s="502"/>
      <c r="E105" s="502"/>
      <c r="F105" s="502"/>
      <c r="G105" s="502"/>
      <c r="H105" s="502"/>
      <c r="I105" s="244"/>
      <c r="J105" s="516"/>
      <c r="K105" s="516"/>
      <c r="L105" s="517"/>
      <c r="M105" s="516" t="str">
        <f>IFERROR(INDEX('HCC Data Entry'!$J$4:$J$22, MATCH('HCC Detail w Diag'!$B105,'HCC Data Entry'!$I$4:$I$22,0)),"")</f>
        <v/>
      </c>
      <c r="N105" s="516" t="str">
        <f t="shared" si="8"/>
        <v/>
      </c>
      <c r="O105" s="518" t="str">
        <f t="shared" si="6"/>
        <v/>
      </c>
      <c r="P105" s="519" t="str">
        <f t="shared" si="7"/>
        <v/>
      </c>
      <c r="Q105"/>
      <c r="R105"/>
    </row>
    <row r="106" spans="2:18" ht="18.5" x14ac:dyDescent="0.45">
      <c r="B106" s="244"/>
      <c r="C106" s="502"/>
      <c r="D106" s="502"/>
      <c r="E106" s="502"/>
      <c r="F106" s="502"/>
      <c r="G106" s="502"/>
      <c r="H106" s="502"/>
      <c r="I106" s="244"/>
      <c r="J106" s="516"/>
      <c r="K106" s="516"/>
      <c r="L106" s="517"/>
      <c r="M106" s="516" t="str">
        <f>IFERROR(INDEX('HCC Data Entry'!$J$4:$J$22, MATCH('HCC Detail w Diag'!$B106,'HCC Data Entry'!$I$4:$I$22,0)),"")</f>
        <v/>
      </c>
      <c r="N106" s="516" t="str">
        <f t="shared" si="8"/>
        <v/>
      </c>
      <c r="O106" s="518" t="str">
        <f t="shared" si="6"/>
        <v/>
      </c>
      <c r="P106" s="519" t="str">
        <f t="shared" si="7"/>
        <v/>
      </c>
      <c r="Q106"/>
      <c r="R106"/>
    </row>
    <row r="107" spans="2:18" ht="18.5" x14ac:dyDescent="0.45">
      <c r="B107" s="244"/>
      <c r="C107" s="502"/>
      <c r="D107" s="502"/>
      <c r="E107" s="502"/>
      <c r="F107" s="502"/>
      <c r="G107" s="502"/>
      <c r="H107" s="502"/>
      <c r="I107" s="244"/>
      <c r="J107" s="516"/>
      <c r="K107" s="516"/>
      <c r="L107" s="517"/>
      <c r="M107" s="516" t="str">
        <f>IFERROR(INDEX('HCC Data Entry'!$J$4:$J$22, MATCH('HCC Detail w Diag'!$B107,'HCC Data Entry'!$I$4:$I$22,0)),"")</f>
        <v/>
      </c>
      <c r="N107" s="516" t="str">
        <f t="shared" si="8"/>
        <v/>
      </c>
      <c r="O107" s="518" t="str">
        <f t="shared" si="6"/>
        <v/>
      </c>
      <c r="P107" s="519" t="str">
        <f t="shared" si="7"/>
        <v/>
      </c>
      <c r="Q107"/>
      <c r="R107"/>
    </row>
    <row r="108" spans="2:18" ht="18.5" x14ac:dyDescent="0.45">
      <c r="B108" s="244"/>
      <c r="C108" s="502"/>
      <c r="D108" s="502"/>
      <c r="E108" s="502"/>
      <c r="F108" s="502"/>
      <c r="G108" s="502"/>
      <c r="H108" s="502"/>
      <c r="I108" s="244"/>
      <c r="J108" s="516"/>
      <c r="K108" s="516"/>
      <c r="L108" s="517"/>
      <c r="M108" s="516" t="str">
        <f>IFERROR(INDEX('HCC Data Entry'!$J$4:$J$22, MATCH('HCC Detail w Diag'!$B108,'HCC Data Entry'!$I$4:$I$22,0)),"")</f>
        <v/>
      </c>
      <c r="N108" s="516" t="str">
        <f t="shared" si="8"/>
        <v/>
      </c>
      <c r="O108" s="518" t="str">
        <f t="shared" si="6"/>
        <v/>
      </c>
      <c r="P108" s="519" t="str">
        <f t="shared" si="7"/>
        <v/>
      </c>
      <c r="Q108"/>
      <c r="R108"/>
    </row>
    <row r="109" spans="2:18" ht="18.5" x14ac:dyDescent="0.45">
      <c r="B109" s="244"/>
      <c r="C109" s="502"/>
      <c r="D109" s="502"/>
      <c r="E109" s="502"/>
      <c r="F109" s="502"/>
      <c r="G109" s="502"/>
      <c r="H109" s="502"/>
      <c r="I109" s="244"/>
      <c r="J109" s="516"/>
      <c r="K109" s="516"/>
      <c r="L109" s="517"/>
      <c r="M109" s="516" t="str">
        <f>IFERROR(INDEX('HCC Data Entry'!$J$4:$J$22, MATCH('HCC Detail w Diag'!$B109,'HCC Data Entry'!$I$4:$I$22,0)),"")</f>
        <v/>
      </c>
      <c r="N109" s="516" t="str">
        <f t="shared" si="8"/>
        <v/>
      </c>
      <c r="O109" s="518" t="str">
        <f t="shared" si="6"/>
        <v/>
      </c>
      <c r="P109" s="519" t="str">
        <f t="shared" si="7"/>
        <v/>
      </c>
      <c r="Q109"/>
      <c r="R109"/>
    </row>
    <row r="110" spans="2:18" ht="18.5" x14ac:dyDescent="0.45">
      <c r="B110" s="244"/>
      <c r="C110" s="502"/>
      <c r="D110" s="502"/>
      <c r="E110" s="502"/>
      <c r="F110" s="502"/>
      <c r="G110" s="502"/>
      <c r="H110" s="502"/>
      <c r="I110" s="244"/>
      <c r="J110" s="516"/>
      <c r="K110" s="516"/>
      <c r="L110" s="517"/>
      <c r="M110" s="516" t="str">
        <f>IFERROR(INDEX('HCC Data Entry'!$J$4:$J$22, MATCH('HCC Detail w Diag'!$B110,'HCC Data Entry'!$I$4:$I$22,0)),"")</f>
        <v/>
      </c>
      <c r="N110" s="516" t="str">
        <f t="shared" si="8"/>
        <v/>
      </c>
      <c r="O110" s="518" t="str">
        <f t="shared" si="6"/>
        <v/>
      </c>
      <c r="P110" s="519" t="str">
        <f t="shared" si="7"/>
        <v/>
      </c>
      <c r="Q110"/>
      <c r="R110"/>
    </row>
    <row r="111" spans="2:18" ht="18.5" x14ac:dyDescent="0.45">
      <c r="B111" s="244"/>
      <c r="C111" s="502"/>
      <c r="D111" s="502"/>
      <c r="E111" s="502"/>
      <c r="F111" s="502"/>
      <c r="G111" s="502"/>
      <c r="H111" s="502"/>
      <c r="I111" s="244"/>
      <c r="J111" s="516"/>
      <c r="K111" s="516"/>
      <c r="L111" s="517"/>
      <c r="M111" s="516" t="str">
        <f>IFERROR(INDEX('HCC Data Entry'!$J$4:$J$22, MATCH('HCC Detail w Diag'!$B111,'HCC Data Entry'!$I$4:$I$22,0)),"")</f>
        <v/>
      </c>
      <c r="N111" s="516" t="str">
        <f t="shared" si="8"/>
        <v/>
      </c>
      <c r="O111" s="518" t="str">
        <f t="shared" si="6"/>
        <v/>
      </c>
      <c r="P111" s="519" t="str">
        <f t="shared" si="7"/>
        <v/>
      </c>
      <c r="Q111"/>
      <c r="R111"/>
    </row>
    <row r="112" spans="2:18" ht="18.5" x14ac:dyDescent="0.45">
      <c r="B112" s="244"/>
      <c r="C112" s="502"/>
      <c r="D112" s="502"/>
      <c r="E112" s="502"/>
      <c r="F112" s="502"/>
      <c r="G112" s="502"/>
      <c r="H112" s="502"/>
      <c r="I112" s="244"/>
      <c r="J112" s="516"/>
      <c r="K112" s="516"/>
      <c r="L112" s="517"/>
      <c r="M112" s="516" t="str">
        <f>IFERROR(INDEX('HCC Data Entry'!$J$4:$J$22, MATCH('HCC Detail w Diag'!$B112,'HCC Data Entry'!$I$4:$I$22,0)),"")</f>
        <v/>
      </c>
      <c r="N112" s="516" t="str">
        <f t="shared" si="8"/>
        <v/>
      </c>
      <c r="O112" s="518" t="str">
        <f t="shared" si="6"/>
        <v/>
      </c>
      <c r="P112" s="519" t="str">
        <f t="shared" si="7"/>
        <v/>
      </c>
      <c r="Q112"/>
      <c r="R112"/>
    </row>
    <row r="113" spans="2:18" ht="18.5" x14ac:dyDescent="0.45">
      <c r="B113" s="244"/>
      <c r="C113" s="502"/>
      <c r="D113" s="502"/>
      <c r="E113" s="502"/>
      <c r="F113" s="502"/>
      <c r="G113" s="502"/>
      <c r="H113" s="502"/>
      <c r="I113" s="244"/>
      <c r="J113" s="516"/>
      <c r="K113" s="516"/>
      <c r="L113" s="517"/>
      <c r="M113" s="516" t="str">
        <f>IFERROR(INDEX('HCC Data Entry'!$J$4:$J$22, MATCH('HCC Detail w Diag'!$B113,'HCC Data Entry'!$I$4:$I$22,0)),"")</f>
        <v/>
      </c>
      <c r="N113" s="516" t="str">
        <f t="shared" si="8"/>
        <v/>
      </c>
      <c r="O113" s="518" t="str">
        <f t="shared" si="6"/>
        <v/>
      </c>
      <c r="P113" s="519" t="str">
        <f t="shared" si="7"/>
        <v/>
      </c>
      <c r="Q113"/>
      <c r="R113"/>
    </row>
    <row r="114" spans="2:18" ht="18.5" x14ac:dyDescent="0.45">
      <c r="B114" s="244"/>
      <c r="C114" s="502"/>
      <c r="D114" s="502"/>
      <c r="E114" s="502"/>
      <c r="F114" s="502"/>
      <c r="G114" s="502"/>
      <c r="H114" s="502"/>
      <c r="I114" s="244"/>
      <c r="J114" s="516"/>
      <c r="K114" s="516"/>
      <c r="L114" s="517"/>
      <c r="M114" s="516" t="str">
        <f>IFERROR(INDEX('HCC Data Entry'!$J$4:$J$22, MATCH('HCC Detail w Diag'!$B114,'HCC Data Entry'!$I$4:$I$22,0)),"")</f>
        <v/>
      </c>
      <c r="N114" s="516" t="str">
        <f t="shared" si="8"/>
        <v/>
      </c>
      <c r="O114" s="518" t="str">
        <f t="shared" si="6"/>
        <v/>
      </c>
      <c r="P114" s="519" t="str">
        <f t="shared" si="7"/>
        <v/>
      </c>
      <c r="Q114"/>
      <c r="R114"/>
    </row>
    <row r="115" spans="2:18" ht="18.5" x14ac:dyDescent="0.45">
      <c r="B115" s="244"/>
      <c r="C115" s="502"/>
      <c r="D115" s="502"/>
      <c r="E115" s="502"/>
      <c r="F115" s="502"/>
      <c r="G115" s="502"/>
      <c r="H115" s="502"/>
      <c r="I115" s="244"/>
      <c r="J115" s="516"/>
      <c r="K115" s="516"/>
      <c r="L115" s="517"/>
      <c r="M115" s="516" t="str">
        <f>IFERROR(INDEX('HCC Data Entry'!$J$4:$J$22, MATCH('HCC Detail w Diag'!$B115,'HCC Data Entry'!$I$4:$I$22,0)),"")</f>
        <v/>
      </c>
      <c r="N115" s="516" t="str">
        <f t="shared" si="8"/>
        <v/>
      </c>
      <c r="O115" s="518" t="str">
        <f t="shared" si="6"/>
        <v/>
      </c>
      <c r="P115" s="519" t="str">
        <f t="shared" si="7"/>
        <v/>
      </c>
      <c r="Q115"/>
      <c r="R115"/>
    </row>
    <row r="116" spans="2:18" ht="18.5" x14ac:dyDescent="0.45">
      <c r="B116" s="244"/>
      <c r="C116" s="502"/>
      <c r="D116" s="502"/>
      <c r="E116" s="502"/>
      <c r="F116" s="502"/>
      <c r="G116" s="502"/>
      <c r="H116" s="502"/>
      <c r="I116" s="244"/>
      <c r="J116" s="516"/>
      <c r="K116" s="516"/>
      <c r="L116" s="517"/>
      <c r="M116" s="516" t="str">
        <f>IFERROR(INDEX('HCC Data Entry'!$J$4:$J$22, MATCH('HCC Detail w Diag'!$B116,'HCC Data Entry'!$I$4:$I$22,0)),"")</f>
        <v/>
      </c>
      <c r="N116" s="516" t="str">
        <f t="shared" si="8"/>
        <v/>
      </c>
      <c r="O116" s="518" t="str">
        <f t="shared" si="6"/>
        <v/>
      </c>
      <c r="P116" s="519" t="str">
        <f t="shared" si="7"/>
        <v/>
      </c>
      <c r="Q116"/>
      <c r="R116"/>
    </row>
    <row r="117" spans="2:18" ht="18.5" x14ac:dyDescent="0.45">
      <c r="B117" s="244"/>
      <c r="C117" s="502"/>
      <c r="D117" s="502"/>
      <c r="E117" s="502"/>
      <c r="F117" s="502"/>
      <c r="G117" s="502"/>
      <c r="H117" s="502"/>
      <c r="I117" s="244"/>
      <c r="J117" s="516"/>
      <c r="K117" s="516"/>
      <c r="L117" s="517"/>
      <c r="M117" s="516" t="str">
        <f>IFERROR(INDEX('HCC Data Entry'!$J$4:$J$22, MATCH('HCC Detail w Diag'!$B117,'HCC Data Entry'!$I$4:$I$22,0)),"")</f>
        <v/>
      </c>
      <c r="N117" s="516" t="str">
        <f t="shared" si="8"/>
        <v/>
      </c>
      <c r="O117" s="518" t="str">
        <f t="shared" si="6"/>
        <v/>
      </c>
      <c r="P117" s="519" t="str">
        <f t="shared" si="7"/>
        <v/>
      </c>
      <c r="Q117"/>
      <c r="R117"/>
    </row>
    <row r="118" spans="2:18" ht="18.5" x14ac:dyDescent="0.45">
      <c r="B118" s="244"/>
      <c r="C118" s="502"/>
      <c r="D118" s="502"/>
      <c r="E118" s="502"/>
      <c r="F118" s="502"/>
      <c r="G118" s="502"/>
      <c r="H118" s="502"/>
      <c r="I118" s="244"/>
      <c r="J118" s="516"/>
      <c r="K118" s="516"/>
      <c r="L118" s="517"/>
      <c r="M118" s="516" t="str">
        <f>IFERROR(INDEX('HCC Data Entry'!$J$4:$J$22, MATCH('HCC Detail w Diag'!$B118,'HCC Data Entry'!$I$4:$I$22,0)),"")</f>
        <v/>
      </c>
      <c r="N118" s="516" t="str">
        <f t="shared" si="8"/>
        <v/>
      </c>
      <c r="O118" s="518" t="str">
        <f t="shared" si="6"/>
        <v/>
      </c>
      <c r="P118" s="519" t="str">
        <f t="shared" si="7"/>
        <v/>
      </c>
      <c r="Q118"/>
      <c r="R118"/>
    </row>
    <row r="119" spans="2:18" ht="18.5" x14ac:dyDescent="0.45">
      <c r="B119" s="244"/>
      <c r="C119" s="502"/>
      <c r="D119" s="502"/>
      <c r="E119" s="502"/>
      <c r="F119" s="502"/>
      <c r="G119" s="502"/>
      <c r="H119" s="502"/>
      <c r="I119" s="244"/>
      <c r="J119" s="516"/>
      <c r="K119" s="516"/>
      <c r="L119" s="517"/>
      <c r="M119" s="516" t="str">
        <f>IFERROR(INDEX('HCC Data Entry'!$J$4:$J$22, MATCH('HCC Detail w Diag'!$B119,'HCC Data Entry'!$I$4:$I$22,0)),"")</f>
        <v/>
      </c>
      <c r="N119" s="516" t="str">
        <f t="shared" si="8"/>
        <v/>
      </c>
      <c r="O119" s="518" t="str">
        <f t="shared" si="6"/>
        <v/>
      </c>
      <c r="P119" s="519" t="str">
        <f t="shared" si="7"/>
        <v/>
      </c>
      <c r="Q119"/>
      <c r="R119"/>
    </row>
    <row r="120" spans="2:18" ht="18.5" x14ac:dyDescent="0.45">
      <c r="B120" s="244"/>
      <c r="C120" s="502"/>
      <c r="D120" s="502"/>
      <c r="E120" s="502"/>
      <c r="F120" s="502"/>
      <c r="G120" s="502"/>
      <c r="H120" s="502"/>
      <c r="I120" s="244"/>
      <c r="J120" s="516"/>
      <c r="K120" s="516"/>
      <c r="L120" s="517"/>
      <c r="M120" s="516" t="str">
        <f>IFERROR(INDEX('HCC Data Entry'!$J$4:$J$22, MATCH('HCC Detail w Diag'!$B120,'HCC Data Entry'!$I$4:$I$22,0)),"")</f>
        <v/>
      </c>
      <c r="N120" s="516" t="str">
        <f t="shared" si="8"/>
        <v/>
      </c>
      <c r="O120" s="518" t="str">
        <f t="shared" si="6"/>
        <v/>
      </c>
      <c r="P120" s="519" t="str">
        <f t="shared" si="7"/>
        <v/>
      </c>
      <c r="Q120"/>
      <c r="R120"/>
    </row>
    <row r="121" spans="2:18" ht="18.5" x14ac:dyDescent="0.45">
      <c r="B121" s="244"/>
      <c r="C121" s="502"/>
      <c r="D121" s="502"/>
      <c r="E121" s="502"/>
      <c r="F121" s="502"/>
      <c r="G121" s="502"/>
      <c r="H121" s="502"/>
      <c r="I121" s="244"/>
      <c r="J121" s="516"/>
      <c r="K121" s="516"/>
      <c r="L121" s="517"/>
      <c r="M121" s="516" t="str">
        <f>IFERROR(INDEX('HCC Data Entry'!$J$4:$J$22, MATCH('HCC Detail w Diag'!$B121,'HCC Data Entry'!$I$4:$I$22,0)),"")</f>
        <v/>
      </c>
      <c r="N121" s="516" t="str">
        <f t="shared" si="8"/>
        <v/>
      </c>
      <c r="O121" s="518" t="str">
        <f t="shared" si="6"/>
        <v/>
      </c>
      <c r="P121" s="519" t="str">
        <f t="shared" si="7"/>
        <v/>
      </c>
      <c r="Q121"/>
      <c r="R121"/>
    </row>
    <row r="122" spans="2:18" ht="18.5" x14ac:dyDescent="0.45">
      <c r="B122" s="244"/>
      <c r="C122" s="502"/>
      <c r="D122" s="502"/>
      <c r="E122" s="502"/>
      <c r="F122" s="502"/>
      <c r="G122" s="502"/>
      <c r="H122" s="502"/>
      <c r="I122" s="244"/>
      <c r="J122" s="516"/>
      <c r="K122" s="516"/>
      <c r="L122" s="517"/>
      <c r="M122" s="516" t="str">
        <f>IFERROR(INDEX('HCC Data Entry'!$J$4:$J$22, MATCH('HCC Detail w Diag'!$B122,'HCC Data Entry'!$I$4:$I$22,0)),"")</f>
        <v/>
      </c>
      <c r="N122" s="516" t="str">
        <f t="shared" si="8"/>
        <v/>
      </c>
      <c r="O122" s="518" t="str">
        <f t="shared" si="6"/>
        <v/>
      </c>
      <c r="P122" s="519" t="str">
        <f t="shared" si="7"/>
        <v/>
      </c>
      <c r="Q122"/>
      <c r="R122"/>
    </row>
    <row r="123" spans="2:18" ht="18.5" x14ac:dyDescent="0.45">
      <c r="B123" s="244"/>
      <c r="C123" s="502"/>
      <c r="D123" s="502"/>
      <c r="E123" s="502"/>
      <c r="F123" s="502"/>
      <c r="G123" s="502"/>
      <c r="H123" s="502"/>
      <c r="I123" s="244"/>
      <c r="J123" s="516"/>
      <c r="K123" s="516"/>
      <c r="L123" s="517"/>
      <c r="M123" s="516" t="str">
        <f>IFERROR(INDEX('HCC Data Entry'!$J$4:$J$22, MATCH('HCC Detail w Diag'!$B123,'HCC Data Entry'!$I$4:$I$22,0)),"")</f>
        <v/>
      </c>
      <c r="N123" s="516" t="str">
        <f t="shared" si="8"/>
        <v/>
      </c>
      <c r="O123" s="518" t="str">
        <f t="shared" si="6"/>
        <v/>
      </c>
      <c r="P123" s="519" t="str">
        <f t="shared" si="7"/>
        <v/>
      </c>
      <c r="Q123"/>
      <c r="R123"/>
    </row>
    <row r="124" spans="2:18" ht="18.5" x14ac:dyDescent="0.45">
      <c r="B124" s="244"/>
      <c r="C124" s="502"/>
      <c r="D124" s="502"/>
      <c r="E124" s="502"/>
      <c r="F124" s="502"/>
      <c r="G124" s="502"/>
      <c r="H124" s="502"/>
      <c r="I124" s="244"/>
      <c r="J124" s="516"/>
      <c r="K124" s="516"/>
      <c r="L124" s="517"/>
      <c r="M124" s="516" t="str">
        <f>IFERROR(INDEX('HCC Data Entry'!$J$4:$J$22, MATCH('HCC Detail w Diag'!$B124,'HCC Data Entry'!$I$4:$I$22,0)),"")</f>
        <v/>
      </c>
      <c r="N124" s="516" t="str">
        <f t="shared" si="8"/>
        <v/>
      </c>
      <c r="O124" s="518" t="str">
        <f t="shared" si="6"/>
        <v/>
      </c>
      <c r="P124" s="519" t="str">
        <f t="shared" si="7"/>
        <v/>
      </c>
      <c r="Q124"/>
      <c r="R124"/>
    </row>
    <row r="125" spans="2:18" ht="18.5" x14ac:dyDescent="0.45">
      <c r="B125" s="244"/>
      <c r="C125" s="502"/>
      <c r="D125" s="502"/>
      <c r="E125" s="502"/>
      <c r="F125" s="502"/>
      <c r="G125" s="502"/>
      <c r="H125" s="502"/>
      <c r="I125" s="244"/>
      <c r="J125" s="516"/>
      <c r="K125" s="516"/>
      <c r="L125" s="517"/>
      <c r="M125" s="516" t="str">
        <f>IFERROR(INDEX('HCC Data Entry'!$J$4:$J$22, MATCH('HCC Detail w Diag'!$B125,'HCC Data Entry'!$I$4:$I$22,0)),"")</f>
        <v/>
      </c>
      <c r="N125" s="516" t="str">
        <f t="shared" si="8"/>
        <v/>
      </c>
      <c r="O125" s="518" t="str">
        <f t="shared" si="6"/>
        <v/>
      </c>
      <c r="P125" s="519" t="str">
        <f t="shared" si="7"/>
        <v/>
      </c>
      <c r="Q125"/>
      <c r="R125"/>
    </row>
    <row r="126" spans="2:18" ht="18.5" x14ac:dyDescent="0.45">
      <c r="B126" s="244"/>
      <c r="C126" s="502"/>
      <c r="D126" s="502"/>
      <c r="E126" s="502"/>
      <c r="F126" s="502"/>
      <c r="G126" s="502"/>
      <c r="H126" s="502"/>
      <c r="I126" s="244"/>
      <c r="J126" s="516"/>
      <c r="K126" s="516"/>
      <c r="L126" s="517"/>
      <c r="M126" s="516" t="str">
        <f>IFERROR(INDEX('HCC Data Entry'!$J$4:$J$22, MATCH('HCC Detail w Diag'!$B126,'HCC Data Entry'!$I$4:$I$22,0)),"")</f>
        <v/>
      </c>
      <c r="N126" s="516" t="str">
        <f t="shared" si="8"/>
        <v/>
      </c>
      <c r="O126" s="518" t="str">
        <f t="shared" si="6"/>
        <v/>
      </c>
      <c r="P126" s="519" t="str">
        <f t="shared" si="7"/>
        <v/>
      </c>
      <c r="Q126"/>
      <c r="R126"/>
    </row>
    <row r="127" spans="2:18" ht="18.5" x14ac:dyDescent="0.45">
      <c r="B127" s="244"/>
      <c r="C127" s="502"/>
      <c r="D127" s="502"/>
      <c r="E127" s="502"/>
      <c r="F127" s="502"/>
      <c r="G127" s="502"/>
      <c r="H127" s="502"/>
      <c r="I127" s="244"/>
      <c r="J127" s="516"/>
      <c r="K127" s="516"/>
      <c r="L127" s="517"/>
      <c r="M127" s="516" t="str">
        <f>IFERROR(INDEX('HCC Data Entry'!$J$4:$J$22, MATCH('HCC Detail w Diag'!$B127,'HCC Data Entry'!$I$4:$I$22,0)),"")</f>
        <v/>
      </c>
      <c r="N127" s="516" t="str">
        <f t="shared" si="8"/>
        <v/>
      </c>
      <c r="O127" s="518" t="str">
        <f t="shared" si="6"/>
        <v/>
      </c>
      <c r="P127" s="519" t="str">
        <f t="shared" si="7"/>
        <v/>
      </c>
      <c r="Q127"/>
      <c r="R127"/>
    </row>
    <row r="128" spans="2:18" ht="18.5" x14ac:dyDescent="0.45">
      <c r="B128" s="244"/>
      <c r="C128" s="502"/>
      <c r="D128" s="502"/>
      <c r="E128" s="502"/>
      <c r="F128" s="502"/>
      <c r="G128" s="502"/>
      <c r="H128" s="502"/>
      <c r="I128" s="244"/>
      <c r="J128" s="516"/>
      <c r="K128" s="516"/>
      <c r="L128" s="517"/>
      <c r="M128" s="516" t="str">
        <f>IFERROR(INDEX('HCC Data Entry'!$J$4:$J$22, MATCH('HCC Detail w Diag'!$B128,'HCC Data Entry'!$I$4:$I$22,0)),"")</f>
        <v/>
      </c>
      <c r="N128" s="516" t="str">
        <f t="shared" si="8"/>
        <v/>
      </c>
      <c r="O128" s="518" t="str">
        <f t="shared" si="6"/>
        <v/>
      </c>
      <c r="P128" s="519" t="str">
        <f t="shared" si="7"/>
        <v/>
      </c>
      <c r="Q128"/>
      <c r="R128"/>
    </row>
    <row r="129" spans="2:19" ht="18.5" x14ac:dyDescent="0.45">
      <c r="B129" s="244"/>
      <c r="C129" s="502"/>
      <c r="D129" s="502"/>
      <c r="E129" s="502"/>
      <c r="F129" s="502"/>
      <c r="G129" s="502"/>
      <c r="H129" s="502"/>
      <c r="I129" s="244"/>
      <c r="J129" s="516"/>
      <c r="K129" s="516"/>
      <c r="L129" s="517"/>
      <c r="M129" s="516" t="str">
        <f>IFERROR(INDEX('HCC Data Entry'!$J$4:$J$22, MATCH('HCC Detail w Diag'!$B129,'HCC Data Entry'!$I$4:$I$22,0)),"")</f>
        <v/>
      </c>
      <c r="N129" s="516" t="str">
        <f t="shared" si="8"/>
        <v/>
      </c>
      <c r="O129" s="518" t="str">
        <f t="shared" si="6"/>
        <v/>
      </c>
      <c r="P129" s="519" t="str">
        <f t="shared" si="7"/>
        <v/>
      </c>
      <c r="Q129"/>
      <c r="R129"/>
    </row>
    <row r="130" spans="2:19" ht="18.5" x14ac:dyDescent="0.45">
      <c r="B130" s="244"/>
      <c r="C130" s="502"/>
      <c r="D130" s="502"/>
      <c r="E130" s="502"/>
      <c r="F130" s="502"/>
      <c r="G130" s="502"/>
      <c r="H130" s="502"/>
      <c r="I130" s="244"/>
      <c r="J130" s="516"/>
      <c r="K130" s="516"/>
      <c r="L130" s="517"/>
      <c r="M130" s="516" t="str">
        <f>IFERROR(INDEX('HCC Data Entry'!$J$4:$J$22, MATCH('HCC Detail w Diag'!$B130,'HCC Data Entry'!$I$4:$I$22,0)),"")</f>
        <v/>
      </c>
      <c r="N130" s="516" t="str">
        <f t="shared" si="8"/>
        <v/>
      </c>
      <c r="O130" s="518" t="str">
        <f t="shared" si="6"/>
        <v/>
      </c>
      <c r="P130" s="519" t="str">
        <f t="shared" si="7"/>
        <v/>
      </c>
      <c r="Q130"/>
      <c r="R130"/>
    </row>
    <row r="131" spans="2:19" ht="18.5" x14ac:dyDescent="0.45">
      <c r="B131" s="244"/>
      <c r="C131" s="502"/>
      <c r="D131" s="502"/>
      <c r="E131" s="502"/>
      <c r="F131" s="502"/>
      <c r="G131" s="502"/>
      <c r="H131" s="502"/>
      <c r="I131" s="244"/>
      <c r="J131" s="516"/>
      <c r="K131" s="516"/>
      <c r="L131" s="517"/>
      <c r="M131" s="516" t="str">
        <f>IFERROR(INDEX('HCC Data Entry'!$J$4:$J$22, MATCH('HCC Detail w Diag'!$B131,'HCC Data Entry'!$I$4:$I$22,0)),"")</f>
        <v/>
      </c>
      <c r="N131" s="516" t="str">
        <f t="shared" si="8"/>
        <v/>
      </c>
      <c r="O131" s="518" t="str">
        <f t="shared" si="6"/>
        <v/>
      </c>
      <c r="P131" s="519" t="str">
        <f t="shared" si="7"/>
        <v/>
      </c>
      <c r="Q131" s="246"/>
      <c r="R131" s="246" t="str">
        <f>IF(Q131="","",IF(Q131=0,0,#REF!-Q131))</f>
        <v/>
      </c>
      <c r="S131" s="244"/>
    </row>
    <row r="132" spans="2:19" ht="18.5" x14ac:dyDescent="0.45">
      <c r="B132" s="244"/>
      <c r="C132" s="502"/>
      <c r="D132" s="502"/>
      <c r="E132" s="502"/>
      <c r="F132" s="502"/>
      <c r="G132" s="502"/>
      <c r="H132" s="502"/>
      <c r="I132" s="244"/>
      <c r="J132" s="516"/>
      <c r="K132" s="516"/>
      <c r="L132" s="517"/>
      <c r="M132" s="516" t="str">
        <f>IFERROR(INDEX('HCC Data Entry'!$J$4:$J$22, MATCH('HCC Detail w Diag'!$B132,'HCC Data Entry'!$I$4:$I$22,0)),"")</f>
        <v/>
      </c>
      <c r="N132" s="516" t="str">
        <f t="shared" si="8"/>
        <v/>
      </c>
      <c r="O132" s="518" t="str">
        <f t="shared" si="6"/>
        <v/>
      </c>
      <c r="P132" s="519" t="str">
        <f t="shared" si="7"/>
        <v/>
      </c>
      <c r="Q132" s="246"/>
      <c r="R132" s="246" t="str">
        <f>IF(Q132="","",IF(Q132=0,0,#REF!-Q132))</f>
        <v/>
      </c>
      <c r="S132" s="244"/>
    </row>
    <row r="133" spans="2:19" ht="18.5" x14ac:dyDescent="0.45">
      <c r="B133" s="244"/>
      <c r="C133" s="502"/>
      <c r="D133" s="502"/>
      <c r="E133" s="502"/>
      <c r="F133" s="502"/>
      <c r="G133" s="502"/>
      <c r="H133" s="502"/>
      <c r="I133" s="244"/>
      <c r="J133" s="516"/>
      <c r="K133" s="516"/>
      <c r="L133" s="517"/>
      <c r="M133" s="516" t="str">
        <f>IFERROR(INDEX('HCC Data Entry'!$J$4:$J$22, MATCH('HCC Detail w Diag'!$B133,'HCC Data Entry'!$I$4:$I$22,0)),"")</f>
        <v/>
      </c>
      <c r="N133" s="516" t="str">
        <f t="shared" si="8"/>
        <v/>
      </c>
      <c r="O133" s="518" t="str">
        <f t="shared" ref="O133:O196" si="9">IF(N133="","",IF(N133=0,0, IF(L133&gt;$U$4,($U$4-M133),N133)))</f>
        <v/>
      </c>
      <c r="P133" s="519" t="str">
        <f t="shared" ref="P133:P196" si="10">IF(O133="","",IF(O133=0,0,IF(L133&gt;$U$4,L133-$U$4,0)))</f>
        <v/>
      </c>
      <c r="Q133" s="246"/>
      <c r="R133" s="246" t="str">
        <f>IF(Q133="","",IF(Q133=0,0,#REF!-Q133))</f>
        <v/>
      </c>
      <c r="S133" s="244"/>
    </row>
    <row r="134" spans="2:19" ht="18.5" x14ac:dyDescent="0.45">
      <c r="B134" s="244"/>
      <c r="C134" s="502"/>
      <c r="D134" s="502"/>
      <c r="E134" s="502"/>
      <c r="F134" s="502"/>
      <c r="G134" s="502"/>
      <c r="H134" s="502"/>
      <c r="I134" s="244"/>
      <c r="J134" s="516"/>
      <c r="K134" s="516"/>
      <c r="L134" s="517"/>
      <c r="M134" s="516" t="str">
        <f>IFERROR(INDEX('HCC Data Entry'!$J$4:$J$22, MATCH('HCC Detail w Diag'!$B134,'HCC Data Entry'!$I$4:$I$22,0)),"")</f>
        <v/>
      </c>
      <c r="N134" s="516" t="str">
        <f t="shared" si="8"/>
        <v/>
      </c>
      <c r="O134" s="518" t="str">
        <f t="shared" si="9"/>
        <v/>
      </c>
      <c r="P134" s="519" t="str">
        <f t="shared" si="10"/>
        <v/>
      </c>
      <c r="Q134" s="246"/>
      <c r="R134" s="246" t="str">
        <f>IF(Q134="","",IF(Q134=0,0,#REF!-Q134))</f>
        <v/>
      </c>
      <c r="S134" s="244"/>
    </row>
    <row r="135" spans="2:19" ht="18.5" x14ac:dyDescent="0.45">
      <c r="B135" s="244"/>
      <c r="C135" s="502"/>
      <c r="D135" s="502"/>
      <c r="E135" s="502"/>
      <c r="F135" s="502"/>
      <c r="G135" s="502"/>
      <c r="H135" s="502"/>
      <c r="I135" s="244"/>
      <c r="J135" s="516"/>
      <c r="K135" s="516"/>
      <c r="L135" s="517"/>
      <c r="M135" s="516" t="str">
        <f>IFERROR(INDEX('HCC Data Entry'!$J$4:$J$22, MATCH('HCC Detail w Diag'!$B135,'HCC Data Entry'!$I$4:$I$22,0)),"")</f>
        <v/>
      </c>
      <c r="N135" s="516" t="str">
        <f t="shared" si="8"/>
        <v/>
      </c>
      <c r="O135" s="518" t="str">
        <f t="shared" si="9"/>
        <v/>
      </c>
      <c r="P135" s="519" t="str">
        <f t="shared" si="10"/>
        <v/>
      </c>
      <c r="Q135" s="246"/>
      <c r="R135" s="246" t="str">
        <f>IF(Q135="","",IF(Q135=0,0,P50-Q135))</f>
        <v/>
      </c>
      <c r="S135" s="244"/>
    </row>
    <row r="136" spans="2:19" ht="18.5" x14ac:dyDescent="0.45">
      <c r="B136" s="244"/>
      <c r="C136" s="502"/>
      <c r="D136" s="502"/>
      <c r="E136" s="502"/>
      <c r="F136" s="502"/>
      <c r="G136" s="502"/>
      <c r="H136" s="502"/>
      <c r="I136" s="244"/>
      <c r="J136" s="516"/>
      <c r="K136" s="516"/>
      <c r="L136" s="517"/>
      <c r="M136" s="516" t="str">
        <f>IFERROR(INDEX('HCC Data Entry'!$J$4:$J$22, MATCH('HCC Detail w Diag'!$B136,'HCC Data Entry'!$I$4:$I$22,0)),"")</f>
        <v/>
      </c>
      <c r="N136" s="516" t="str">
        <f t="shared" si="8"/>
        <v/>
      </c>
      <c r="O136" s="518" t="str">
        <f t="shared" si="9"/>
        <v/>
      </c>
      <c r="P136" s="519" t="str">
        <f t="shared" si="10"/>
        <v/>
      </c>
      <c r="Q136" s="246"/>
      <c r="R136" s="246" t="str">
        <f>IF(Q136="","",IF(Q136=0,0,#REF!-Q136))</f>
        <v/>
      </c>
      <c r="S136" s="244"/>
    </row>
    <row r="137" spans="2:19" ht="18.5" x14ac:dyDescent="0.45">
      <c r="B137" s="244"/>
      <c r="C137" s="502"/>
      <c r="D137" s="502"/>
      <c r="E137" s="502"/>
      <c r="F137" s="502"/>
      <c r="G137" s="502"/>
      <c r="H137" s="502"/>
      <c r="I137" s="244"/>
      <c r="J137" s="516"/>
      <c r="K137" s="516"/>
      <c r="L137" s="517"/>
      <c r="M137" s="516" t="str">
        <f>IFERROR(INDEX('HCC Data Entry'!$J$4:$J$22, MATCH('HCC Detail w Diag'!$B137,'HCC Data Entry'!$I$4:$I$22,0)),"")</f>
        <v/>
      </c>
      <c r="N137" s="516" t="str">
        <f t="shared" si="8"/>
        <v/>
      </c>
      <c r="O137" s="518" t="str">
        <f t="shared" si="9"/>
        <v/>
      </c>
      <c r="P137" s="519" t="str">
        <f t="shared" si="10"/>
        <v/>
      </c>
      <c r="Q137" s="246"/>
      <c r="R137" s="246" t="str">
        <f>IF(Q137="","",IF(Q137=0,0,#REF!-Q137))</f>
        <v/>
      </c>
      <c r="S137" s="244"/>
    </row>
    <row r="138" spans="2:19" ht="18.5" x14ac:dyDescent="0.45">
      <c r="B138" s="244"/>
      <c r="C138" s="502"/>
      <c r="D138" s="502"/>
      <c r="E138" s="502"/>
      <c r="F138" s="502"/>
      <c r="G138" s="502"/>
      <c r="H138" s="502"/>
      <c r="I138" s="244"/>
      <c r="J138" s="516"/>
      <c r="K138" s="516"/>
      <c r="L138" s="517"/>
      <c r="M138" s="516" t="str">
        <f>IFERROR(INDEX('HCC Data Entry'!$J$4:$J$22, MATCH('HCC Detail w Diag'!$B138,'HCC Data Entry'!$I$4:$I$22,0)),"")</f>
        <v/>
      </c>
      <c r="N138" s="516" t="str">
        <f t="shared" si="8"/>
        <v/>
      </c>
      <c r="O138" s="518" t="str">
        <f t="shared" si="9"/>
        <v/>
      </c>
      <c r="P138" s="519" t="str">
        <f t="shared" si="10"/>
        <v/>
      </c>
      <c r="Q138" s="246"/>
      <c r="R138" s="246" t="str">
        <f>IF(Q138="","",IF(Q138=0,0,#REF!-Q138))</f>
        <v/>
      </c>
      <c r="S138" s="244"/>
    </row>
    <row r="139" spans="2:19" ht="18.5" x14ac:dyDescent="0.45">
      <c r="B139" s="244"/>
      <c r="C139" s="502"/>
      <c r="D139" s="502"/>
      <c r="E139" s="502"/>
      <c r="F139" s="502"/>
      <c r="G139" s="502"/>
      <c r="H139" s="502"/>
      <c r="I139" s="244"/>
      <c r="J139" s="516"/>
      <c r="K139" s="516"/>
      <c r="L139" s="517"/>
      <c r="M139" s="516" t="str">
        <f>IFERROR(INDEX('HCC Data Entry'!$J$4:$J$22, MATCH('HCC Detail w Diag'!$B139,'HCC Data Entry'!$I$4:$I$22,0)),"")</f>
        <v/>
      </c>
      <c r="N139" s="516" t="str">
        <f t="shared" si="8"/>
        <v/>
      </c>
      <c r="O139" s="518" t="str">
        <f t="shared" si="9"/>
        <v/>
      </c>
      <c r="P139" s="519" t="str">
        <f t="shared" si="10"/>
        <v/>
      </c>
      <c r="Q139" s="246"/>
      <c r="R139" s="246" t="str">
        <f>IF(Q139="","",IF(Q139=0,0,#REF!-Q139))</f>
        <v/>
      </c>
      <c r="S139" s="244"/>
    </row>
    <row r="140" spans="2:19" ht="18.5" x14ac:dyDescent="0.45">
      <c r="B140" s="244"/>
      <c r="C140" s="502"/>
      <c r="D140" s="502"/>
      <c r="E140" s="502"/>
      <c r="F140" s="502"/>
      <c r="G140" s="502"/>
      <c r="H140" s="502"/>
      <c r="I140" s="244"/>
      <c r="J140" s="516"/>
      <c r="K140" s="516"/>
      <c r="L140" s="517"/>
      <c r="M140" s="516" t="str">
        <f>IFERROR(INDEX('HCC Data Entry'!$J$4:$J$22, MATCH('HCC Detail w Diag'!$B140,'HCC Data Entry'!$I$4:$I$22,0)),"")</f>
        <v/>
      </c>
      <c r="N140" s="516" t="str">
        <f t="shared" si="8"/>
        <v/>
      </c>
      <c r="O140" s="518" t="str">
        <f t="shared" si="9"/>
        <v/>
      </c>
      <c r="P140" s="519" t="str">
        <f t="shared" si="10"/>
        <v/>
      </c>
      <c r="Q140" s="246"/>
      <c r="R140" s="246" t="str">
        <f>IF(Q140="","",IF(Q140=0,0,#REF!-Q140))</f>
        <v/>
      </c>
      <c r="S140" s="244"/>
    </row>
    <row r="141" spans="2:19" ht="18.5" x14ac:dyDescent="0.45">
      <c r="B141" s="244"/>
      <c r="C141" s="502"/>
      <c r="D141" s="502"/>
      <c r="E141" s="502"/>
      <c r="F141" s="502"/>
      <c r="G141" s="502"/>
      <c r="H141" s="502"/>
      <c r="I141" s="244"/>
      <c r="J141" s="516"/>
      <c r="K141" s="516"/>
      <c r="L141" s="517"/>
      <c r="M141" s="516" t="str">
        <f>IFERROR(INDEX('HCC Data Entry'!$J$4:$J$22, MATCH('HCC Detail w Diag'!$B141,'HCC Data Entry'!$I$4:$I$22,0)),"")</f>
        <v/>
      </c>
      <c r="N141" s="516" t="str">
        <f t="shared" si="8"/>
        <v/>
      </c>
      <c r="O141" s="518" t="str">
        <f t="shared" si="9"/>
        <v/>
      </c>
      <c r="P141" s="519" t="str">
        <f t="shared" si="10"/>
        <v/>
      </c>
      <c r="Q141" s="246"/>
      <c r="R141" s="246" t="str">
        <f>IF(Q141="","",IF(Q141=0,0,#REF!-Q141))</f>
        <v/>
      </c>
      <c r="S141" s="244"/>
    </row>
    <row r="142" spans="2:19" ht="18.5" x14ac:dyDescent="0.45">
      <c r="B142" s="244"/>
      <c r="C142" s="502"/>
      <c r="D142" s="502"/>
      <c r="E142" s="502"/>
      <c r="F142" s="502"/>
      <c r="G142" s="502"/>
      <c r="H142" s="502"/>
      <c r="I142" s="244"/>
      <c r="J142" s="516"/>
      <c r="K142" s="516"/>
      <c r="L142" s="517"/>
      <c r="M142" s="516" t="str">
        <f>IFERROR(INDEX('HCC Data Entry'!$J$4:$J$22, MATCH('HCC Detail w Diag'!$B142,'HCC Data Entry'!$I$4:$I$22,0)),"")</f>
        <v/>
      </c>
      <c r="N142" s="516" t="str">
        <f t="shared" si="8"/>
        <v/>
      </c>
      <c r="O142" s="518" t="str">
        <f t="shared" si="9"/>
        <v/>
      </c>
      <c r="P142" s="519" t="str">
        <f t="shared" si="10"/>
        <v/>
      </c>
      <c r="Q142" s="246"/>
      <c r="R142" s="246" t="str">
        <f>IF(Q142="","",IF(Q142=0,0,#REF!-Q142))</f>
        <v/>
      </c>
      <c r="S142" s="244"/>
    </row>
    <row r="143" spans="2:19" ht="18.5" x14ac:dyDescent="0.45">
      <c r="B143" s="244"/>
      <c r="C143" s="502"/>
      <c r="D143" s="502"/>
      <c r="E143" s="502"/>
      <c r="F143" s="502"/>
      <c r="G143" s="502"/>
      <c r="H143" s="502"/>
      <c r="I143" s="244"/>
      <c r="J143" s="516"/>
      <c r="K143" s="516"/>
      <c r="L143" s="517"/>
      <c r="M143" s="516" t="str">
        <f>IFERROR(INDEX('HCC Data Entry'!$J$4:$J$22, MATCH('HCC Detail w Diag'!$B143,'HCC Data Entry'!$I$4:$I$22,0)),"")</f>
        <v/>
      </c>
      <c r="N143" s="516" t="str">
        <f t="shared" si="8"/>
        <v/>
      </c>
      <c r="O143" s="518" t="str">
        <f t="shared" si="9"/>
        <v/>
      </c>
      <c r="P143" s="519" t="str">
        <f t="shared" si="10"/>
        <v/>
      </c>
      <c r="Q143" s="246"/>
      <c r="R143" s="246" t="str">
        <f>IF(Q143="","",IF(Q143=0,0,#REF!-Q143))</f>
        <v/>
      </c>
      <c r="S143" s="244"/>
    </row>
    <row r="144" spans="2:19" ht="18.5" x14ac:dyDescent="0.45">
      <c r="B144" s="244"/>
      <c r="C144" s="502"/>
      <c r="D144" s="502"/>
      <c r="E144" s="502"/>
      <c r="F144" s="502"/>
      <c r="G144" s="502"/>
      <c r="H144" s="502"/>
      <c r="I144" s="244"/>
      <c r="J144" s="516"/>
      <c r="K144" s="516"/>
      <c r="L144" s="517"/>
      <c r="M144" s="516" t="str">
        <f>IFERROR(INDEX('HCC Data Entry'!$J$4:$J$22, MATCH('HCC Detail w Diag'!$B144,'HCC Data Entry'!$I$4:$I$22,0)),"")</f>
        <v/>
      </c>
      <c r="N144" s="516" t="str">
        <f t="shared" si="8"/>
        <v/>
      </c>
      <c r="O144" s="518" t="str">
        <f t="shared" si="9"/>
        <v/>
      </c>
      <c r="P144" s="519" t="str">
        <f t="shared" si="10"/>
        <v/>
      </c>
      <c r="Q144" s="246"/>
      <c r="R144" s="246" t="str">
        <f t="shared" ref="R144:R175" si="11">IF(Q144="","",IF(Q144=0,0,P51-Q144))</f>
        <v/>
      </c>
      <c r="S144" s="244"/>
    </row>
    <row r="145" spans="2:19" ht="18.5" x14ac:dyDescent="0.45">
      <c r="B145" s="244"/>
      <c r="C145" s="502"/>
      <c r="D145" s="502"/>
      <c r="E145" s="502"/>
      <c r="F145" s="502"/>
      <c r="G145" s="502"/>
      <c r="H145" s="502"/>
      <c r="I145" s="244"/>
      <c r="J145" s="516"/>
      <c r="K145" s="516"/>
      <c r="L145" s="517"/>
      <c r="M145" s="516" t="str">
        <f>IFERROR(INDEX('HCC Data Entry'!$J$4:$J$22, MATCH('HCC Detail w Diag'!$B145,'HCC Data Entry'!$I$4:$I$22,0)),"")</f>
        <v/>
      </c>
      <c r="N145" s="516" t="str">
        <f t="shared" si="8"/>
        <v/>
      </c>
      <c r="O145" s="518" t="str">
        <f t="shared" si="9"/>
        <v/>
      </c>
      <c r="P145" s="519" t="str">
        <f t="shared" si="10"/>
        <v/>
      </c>
      <c r="Q145" s="246"/>
      <c r="R145" s="246" t="str">
        <f t="shared" si="11"/>
        <v/>
      </c>
      <c r="S145" s="244"/>
    </row>
    <row r="146" spans="2:19" ht="18.5" x14ac:dyDescent="0.45">
      <c r="B146" s="244"/>
      <c r="C146" s="502"/>
      <c r="D146" s="502"/>
      <c r="E146" s="502"/>
      <c r="F146" s="502"/>
      <c r="G146" s="502"/>
      <c r="H146" s="502"/>
      <c r="I146" s="244"/>
      <c r="J146" s="516"/>
      <c r="K146" s="516"/>
      <c r="L146" s="517"/>
      <c r="M146" s="516" t="str">
        <f>IFERROR(INDEX('HCC Data Entry'!$J$4:$J$22, MATCH('HCC Detail w Diag'!$B146,'HCC Data Entry'!$I$4:$I$22,0)),"")</f>
        <v/>
      </c>
      <c r="N146" s="516" t="str">
        <f t="shared" si="8"/>
        <v/>
      </c>
      <c r="O146" s="518" t="str">
        <f t="shared" si="9"/>
        <v/>
      </c>
      <c r="P146" s="519" t="str">
        <f t="shared" si="10"/>
        <v/>
      </c>
      <c r="Q146" s="246"/>
      <c r="R146" s="246" t="str">
        <f t="shared" si="11"/>
        <v/>
      </c>
      <c r="S146" s="244"/>
    </row>
    <row r="147" spans="2:19" ht="18.5" x14ac:dyDescent="0.45">
      <c r="B147" s="244"/>
      <c r="C147" s="502"/>
      <c r="D147" s="502"/>
      <c r="E147" s="502"/>
      <c r="F147" s="502"/>
      <c r="G147" s="502"/>
      <c r="H147" s="502"/>
      <c r="I147" s="244"/>
      <c r="J147" s="516"/>
      <c r="K147" s="516"/>
      <c r="L147" s="517"/>
      <c r="M147" s="516" t="str">
        <f>IFERROR(INDEX('HCC Data Entry'!$J$4:$J$22, MATCH('HCC Detail w Diag'!$B147,'HCC Data Entry'!$I$4:$I$22,0)),"")</f>
        <v/>
      </c>
      <c r="N147" s="516" t="str">
        <f t="shared" si="8"/>
        <v/>
      </c>
      <c r="O147" s="518" t="str">
        <f t="shared" si="9"/>
        <v/>
      </c>
      <c r="P147" s="519" t="str">
        <f t="shared" si="10"/>
        <v/>
      </c>
      <c r="Q147" s="246"/>
      <c r="R147" s="246" t="str">
        <f t="shared" si="11"/>
        <v/>
      </c>
      <c r="S147" s="244"/>
    </row>
    <row r="148" spans="2:19" ht="18.5" x14ac:dyDescent="0.45">
      <c r="B148" s="244"/>
      <c r="C148" s="502"/>
      <c r="D148" s="502"/>
      <c r="E148" s="502"/>
      <c r="F148" s="502"/>
      <c r="G148" s="502"/>
      <c r="H148" s="502"/>
      <c r="I148" s="244"/>
      <c r="J148" s="516"/>
      <c r="K148" s="516"/>
      <c r="L148" s="517"/>
      <c r="M148" s="516" t="str">
        <f>IFERROR(INDEX('HCC Data Entry'!$J$4:$J$22, MATCH('HCC Detail w Diag'!$B148,'HCC Data Entry'!$I$4:$I$22,0)),"")</f>
        <v/>
      </c>
      <c r="N148" s="516" t="str">
        <f t="shared" si="8"/>
        <v/>
      </c>
      <c r="O148" s="518" t="str">
        <f t="shared" si="9"/>
        <v/>
      </c>
      <c r="P148" s="519" t="str">
        <f t="shared" si="10"/>
        <v/>
      </c>
      <c r="Q148" s="246"/>
      <c r="R148" s="246" t="str">
        <f t="shared" si="11"/>
        <v/>
      </c>
      <c r="S148" s="244"/>
    </row>
    <row r="149" spans="2:19" ht="18.5" x14ac:dyDescent="0.45">
      <c r="B149" s="244"/>
      <c r="C149" s="502"/>
      <c r="D149" s="502"/>
      <c r="E149" s="502"/>
      <c r="F149" s="502"/>
      <c r="G149" s="502"/>
      <c r="H149" s="502"/>
      <c r="I149" s="244"/>
      <c r="J149" s="516"/>
      <c r="K149" s="516"/>
      <c r="L149" s="517"/>
      <c r="M149" s="516" t="str">
        <f>IFERROR(INDEX('HCC Data Entry'!$J$4:$J$22, MATCH('HCC Detail w Diag'!$B149,'HCC Data Entry'!$I$4:$I$22,0)),"")</f>
        <v/>
      </c>
      <c r="N149" s="516" t="str">
        <f t="shared" si="8"/>
        <v/>
      </c>
      <c r="O149" s="518" t="str">
        <f t="shared" si="9"/>
        <v/>
      </c>
      <c r="P149" s="519" t="str">
        <f t="shared" si="10"/>
        <v/>
      </c>
      <c r="Q149" s="246"/>
      <c r="R149" s="246" t="str">
        <f t="shared" si="11"/>
        <v/>
      </c>
      <c r="S149" s="244"/>
    </row>
    <row r="150" spans="2:19" ht="18.5" x14ac:dyDescent="0.45">
      <c r="B150" s="244"/>
      <c r="C150" s="502"/>
      <c r="D150" s="502"/>
      <c r="E150" s="502"/>
      <c r="F150" s="502"/>
      <c r="G150" s="502"/>
      <c r="H150" s="502"/>
      <c r="I150" s="244"/>
      <c r="J150" s="516"/>
      <c r="K150" s="516"/>
      <c r="L150" s="517"/>
      <c r="M150" s="516" t="str">
        <f>IFERROR(INDEX('HCC Data Entry'!$J$4:$J$22, MATCH('HCC Detail w Diag'!$B150,'HCC Data Entry'!$I$4:$I$22,0)),"")</f>
        <v/>
      </c>
      <c r="N150" s="516" t="str">
        <f t="shared" si="8"/>
        <v/>
      </c>
      <c r="O150" s="518" t="str">
        <f t="shared" si="9"/>
        <v/>
      </c>
      <c r="P150" s="519" t="str">
        <f t="shared" si="10"/>
        <v/>
      </c>
      <c r="Q150" s="246"/>
      <c r="R150" s="246" t="str">
        <f t="shared" si="11"/>
        <v/>
      </c>
      <c r="S150" s="244"/>
    </row>
    <row r="151" spans="2:19" ht="18.5" x14ac:dyDescent="0.45">
      <c r="B151" s="244"/>
      <c r="C151" s="502"/>
      <c r="D151" s="502"/>
      <c r="E151" s="502"/>
      <c r="F151" s="502"/>
      <c r="G151" s="502"/>
      <c r="H151" s="502"/>
      <c r="I151" s="244"/>
      <c r="J151" s="516"/>
      <c r="K151" s="516"/>
      <c r="L151" s="517"/>
      <c r="M151" s="516" t="str">
        <f>IFERROR(INDEX('HCC Data Entry'!$J$4:$J$22, MATCH('HCC Detail w Diag'!$B151,'HCC Data Entry'!$I$4:$I$22,0)),"")</f>
        <v/>
      </c>
      <c r="N151" s="516" t="str">
        <f t="shared" si="8"/>
        <v/>
      </c>
      <c r="O151" s="518" t="str">
        <f t="shared" si="9"/>
        <v/>
      </c>
      <c r="P151" s="519" t="str">
        <f t="shared" si="10"/>
        <v/>
      </c>
      <c r="Q151" s="246"/>
      <c r="R151" s="246" t="str">
        <f t="shared" si="11"/>
        <v/>
      </c>
      <c r="S151" s="244"/>
    </row>
    <row r="152" spans="2:19" ht="18.5" x14ac:dyDescent="0.45">
      <c r="B152" s="244"/>
      <c r="C152" s="502"/>
      <c r="D152" s="502"/>
      <c r="E152" s="502"/>
      <c r="F152" s="502"/>
      <c r="G152" s="502"/>
      <c r="H152" s="502"/>
      <c r="I152" s="244"/>
      <c r="J152" s="516"/>
      <c r="K152" s="516"/>
      <c r="L152" s="517"/>
      <c r="M152" s="516" t="str">
        <f>IFERROR(INDEX('HCC Data Entry'!$J$4:$J$22, MATCH('HCC Detail w Diag'!$B152,'HCC Data Entry'!$I$4:$I$22,0)),"")</f>
        <v/>
      </c>
      <c r="N152" s="516" t="str">
        <f t="shared" si="8"/>
        <v/>
      </c>
      <c r="O152" s="518" t="str">
        <f t="shared" si="9"/>
        <v/>
      </c>
      <c r="P152" s="519" t="str">
        <f t="shared" si="10"/>
        <v/>
      </c>
      <c r="Q152" s="246"/>
      <c r="R152" s="246" t="str">
        <f t="shared" si="11"/>
        <v/>
      </c>
      <c r="S152" s="244"/>
    </row>
    <row r="153" spans="2:19" ht="18.5" x14ac:dyDescent="0.45">
      <c r="B153" s="244"/>
      <c r="C153" s="502"/>
      <c r="D153" s="502"/>
      <c r="E153" s="502"/>
      <c r="F153" s="502"/>
      <c r="G153" s="502"/>
      <c r="H153" s="502"/>
      <c r="I153" s="244"/>
      <c r="J153" s="516"/>
      <c r="K153" s="516"/>
      <c r="L153" s="517"/>
      <c r="M153" s="516" t="str">
        <f>IFERROR(INDEX('HCC Data Entry'!$J$4:$J$22, MATCH('HCC Detail w Diag'!$B153,'HCC Data Entry'!$I$4:$I$22,0)),"")</f>
        <v/>
      </c>
      <c r="N153" s="516" t="str">
        <f t="shared" si="8"/>
        <v/>
      </c>
      <c r="O153" s="518" t="str">
        <f t="shared" si="9"/>
        <v/>
      </c>
      <c r="P153" s="519" t="str">
        <f t="shared" si="10"/>
        <v/>
      </c>
      <c r="Q153" s="246"/>
      <c r="R153" s="246" t="str">
        <f t="shared" si="11"/>
        <v/>
      </c>
      <c r="S153" s="244"/>
    </row>
    <row r="154" spans="2:19" ht="18.5" x14ac:dyDescent="0.45">
      <c r="B154" s="244"/>
      <c r="C154" s="502"/>
      <c r="D154" s="502"/>
      <c r="E154" s="502"/>
      <c r="F154" s="502"/>
      <c r="G154" s="502"/>
      <c r="H154" s="502"/>
      <c r="I154" s="244"/>
      <c r="J154" s="516"/>
      <c r="K154" s="516"/>
      <c r="L154" s="517"/>
      <c r="M154" s="516" t="str">
        <f>IFERROR(INDEX('HCC Data Entry'!$J$4:$J$22, MATCH('HCC Detail w Diag'!$B154,'HCC Data Entry'!$I$4:$I$22,0)),"")</f>
        <v/>
      </c>
      <c r="N154" s="516" t="str">
        <f t="shared" si="8"/>
        <v/>
      </c>
      <c r="O154" s="518" t="str">
        <f t="shared" si="9"/>
        <v/>
      </c>
      <c r="P154" s="519" t="str">
        <f t="shared" si="10"/>
        <v/>
      </c>
      <c r="Q154" s="246"/>
      <c r="R154" s="246" t="str">
        <f t="shared" si="11"/>
        <v/>
      </c>
      <c r="S154" s="244"/>
    </row>
    <row r="155" spans="2:19" ht="18.5" x14ac:dyDescent="0.45">
      <c r="B155" s="244"/>
      <c r="C155" s="502"/>
      <c r="D155" s="502"/>
      <c r="E155" s="502"/>
      <c r="F155" s="502"/>
      <c r="G155" s="502"/>
      <c r="H155" s="502"/>
      <c r="I155" s="244"/>
      <c r="J155" s="516"/>
      <c r="K155" s="516"/>
      <c r="L155" s="517"/>
      <c r="M155" s="516" t="str">
        <f>IFERROR(INDEX('HCC Data Entry'!$J$4:$J$22, MATCH('HCC Detail w Diag'!$B155,'HCC Data Entry'!$I$4:$I$22,0)),"")</f>
        <v/>
      </c>
      <c r="N155" s="516" t="str">
        <f t="shared" si="8"/>
        <v/>
      </c>
      <c r="O155" s="518" t="str">
        <f t="shared" si="9"/>
        <v/>
      </c>
      <c r="P155" s="519" t="str">
        <f t="shared" si="10"/>
        <v/>
      </c>
      <c r="Q155" s="246"/>
      <c r="R155" s="246" t="str">
        <f t="shared" si="11"/>
        <v/>
      </c>
      <c r="S155" s="244"/>
    </row>
    <row r="156" spans="2:19" ht="18.5" x14ac:dyDescent="0.45">
      <c r="B156" s="244"/>
      <c r="C156" s="502"/>
      <c r="D156" s="502"/>
      <c r="E156" s="502"/>
      <c r="F156" s="502"/>
      <c r="G156" s="502"/>
      <c r="H156" s="502"/>
      <c r="I156" s="244"/>
      <c r="J156" s="516"/>
      <c r="K156" s="516"/>
      <c r="L156" s="517"/>
      <c r="M156" s="516" t="str">
        <f>IFERROR(INDEX('HCC Data Entry'!$J$4:$J$22, MATCH('HCC Detail w Diag'!$B156,'HCC Data Entry'!$I$4:$I$22,0)),"")</f>
        <v/>
      </c>
      <c r="N156" s="516" t="str">
        <f t="shared" si="8"/>
        <v/>
      </c>
      <c r="O156" s="518" t="str">
        <f t="shared" si="9"/>
        <v/>
      </c>
      <c r="P156" s="519" t="str">
        <f t="shared" si="10"/>
        <v/>
      </c>
      <c r="Q156" s="246"/>
      <c r="R156" s="246" t="str">
        <f t="shared" si="11"/>
        <v/>
      </c>
      <c r="S156" s="244"/>
    </row>
    <row r="157" spans="2:19" ht="18.5" x14ac:dyDescent="0.45">
      <c r="B157" s="244"/>
      <c r="C157" s="502"/>
      <c r="D157" s="502"/>
      <c r="E157" s="502"/>
      <c r="F157" s="502"/>
      <c r="G157" s="502"/>
      <c r="H157" s="502"/>
      <c r="I157" s="244"/>
      <c r="J157" s="516"/>
      <c r="K157" s="516"/>
      <c r="L157" s="517"/>
      <c r="M157" s="516" t="str">
        <f>IFERROR(INDEX('HCC Data Entry'!$J$4:$J$22, MATCH('HCC Detail w Diag'!$B157,'HCC Data Entry'!$I$4:$I$22,0)),"")</f>
        <v/>
      </c>
      <c r="N157" s="516" t="str">
        <f t="shared" si="8"/>
        <v/>
      </c>
      <c r="O157" s="518" t="str">
        <f t="shared" si="9"/>
        <v/>
      </c>
      <c r="P157" s="519" t="str">
        <f t="shared" si="10"/>
        <v/>
      </c>
      <c r="Q157" s="246"/>
      <c r="R157" s="246" t="str">
        <f t="shared" si="11"/>
        <v/>
      </c>
      <c r="S157" s="244"/>
    </row>
    <row r="158" spans="2:19" ht="18.5" x14ac:dyDescent="0.45">
      <c r="B158" s="244"/>
      <c r="C158" s="502"/>
      <c r="D158" s="502"/>
      <c r="E158" s="502"/>
      <c r="F158" s="502"/>
      <c r="G158" s="502"/>
      <c r="H158" s="502"/>
      <c r="I158" s="244"/>
      <c r="J158" s="516"/>
      <c r="K158" s="516"/>
      <c r="L158" s="517"/>
      <c r="M158" s="516" t="str">
        <f>IFERROR(INDEX('HCC Data Entry'!$J$4:$J$22, MATCH('HCC Detail w Diag'!$B158,'HCC Data Entry'!$I$4:$I$22,0)),"")</f>
        <v/>
      </c>
      <c r="N158" s="516" t="str">
        <f t="shared" si="8"/>
        <v/>
      </c>
      <c r="O158" s="518" t="str">
        <f t="shared" si="9"/>
        <v/>
      </c>
      <c r="P158" s="519" t="str">
        <f t="shared" si="10"/>
        <v/>
      </c>
      <c r="Q158" s="246"/>
      <c r="R158" s="246" t="str">
        <f t="shared" si="11"/>
        <v/>
      </c>
      <c r="S158" s="244"/>
    </row>
    <row r="159" spans="2:19" ht="18.5" x14ac:dyDescent="0.45">
      <c r="B159" s="244"/>
      <c r="C159" s="502"/>
      <c r="D159" s="502"/>
      <c r="E159" s="502"/>
      <c r="F159" s="502"/>
      <c r="G159" s="502"/>
      <c r="H159" s="502"/>
      <c r="I159" s="244"/>
      <c r="J159" s="516"/>
      <c r="K159" s="516"/>
      <c r="L159" s="517"/>
      <c r="M159" s="516" t="str">
        <f>IFERROR(INDEX('HCC Data Entry'!$J$4:$J$22, MATCH('HCC Detail w Diag'!$B159,'HCC Data Entry'!$I$4:$I$22,0)),"")</f>
        <v/>
      </c>
      <c r="N159" s="516" t="str">
        <f t="shared" si="8"/>
        <v/>
      </c>
      <c r="O159" s="518" t="str">
        <f t="shared" si="9"/>
        <v/>
      </c>
      <c r="P159" s="519" t="str">
        <f t="shared" si="10"/>
        <v/>
      </c>
      <c r="Q159" s="246"/>
      <c r="R159" s="246" t="str">
        <f t="shared" si="11"/>
        <v/>
      </c>
      <c r="S159" s="244"/>
    </row>
    <row r="160" spans="2:19" ht="18.5" x14ac:dyDescent="0.45">
      <c r="B160" s="244"/>
      <c r="C160" s="502"/>
      <c r="D160" s="502"/>
      <c r="E160" s="502"/>
      <c r="F160" s="502"/>
      <c r="G160" s="502"/>
      <c r="H160" s="502"/>
      <c r="I160" s="244"/>
      <c r="J160" s="516"/>
      <c r="K160" s="516"/>
      <c r="L160" s="517"/>
      <c r="M160" s="516" t="str">
        <f>IFERROR(INDEX('HCC Data Entry'!$J$4:$J$22, MATCH('HCC Detail w Diag'!$B160,'HCC Data Entry'!$I$4:$I$22,0)),"")</f>
        <v/>
      </c>
      <c r="N160" s="516" t="str">
        <f t="shared" si="8"/>
        <v/>
      </c>
      <c r="O160" s="518" t="str">
        <f t="shared" si="9"/>
        <v/>
      </c>
      <c r="P160" s="519" t="str">
        <f t="shared" si="10"/>
        <v/>
      </c>
      <c r="Q160" s="246"/>
      <c r="R160" s="246" t="str">
        <f t="shared" si="11"/>
        <v/>
      </c>
      <c r="S160" s="244"/>
    </row>
    <row r="161" spans="2:19" ht="18.5" x14ac:dyDescent="0.45">
      <c r="B161" s="244"/>
      <c r="C161" s="502"/>
      <c r="D161" s="502"/>
      <c r="E161" s="502"/>
      <c r="F161" s="502"/>
      <c r="G161" s="502"/>
      <c r="H161" s="502"/>
      <c r="I161" s="244"/>
      <c r="J161" s="516"/>
      <c r="K161" s="516"/>
      <c r="L161" s="517"/>
      <c r="M161" s="516" t="str">
        <f>IFERROR(INDEX('HCC Data Entry'!$J$4:$J$22, MATCH('HCC Detail w Diag'!$B161,'HCC Data Entry'!$I$4:$I$22,0)),"")</f>
        <v/>
      </c>
      <c r="N161" s="516" t="str">
        <f t="shared" si="8"/>
        <v/>
      </c>
      <c r="O161" s="518" t="str">
        <f t="shared" si="9"/>
        <v/>
      </c>
      <c r="P161" s="519" t="str">
        <f t="shared" si="10"/>
        <v/>
      </c>
      <c r="Q161" s="246"/>
      <c r="R161" s="246" t="str">
        <f t="shared" si="11"/>
        <v/>
      </c>
      <c r="S161" s="244"/>
    </row>
    <row r="162" spans="2:19" ht="18.5" x14ac:dyDescent="0.45">
      <c r="B162" s="244"/>
      <c r="C162" s="502"/>
      <c r="D162" s="502"/>
      <c r="E162" s="502"/>
      <c r="F162" s="502"/>
      <c r="G162" s="502"/>
      <c r="H162" s="502"/>
      <c r="I162" s="244"/>
      <c r="J162" s="516"/>
      <c r="K162" s="516"/>
      <c r="L162" s="517"/>
      <c r="M162" s="516" t="str">
        <f>IFERROR(INDEX('HCC Data Entry'!$J$4:$J$22, MATCH('HCC Detail w Diag'!$B162,'HCC Data Entry'!$I$4:$I$22,0)),"")</f>
        <v/>
      </c>
      <c r="N162" s="516" t="str">
        <f t="shared" si="8"/>
        <v/>
      </c>
      <c r="O162" s="518" t="str">
        <f t="shared" si="9"/>
        <v/>
      </c>
      <c r="P162" s="519" t="str">
        <f t="shared" si="10"/>
        <v/>
      </c>
      <c r="Q162" s="246"/>
      <c r="R162" s="246" t="str">
        <f t="shared" si="11"/>
        <v/>
      </c>
      <c r="S162" s="244"/>
    </row>
    <row r="163" spans="2:19" ht="18.5" x14ac:dyDescent="0.45">
      <c r="B163" s="244"/>
      <c r="C163" s="502"/>
      <c r="D163" s="502"/>
      <c r="E163" s="502"/>
      <c r="F163" s="502"/>
      <c r="G163" s="502"/>
      <c r="H163" s="502"/>
      <c r="I163" s="244"/>
      <c r="J163" s="516"/>
      <c r="K163" s="516"/>
      <c r="L163" s="517"/>
      <c r="M163" s="516" t="str">
        <f>IFERROR(INDEX('HCC Data Entry'!$J$4:$J$22, MATCH('HCC Detail w Diag'!$B163,'HCC Data Entry'!$I$4:$I$22,0)),"")</f>
        <v/>
      </c>
      <c r="N163" s="516" t="str">
        <f t="shared" si="8"/>
        <v/>
      </c>
      <c r="O163" s="518" t="str">
        <f t="shared" si="9"/>
        <v/>
      </c>
      <c r="P163" s="519" t="str">
        <f t="shared" si="10"/>
        <v/>
      </c>
      <c r="Q163" s="246"/>
      <c r="R163" s="246" t="str">
        <f t="shared" si="11"/>
        <v/>
      </c>
      <c r="S163" s="244"/>
    </row>
    <row r="164" spans="2:19" ht="18.5" x14ac:dyDescent="0.45">
      <c r="B164" s="244"/>
      <c r="C164" s="502"/>
      <c r="D164" s="502"/>
      <c r="E164" s="502"/>
      <c r="F164" s="502"/>
      <c r="G164" s="502"/>
      <c r="H164" s="502"/>
      <c r="I164" s="244"/>
      <c r="J164" s="516"/>
      <c r="K164" s="516"/>
      <c r="L164" s="517"/>
      <c r="M164" s="516" t="str">
        <f>IFERROR(INDEX('HCC Data Entry'!$J$4:$J$22, MATCH('HCC Detail w Diag'!$B164,'HCC Data Entry'!$I$4:$I$22,0)),"")</f>
        <v/>
      </c>
      <c r="N164" s="516" t="str">
        <f t="shared" si="8"/>
        <v/>
      </c>
      <c r="O164" s="518" t="str">
        <f t="shared" si="9"/>
        <v/>
      </c>
      <c r="P164" s="519" t="str">
        <f t="shared" si="10"/>
        <v/>
      </c>
      <c r="Q164" s="246"/>
      <c r="R164" s="246" t="str">
        <f t="shared" si="11"/>
        <v/>
      </c>
      <c r="S164" s="244"/>
    </row>
    <row r="165" spans="2:19" ht="18.5" x14ac:dyDescent="0.45">
      <c r="B165" s="244"/>
      <c r="C165" s="502"/>
      <c r="D165" s="502"/>
      <c r="E165" s="502"/>
      <c r="F165" s="502"/>
      <c r="G165" s="502"/>
      <c r="H165" s="502"/>
      <c r="I165" s="244"/>
      <c r="J165" s="516"/>
      <c r="K165" s="516"/>
      <c r="L165" s="517"/>
      <c r="M165" s="516" t="str">
        <f>IFERROR(INDEX('HCC Data Entry'!$J$4:$J$22, MATCH('HCC Detail w Diag'!$B165,'HCC Data Entry'!$I$4:$I$22,0)),"")</f>
        <v/>
      </c>
      <c r="N165" s="516" t="str">
        <f t="shared" si="8"/>
        <v/>
      </c>
      <c r="O165" s="518" t="str">
        <f t="shared" si="9"/>
        <v/>
      </c>
      <c r="P165" s="519" t="str">
        <f t="shared" si="10"/>
        <v/>
      </c>
      <c r="Q165" s="246"/>
      <c r="R165" s="246" t="str">
        <f t="shared" si="11"/>
        <v/>
      </c>
      <c r="S165" s="244"/>
    </row>
    <row r="166" spans="2:19" ht="18.5" x14ac:dyDescent="0.45">
      <c r="B166" s="244"/>
      <c r="C166" s="502"/>
      <c r="D166" s="502"/>
      <c r="E166" s="502"/>
      <c r="F166" s="502"/>
      <c r="G166" s="502"/>
      <c r="H166" s="502"/>
      <c r="I166" s="244"/>
      <c r="J166" s="516"/>
      <c r="K166" s="516"/>
      <c r="L166" s="517"/>
      <c r="M166" s="516" t="str">
        <f>IFERROR(INDEX('HCC Data Entry'!$J$4:$J$22, MATCH('HCC Detail w Diag'!$B166,'HCC Data Entry'!$I$4:$I$22,0)),"")</f>
        <v/>
      </c>
      <c r="N166" s="516" t="str">
        <f t="shared" si="8"/>
        <v/>
      </c>
      <c r="O166" s="518" t="str">
        <f t="shared" si="9"/>
        <v/>
      </c>
      <c r="P166" s="519" t="str">
        <f t="shared" si="10"/>
        <v/>
      </c>
      <c r="Q166" s="246"/>
      <c r="R166" s="246" t="str">
        <f t="shared" si="11"/>
        <v/>
      </c>
      <c r="S166" s="244"/>
    </row>
    <row r="167" spans="2:19" ht="18.5" x14ac:dyDescent="0.45">
      <c r="B167" s="244"/>
      <c r="C167" s="502"/>
      <c r="D167" s="502"/>
      <c r="E167" s="502"/>
      <c r="F167" s="502"/>
      <c r="G167" s="502"/>
      <c r="H167" s="502"/>
      <c r="I167" s="244"/>
      <c r="J167" s="516"/>
      <c r="K167" s="516"/>
      <c r="L167" s="517"/>
      <c r="M167" s="516" t="str">
        <f>IFERROR(INDEX('HCC Data Entry'!$J$4:$J$22, MATCH('HCC Detail w Diag'!$B167,'HCC Data Entry'!$I$4:$I$22,0)),"")</f>
        <v/>
      </c>
      <c r="N167" s="516" t="str">
        <f t="shared" ref="N167:N230" si="12">IF(B167="","",IF(M167="Unknown", "", IF(L167&gt;M167,L167-M167,0)))</f>
        <v/>
      </c>
      <c r="O167" s="518" t="str">
        <f t="shared" si="9"/>
        <v/>
      </c>
      <c r="P167" s="519" t="str">
        <f t="shared" si="10"/>
        <v/>
      </c>
      <c r="Q167" s="246"/>
      <c r="R167" s="246" t="str">
        <f t="shared" si="11"/>
        <v/>
      </c>
      <c r="S167" s="244"/>
    </row>
    <row r="168" spans="2:19" ht="18.5" x14ac:dyDescent="0.45">
      <c r="B168" s="244"/>
      <c r="C168" s="502"/>
      <c r="D168" s="502"/>
      <c r="E168" s="502"/>
      <c r="F168" s="502"/>
      <c r="G168" s="502"/>
      <c r="H168" s="502"/>
      <c r="I168" s="244"/>
      <c r="J168" s="516"/>
      <c r="K168" s="516"/>
      <c r="L168" s="517"/>
      <c r="M168" s="516" t="str">
        <f>IFERROR(INDEX('HCC Data Entry'!$J$4:$J$22, MATCH('HCC Detail w Diag'!$B168,'HCC Data Entry'!$I$4:$I$22,0)),"")</f>
        <v/>
      </c>
      <c r="N168" s="516" t="str">
        <f t="shared" si="12"/>
        <v/>
      </c>
      <c r="O168" s="518" t="str">
        <f t="shared" si="9"/>
        <v/>
      </c>
      <c r="P168" s="519" t="str">
        <f t="shared" si="10"/>
        <v/>
      </c>
      <c r="Q168" s="246"/>
      <c r="R168" s="246" t="str">
        <f t="shared" si="11"/>
        <v/>
      </c>
      <c r="S168" s="244"/>
    </row>
    <row r="169" spans="2:19" ht="18.5" x14ac:dyDescent="0.45">
      <c r="B169" s="244"/>
      <c r="C169" s="502"/>
      <c r="D169" s="502"/>
      <c r="E169" s="502"/>
      <c r="F169" s="502"/>
      <c r="G169" s="502"/>
      <c r="H169" s="502"/>
      <c r="I169" s="244"/>
      <c r="J169" s="516"/>
      <c r="K169" s="516"/>
      <c r="L169" s="517"/>
      <c r="M169" s="516" t="str">
        <f>IFERROR(INDEX('HCC Data Entry'!$J$4:$J$22, MATCH('HCC Detail w Diag'!$B169,'HCC Data Entry'!$I$4:$I$22,0)),"")</f>
        <v/>
      </c>
      <c r="N169" s="516" t="str">
        <f t="shared" si="12"/>
        <v/>
      </c>
      <c r="O169" s="518" t="str">
        <f t="shared" si="9"/>
        <v/>
      </c>
      <c r="P169" s="519" t="str">
        <f t="shared" si="10"/>
        <v/>
      </c>
      <c r="Q169" s="246"/>
      <c r="R169" s="246" t="str">
        <f t="shared" si="11"/>
        <v/>
      </c>
      <c r="S169" s="244"/>
    </row>
    <row r="170" spans="2:19" ht="18.5" x14ac:dyDescent="0.45">
      <c r="B170" s="244"/>
      <c r="C170" s="502"/>
      <c r="D170" s="502"/>
      <c r="E170" s="502"/>
      <c r="F170" s="502"/>
      <c r="G170" s="502"/>
      <c r="H170" s="502"/>
      <c r="I170" s="244"/>
      <c r="J170" s="516"/>
      <c r="K170" s="516"/>
      <c r="L170" s="517"/>
      <c r="M170" s="516" t="str">
        <f>IFERROR(INDEX('HCC Data Entry'!$J$4:$J$22, MATCH('HCC Detail w Diag'!$B170,'HCC Data Entry'!$I$4:$I$22,0)),"")</f>
        <v/>
      </c>
      <c r="N170" s="516" t="str">
        <f t="shared" si="12"/>
        <v/>
      </c>
      <c r="O170" s="518" t="str">
        <f t="shared" si="9"/>
        <v/>
      </c>
      <c r="P170" s="519" t="str">
        <f t="shared" si="10"/>
        <v/>
      </c>
      <c r="Q170" s="246"/>
      <c r="R170" s="246" t="str">
        <f t="shared" si="11"/>
        <v/>
      </c>
      <c r="S170" s="244"/>
    </row>
    <row r="171" spans="2:19" ht="18.5" x14ac:dyDescent="0.45">
      <c r="B171" s="244"/>
      <c r="C171" s="502"/>
      <c r="D171" s="502"/>
      <c r="E171" s="502"/>
      <c r="F171" s="502"/>
      <c r="G171" s="502"/>
      <c r="H171" s="502"/>
      <c r="I171" s="244"/>
      <c r="J171" s="516"/>
      <c r="K171" s="516"/>
      <c r="L171" s="517"/>
      <c r="M171" s="516" t="str">
        <f>IFERROR(INDEX('HCC Data Entry'!$J$4:$J$22, MATCH('HCC Detail w Diag'!$B171,'HCC Data Entry'!$I$4:$I$22,0)),"")</f>
        <v/>
      </c>
      <c r="N171" s="516" t="str">
        <f t="shared" si="12"/>
        <v/>
      </c>
      <c r="O171" s="518" t="str">
        <f t="shared" si="9"/>
        <v/>
      </c>
      <c r="P171" s="519" t="str">
        <f t="shared" si="10"/>
        <v/>
      </c>
      <c r="Q171" s="246"/>
      <c r="R171" s="246" t="str">
        <f t="shared" si="11"/>
        <v/>
      </c>
      <c r="S171" s="244"/>
    </row>
    <row r="172" spans="2:19" ht="18.5" x14ac:dyDescent="0.45">
      <c r="B172" s="244"/>
      <c r="C172" s="502"/>
      <c r="D172" s="502"/>
      <c r="E172" s="502"/>
      <c r="F172" s="502"/>
      <c r="G172" s="502"/>
      <c r="H172" s="502"/>
      <c r="I172" s="244"/>
      <c r="J172" s="516"/>
      <c r="K172" s="516"/>
      <c r="L172" s="517"/>
      <c r="M172" s="516" t="str">
        <f>IFERROR(INDEX('HCC Data Entry'!$J$4:$J$22, MATCH('HCC Detail w Diag'!$B172,'HCC Data Entry'!$I$4:$I$22,0)),"")</f>
        <v/>
      </c>
      <c r="N172" s="516" t="str">
        <f t="shared" si="12"/>
        <v/>
      </c>
      <c r="O172" s="518" t="str">
        <f t="shared" si="9"/>
        <v/>
      </c>
      <c r="P172" s="519" t="str">
        <f t="shared" si="10"/>
        <v/>
      </c>
      <c r="Q172" s="246"/>
      <c r="R172" s="246" t="str">
        <f t="shared" si="11"/>
        <v/>
      </c>
      <c r="S172" s="244"/>
    </row>
    <row r="173" spans="2:19" ht="18.5" x14ac:dyDescent="0.45">
      <c r="B173" s="244"/>
      <c r="C173" s="502"/>
      <c r="D173" s="502"/>
      <c r="E173" s="502"/>
      <c r="F173" s="502"/>
      <c r="G173" s="502"/>
      <c r="H173" s="502"/>
      <c r="I173" s="244"/>
      <c r="J173" s="516"/>
      <c r="K173" s="516"/>
      <c r="L173" s="517"/>
      <c r="M173" s="516" t="str">
        <f>IFERROR(INDEX('HCC Data Entry'!$J$4:$J$22, MATCH('HCC Detail w Diag'!$B173,'HCC Data Entry'!$I$4:$I$22,0)),"")</f>
        <v/>
      </c>
      <c r="N173" s="516" t="str">
        <f t="shared" si="12"/>
        <v/>
      </c>
      <c r="O173" s="518" t="str">
        <f t="shared" si="9"/>
        <v/>
      </c>
      <c r="P173" s="519" t="str">
        <f t="shared" si="10"/>
        <v/>
      </c>
      <c r="Q173" s="246"/>
      <c r="R173" s="246" t="str">
        <f t="shared" si="11"/>
        <v/>
      </c>
      <c r="S173" s="244"/>
    </row>
    <row r="174" spans="2:19" ht="18.5" x14ac:dyDescent="0.45">
      <c r="B174" s="244"/>
      <c r="C174" s="502"/>
      <c r="D174" s="502"/>
      <c r="E174" s="502"/>
      <c r="F174" s="502"/>
      <c r="G174" s="502"/>
      <c r="H174" s="502"/>
      <c r="I174" s="244"/>
      <c r="J174" s="516"/>
      <c r="K174" s="516"/>
      <c r="L174" s="517"/>
      <c r="M174" s="516" t="str">
        <f>IFERROR(INDEX('HCC Data Entry'!$J$4:$J$22, MATCH('HCC Detail w Diag'!$B174,'HCC Data Entry'!$I$4:$I$22,0)),"")</f>
        <v/>
      </c>
      <c r="N174" s="516" t="str">
        <f t="shared" si="12"/>
        <v/>
      </c>
      <c r="O174" s="518" t="str">
        <f t="shared" si="9"/>
        <v/>
      </c>
      <c r="P174" s="519" t="str">
        <f t="shared" si="10"/>
        <v/>
      </c>
      <c r="Q174" s="246"/>
      <c r="R174" s="246" t="str">
        <f t="shared" si="11"/>
        <v/>
      </c>
      <c r="S174" s="244"/>
    </row>
    <row r="175" spans="2:19" ht="18.5" x14ac:dyDescent="0.45">
      <c r="B175" s="244"/>
      <c r="C175" s="502"/>
      <c r="D175" s="502"/>
      <c r="E175" s="502"/>
      <c r="F175" s="502"/>
      <c r="G175" s="502"/>
      <c r="H175" s="502"/>
      <c r="I175" s="244"/>
      <c r="J175" s="516"/>
      <c r="K175" s="516"/>
      <c r="L175" s="517"/>
      <c r="M175" s="516" t="str">
        <f>IFERROR(INDEX('HCC Data Entry'!$J$4:$J$22, MATCH('HCC Detail w Diag'!$B175,'HCC Data Entry'!$I$4:$I$22,0)),"")</f>
        <v/>
      </c>
      <c r="N175" s="516" t="str">
        <f t="shared" si="12"/>
        <v/>
      </c>
      <c r="O175" s="518" t="str">
        <f t="shared" si="9"/>
        <v/>
      </c>
      <c r="P175" s="519" t="str">
        <f t="shared" si="10"/>
        <v/>
      </c>
      <c r="Q175" s="246"/>
      <c r="R175" s="246" t="str">
        <f t="shared" si="11"/>
        <v/>
      </c>
      <c r="S175" s="244"/>
    </row>
    <row r="176" spans="2:19" ht="18.5" x14ac:dyDescent="0.45">
      <c r="B176" s="244"/>
      <c r="C176" s="502"/>
      <c r="D176" s="502"/>
      <c r="E176" s="502"/>
      <c r="F176" s="502"/>
      <c r="G176" s="502"/>
      <c r="H176" s="502"/>
      <c r="I176" s="244"/>
      <c r="J176" s="516"/>
      <c r="K176" s="516"/>
      <c r="L176" s="517"/>
      <c r="M176" s="516" t="str">
        <f>IFERROR(INDEX('HCC Data Entry'!$J$4:$J$22, MATCH('HCC Detail w Diag'!$B176,'HCC Data Entry'!$I$4:$I$22,0)),"")</f>
        <v/>
      </c>
      <c r="N176" s="516" t="str">
        <f t="shared" si="12"/>
        <v/>
      </c>
      <c r="O176" s="518" t="str">
        <f t="shared" si="9"/>
        <v/>
      </c>
      <c r="P176" s="519" t="str">
        <f t="shared" si="10"/>
        <v/>
      </c>
      <c r="Q176" s="246"/>
      <c r="R176" s="246" t="str">
        <f t="shared" ref="R176:R207" si="13">IF(Q176="","",IF(Q176=0,0,P83-Q176))</f>
        <v/>
      </c>
      <c r="S176" s="244"/>
    </row>
    <row r="177" spans="2:19" ht="18.5" x14ac:dyDescent="0.45">
      <c r="B177" s="244"/>
      <c r="C177" s="502"/>
      <c r="D177" s="502"/>
      <c r="E177" s="502"/>
      <c r="F177" s="502"/>
      <c r="G177" s="502"/>
      <c r="H177" s="502"/>
      <c r="I177" s="244"/>
      <c r="J177" s="516"/>
      <c r="K177" s="516"/>
      <c r="L177" s="517"/>
      <c r="M177" s="516" t="str">
        <f>IFERROR(INDEX('HCC Data Entry'!$J$4:$J$22, MATCH('HCC Detail w Diag'!$B177,'HCC Data Entry'!$I$4:$I$22,0)),"")</f>
        <v/>
      </c>
      <c r="N177" s="516" t="str">
        <f t="shared" si="12"/>
        <v/>
      </c>
      <c r="O177" s="518" t="str">
        <f t="shared" si="9"/>
        <v/>
      </c>
      <c r="P177" s="519" t="str">
        <f t="shared" si="10"/>
        <v/>
      </c>
      <c r="Q177" s="246"/>
      <c r="R177" s="246" t="str">
        <f t="shared" si="13"/>
        <v/>
      </c>
      <c r="S177" s="244"/>
    </row>
    <row r="178" spans="2:19" ht="18.5" x14ac:dyDescent="0.45">
      <c r="B178" s="244"/>
      <c r="C178" s="502"/>
      <c r="D178" s="502"/>
      <c r="E178" s="502"/>
      <c r="F178" s="502"/>
      <c r="G178" s="502"/>
      <c r="H178" s="502"/>
      <c r="I178" s="244"/>
      <c r="J178" s="516"/>
      <c r="K178" s="516"/>
      <c r="L178" s="517"/>
      <c r="M178" s="516" t="str">
        <f>IFERROR(INDEX('HCC Data Entry'!$J$4:$J$22, MATCH('HCC Detail w Diag'!$B178,'HCC Data Entry'!$I$4:$I$22,0)),"")</f>
        <v/>
      </c>
      <c r="N178" s="516" t="str">
        <f t="shared" si="12"/>
        <v/>
      </c>
      <c r="O178" s="518" t="str">
        <f t="shared" si="9"/>
        <v/>
      </c>
      <c r="P178" s="519" t="str">
        <f t="shared" si="10"/>
        <v/>
      </c>
      <c r="Q178" s="246"/>
      <c r="R178" s="246" t="str">
        <f t="shared" si="13"/>
        <v/>
      </c>
      <c r="S178" s="244"/>
    </row>
    <row r="179" spans="2:19" ht="18.5" x14ac:dyDescent="0.45">
      <c r="B179" s="244"/>
      <c r="C179" s="502"/>
      <c r="D179" s="502"/>
      <c r="E179" s="502"/>
      <c r="F179" s="502"/>
      <c r="G179" s="502"/>
      <c r="H179" s="502"/>
      <c r="I179" s="244"/>
      <c r="J179" s="516"/>
      <c r="K179" s="516"/>
      <c r="L179" s="517"/>
      <c r="M179" s="516" t="str">
        <f>IFERROR(INDEX('HCC Data Entry'!$J$4:$J$22, MATCH('HCC Detail w Diag'!$B179,'HCC Data Entry'!$I$4:$I$22,0)),"")</f>
        <v/>
      </c>
      <c r="N179" s="516" t="str">
        <f t="shared" si="12"/>
        <v/>
      </c>
      <c r="O179" s="518" t="str">
        <f t="shared" si="9"/>
        <v/>
      </c>
      <c r="P179" s="519" t="str">
        <f t="shared" si="10"/>
        <v/>
      </c>
      <c r="Q179" s="246"/>
      <c r="R179" s="246" t="str">
        <f t="shared" si="13"/>
        <v/>
      </c>
      <c r="S179" s="244"/>
    </row>
    <row r="180" spans="2:19" ht="18.5" x14ac:dyDescent="0.45">
      <c r="B180" s="244"/>
      <c r="C180" s="502"/>
      <c r="D180" s="502"/>
      <c r="E180" s="502"/>
      <c r="F180" s="502"/>
      <c r="G180" s="502"/>
      <c r="H180" s="502"/>
      <c r="I180" s="244"/>
      <c r="J180" s="516"/>
      <c r="K180" s="516"/>
      <c r="L180" s="517"/>
      <c r="M180" s="516" t="str">
        <f>IFERROR(INDEX('HCC Data Entry'!$J$4:$J$22, MATCH('HCC Detail w Diag'!$B180,'HCC Data Entry'!$I$4:$I$22,0)),"")</f>
        <v/>
      </c>
      <c r="N180" s="516" t="str">
        <f t="shared" si="12"/>
        <v/>
      </c>
      <c r="O180" s="518" t="str">
        <f t="shared" si="9"/>
        <v/>
      </c>
      <c r="P180" s="519" t="str">
        <f t="shared" si="10"/>
        <v/>
      </c>
      <c r="Q180" s="246"/>
      <c r="R180" s="246" t="str">
        <f t="shared" si="13"/>
        <v/>
      </c>
      <c r="S180" s="244"/>
    </row>
    <row r="181" spans="2:19" ht="18.5" x14ac:dyDescent="0.45">
      <c r="B181" s="244"/>
      <c r="C181" s="502"/>
      <c r="D181" s="502"/>
      <c r="E181" s="502"/>
      <c r="F181" s="502"/>
      <c r="G181" s="502"/>
      <c r="H181" s="502"/>
      <c r="I181" s="244"/>
      <c r="J181" s="516"/>
      <c r="K181" s="516"/>
      <c r="L181" s="517"/>
      <c r="M181" s="516" t="str">
        <f>IFERROR(INDEX('HCC Data Entry'!$J$4:$J$22, MATCH('HCC Detail w Diag'!$B181,'HCC Data Entry'!$I$4:$I$22,0)),"")</f>
        <v/>
      </c>
      <c r="N181" s="516" t="str">
        <f t="shared" si="12"/>
        <v/>
      </c>
      <c r="O181" s="518" t="str">
        <f t="shared" si="9"/>
        <v/>
      </c>
      <c r="P181" s="519" t="str">
        <f t="shared" si="10"/>
        <v/>
      </c>
      <c r="Q181" s="246"/>
      <c r="R181" s="246" t="str">
        <f t="shared" si="13"/>
        <v/>
      </c>
      <c r="S181" s="244"/>
    </row>
    <row r="182" spans="2:19" ht="18.5" x14ac:dyDescent="0.45">
      <c r="B182" s="244"/>
      <c r="C182" s="502"/>
      <c r="D182" s="502"/>
      <c r="E182" s="502"/>
      <c r="F182" s="502"/>
      <c r="G182" s="502"/>
      <c r="H182" s="502"/>
      <c r="I182" s="244"/>
      <c r="J182" s="516"/>
      <c r="K182" s="516"/>
      <c r="L182" s="517"/>
      <c r="M182" s="516" t="str">
        <f>IFERROR(INDEX('HCC Data Entry'!$J$4:$J$22, MATCH('HCC Detail w Diag'!$B182,'HCC Data Entry'!$I$4:$I$22,0)),"")</f>
        <v/>
      </c>
      <c r="N182" s="516" t="str">
        <f t="shared" si="12"/>
        <v/>
      </c>
      <c r="O182" s="518" t="str">
        <f t="shared" si="9"/>
        <v/>
      </c>
      <c r="P182" s="519" t="str">
        <f t="shared" si="10"/>
        <v/>
      </c>
      <c r="Q182" s="246"/>
      <c r="R182" s="246" t="str">
        <f t="shared" si="13"/>
        <v/>
      </c>
      <c r="S182" s="244"/>
    </row>
    <row r="183" spans="2:19" ht="18.5" x14ac:dyDescent="0.45">
      <c r="B183" s="244"/>
      <c r="C183" s="502"/>
      <c r="D183" s="502"/>
      <c r="E183" s="502"/>
      <c r="F183" s="502"/>
      <c r="G183" s="502"/>
      <c r="H183" s="502"/>
      <c r="I183" s="244"/>
      <c r="J183" s="516"/>
      <c r="K183" s="516"/>
      <c r="L183" s="517"/>
      <c r="M183" s="516" t="str">
        <f>IFERROR(INDEX('HCC Data Entry'!$J$4:$J$22, MATCH('HCC Detail w Diag'!$B183,'HCC Data Entry'!$I$4:$I$22,0)),"")</f>
        <v/>
      </c>
      <c r="N183" s="516" t="str">
        <f t="shared" si="12"/>
        <v/>
      </c>
      <c r="O183" s="518" t="str">
        <f t="shared" si="9"/>
        <v/>
      </c>
      <c r="P183" s="519" t="str">
        <f t="shared" si="10"/>
        <v/>
      </c>
      <c r="Q183" s="246"/>
      <c r="R183" s="246" t="str">
        <f t="shared" si="13"/>
        <v/>
      </c>
      <c r="S183" s="244"/>
    </row>
    <row r="184" spans="2:19" ht="18.5" x14ac:dyDescent="0.45">
      <c r="B184" s="244"/>
      <c r="C184" s="502"/>
      <c r="D184" s="502"/>
      <c r="E184" s="502"/>
      <c r="F184" s="502"/>
      <c r="G184" s="502"/>
      <c r="H184" s="502"/>
      <c r="I184" s="244"/>
      <c r="J184" s="516"/>
      <c r="K184" s="516"/>
      <c r="L184" s="517"/>
      <c r="M184" s="516" t="str">
        <f>IFERROR(INDEX('HCC Data Entry'!$J$4:$J$22, MATCH('HCC Detail w Diag'!$B184,'HCC Data Entry'!$I$4:$I$22,0)),"")</f>
        <v/>
      </c>
      <c r="N184" s="516" t="str">
        <f t="shared" si="12"/>
        <v/>
      </c>
      <c r="O184" s="518" t="str">
        <f t="shared" si="9"/>
        <v/>
      </c>
      <c r="P184" s="519" t="str">
        <f t="shared" si="10"/>
        <v/>
      </c>
      <c r="Q184" s="246"/>
      <c r="R184" s="246" t="str">
        <f t="shared" si="13"/>
        <v/>
      </c>
      <c r="S184" s="244"/>
    </row>
    <row r="185" spans="2:19" ht="18.5" x14ac:dyDescent="0.45">
      <c r="B185" s="244"/>
      <c r="C185" s="502"/>
      <c r="D185" s="502"/>
      <c r="E185" s="502"/>
      <c r="F185" s="502"/>
      <c r="G185" s="502"/>
      <c r="H185" s="502"/>
      <c r="I185" s="244"/>
      <c r="J185" s="516"/>
      <c r="K185" s="516"/>
      <c r="L185" s="517"/>
      <c r="M185" s="516" t="str">
        <f>IFERROR(INDEX('HCC Data Entry'!$J$4:$J$22, MATCH('HCC Detail w Diag'!$B185,'HCC Data Entry'!$I$4:$I$22,0)),"")</f>
        <v/>
      </c>
      <c r="N185" s="516" t="str">
        <f t="shared" si="12"/>
        <v/>
      </c>
      <c r="O185" s="518" t="str">
        <f t="shared" si="9"/>
        <v/>
      </c>
      <c r="P185" s="519" t="str">
        <f t="shared" si="10"/>
        <v/>
      </c>
      <c r="Q185" s="246"/>
      <c r="R185" s="246" t="str">
        <f t="shared" si="13"/>
        <v/>
      </c>
      <c r="S185" s="244"/>
    </row>
    <row r="186" spans="2:19" ht="18.5" x14ac:dyDescent="0.45">
      <c r="B186" s="244"/>
      <c r="C186" s="502"/>
      <c r="D186" s="502"/>
      <c r="E186" s="502"/>
      <c r="F186" s="502"/>
      <c r="G186" s="502"/>
      <c r="H186" s="502"/>
      <c r="I186" s="244"/>
      <c r="J186" s="516"/>
      <c r="K186" s="516"/>
      <c r="L186" s="517"/>
      <c r="M186" s="516" t="str">
        <f>IFERROR(INDEX('HCC Data Entry'!$J$4:$J$22, MATCH('HCC Detail w Diag'!$B186,'HCC Data Entry'!$I$4:$I$22,0)),"")</f>
        <v/>
      </c>
      <c r="N186" s="516" t="str">
        <f t="shared" si="12"/>
        <v/>
      </c>
      <c r="O186" s="518" t="str">
        <f t="shared" si="9"/>
        <v/>
      </c>
      <c r="P186" s="519" t="str">
        <f t="shared" si="10"/>
        <v/>
      </c>
      <c r="Q186" s="246"/>
      <c r="R186" s="246" t="str">
        <f t="shared" si="13"/>
        <v/>
      </c>
      <c r="S186" s="244"/>
    </row>
    <row r="187" spans="2:19" ht="18.5" x14ac:dyDescent="0.45">
      <c r="B187" s="244"/>
      <c r="C187" s="502"/>
      <c r="D187" s="502"/>
      <c r="E187" s="502"/>
      <c r="F187" s="502"/>
      <c r="G187" s="502"/>
      <c r="H187" s="502"/>
      <c r="I187" s="244"/>
      <c r="J187" s="516"/>
      <c r="K187" s="516"/>
      <c r="L187" s="517"/>
      <c r="M187" s="516" t="str">
        <f>IFERROR(INDEX('HCC Data Entry'!$J$4:$J$22, MATCH('HCC Detail w Diag'!$B187,'HCC Data Entry'!$I$4:$I$22,0)),"")</f>
        <v/>
      </c>
      <c r="N187" s="516" t="str">
        <f t="shared" si="12"/>
        <v/>
      </c>
      <c r="O187" s="518" t="str">
        <f t="shared" si="9"/>
        <v/>
      </c>
      <c r="P187" s="519" t="str">
        <f t="shared" si="10"/>
        <v/>
      </c>
      <c r="Q187" s="246"/>
      <c r="R187" s="246" t="str">
        <f t="shared" si="13"/>
        <v/>
      </c>
      <c r="S187" s="244"/>
    </row>
    <row r="188" spans="2:19" ht="18.5" x14ac:dyDescent="0.45">
      <c r="B188" s="244"/>
      <c r="C188" s="502"/>
      <c r="D188" s="502"/>
      <c r="E188" s="502"/>
      <c r="F188" s="502"/>
      <c r="G188" s="502"/>
      <c r="H188" s="502"/>
      <c r="I188" s="244"/>
      <c r="J188" s="516"/>
      <c r="K188" s="516"/>
      <c r="L188" s="517"/>
      <c r="M188" s="516" t="str">
        <f>IFERROR(INDEX('HCC Data Entry'!$J$4:$J$22, MATCH('HCC Detail w Diag'!$B188,'HCC Data Entry'!$I$4:$I$22,0)),"")</f>
        <v/>
      </c>
      <c r="N188" s="516" t="str">
        <f t="shared" si="12"/>
        <v/>
      </c>
      <c r="O188" s="518" t="str">
        <f t="shared" si="9"/>
        <v/>
      </c>
      <c r="P188" s="519" t="str">
        <f t="shared" si="10"/>
        <v/>
      </c>
      <c r="Q188" s="246"/>
      <c r="R188" s="246" t="str">
        <f t="shared" si="13"/>
        <v/>
      </c>
      <c r="S188" s="244"/>
    </row>
    <row r="189" spans="2:19" ht="18.5" x14ac:dyDescent="0.45">
      <c r="B189" s="244"/>
      <c r="C189" s="502"/>
      <c r="D189" s="502"/>
      <c r="E189" s="502"/>
      <c r="F189" s="502"/>
      <c r="G189" s="502"/>
      <c r="H189" s="502"/>
      <c r="I189" s="244"/>
      <c r="J189" s="516"/>
      <c r="K189" s="516"/>
      <c r="L189" s="517"/>
      <c r="M189" s="516" t="str">
        <f>IFERROR(INDEX('HCC Data Entry'!$J$4:$J$22, MATCH('HCC Detail w Diag'!$B189,'HCC Data Entry'!$I$4:$I$22,0)),"")</f>
        <v/>
      </c>
      <c r="N189" s="516" t="str">
        <f t="shared" si="12"/>
        <v/>
      </c>
      <c r="O189" s="518" t="str">
        <f t="shared" si="9"/>
        <v/>
      </c>
      <c r="P189" s="519" t="str">
        <f t="shared" si="10"/>
        <v/>
      </c>
      <c r="Q189" s="246"/>
      <c r="R189" s="246" t="str">
        <f t="shared" si="13"/>
        <v/>
      </c>
      <c r="S189" s="244"/>
    </row>
    <row r="190" spans="2:19" ht="18.5" x14ac:dyDescent="0.45">
      <c r="B190" s="244"/>
      <c r="C190" s="502"/>
      <c r="D190" s="502"/>
      <c r="E190" s="502"/>
      <c r="F190" s="502"/>
      <c r="G190" s="502"/>
      <c r="H190" s="502"/>
      <c r="I190" s="244"/>
      <c r="J190" s="516"/>
      <c r="K190" s="516"/>
      <c r="L190" s="517"/>
      <c r="M190" s="516" t="str">
        <f>IFERROR(INDEX('HCC Data Entry'!$J$4:$J$22, MATCH('HCC Detail w Diag'!$B190,'HCC Data Entry'!$I$4:$I$22,0)),"")</f>
        <v/>
      </c>
      <c r="N190" s="516" t="str">
        <f t="shared" si="12"/>
        <v/>
      </c>
      <c r="O190" s="518" t="str">
        <f t="shared" si="9"/>
        <v/>
      </c>
      <c r="P190" s="519" t="str">
        <f t="shared" si="10"/>
        <v/>
      </c>
      <c r="Q190" s="246"/>
      <c r="R190" s="246" t="str">
        <f t="shared" si="13"/>
        <v/>
      </c>
      <c r="S190" s="244"/>
    </row>
    <row r="191" spans="2:19" ht="18.5" x14ac:dyDescent="0.45">
      <c r="B191" s="244"/>
      <c r="C191" s="502"/>
      <c r="D191" s="502"/>
      <c r="E191" s="502"/>
      <c r="F191" s="502"/>
      <c r="G191" s="502"/>
      <c r="H191" s="502"/>
      <c r="I191" s="244"/>
      <c r="J191" s="516"/>
      <c r="K191" s="516"/>
      <c r="L191" s="517"/>
      <c r="M191" s="516" t="str">
        <f>IFERROR(INDEX('HCC Data Entry'!$J$4:$J$22, MATCH('HCC Detail w Diag'!$B191,'HCC Data Entry'!$I$4:$I$22,0)),"")</f>
        <v/>
      </c>
      <c r="N191" s="516" t="str">
        <f t="shared" si="12"/>
        <v/>
      </c>
      <c r="O191" s="518" t="str">
        <f t="shared" si="9"/>
        <v/>
      </c>
      <c r="P191" s="519" t="str">
        <f t="shared" si="10"/>
        <v/>
      </c>
      <c r="Q191" s="246"/>
      <c r="R191" s="246" t="str">
        <f t="shared" si="13"/>
        <v/>
      </c>
      <c r="S191" s="244"/>
    </row>
    <row r="192" spans="2:19" ht="18.5" x14ac:dyDescent="0.45">
      <c r="B192" s="244"/>
      <c r="C192" s="502"/>
      <c r="D192" s="502"/>
      <c r="E192" s="502"/>
      <c r="F192" s="502"/>
      <c r="G192" s="502"/>
      <c r="H192" s="502"/>
      <c r="I192" s="244"/>
      <c r="J192" s="516"/>
      <c r="K192" s="516"/>
      <c r="L192" s="517"/>
      <c r="M192" s="516" t="str">
        <f>IFERROR(INDEX('HCC Data Entry'!$J$4:$J$22, MATCH('HCC Detail w Diag'!$B192,'HCC Data Entry'!$I$4:$I$22,0)),"")</f>
        <v/>
      </c>
      <c r="N192" s="516" t="str">
        <f t="shared" si="12"/>
        <v/>
      </c>
      <c r="O192" s="518" t="str">
        <f t="shared" si="9"/>
        <v/>
      </c>
      <c r="P192" s="519" t="str">
        <f t="shared" si="10"/>
        <v/>
      </c>
      <c r="Q192" s="246"/>
      <c r="R192" s="246" t="str">
        <f t="shared" si="13"/>
        <v/>
      </c>
      <c r="S192" s="244"/>
    </row>
    <row r="193" spans="2:19" ht="18.5" x14ac:dyDescent="0.45">
      <c r="B193" s="244"/>
      <c r="C193" s="502"/>
      <c r="D193" s="502"/>
      <c r="E193" s="502"/>
      <c r="F193" s="502"/>
      <c r="G193" s="502"/>
      <c r="H193" s="502"/>
      <c r="I193" s="244"/>
      <c r="J193" s="516"/>
      <c r="K193" s="516"/>
      <c r="L193" s="517"/>
      <c r="M193" s="516" t="str">
        <f>IFERROR(INDEX('HCC Data Entry'!$J$4:$J$22, MATCH('HCC Detail w Diag'!$B193,'HCC Data Entry'!$I$4:$I$22,0)),"")</f>
        <v/>
      </c>
      <c r="N193" s="516" t="str">
        <f t="shared" si="12"/>
        <v/>
      </c>
      <c r="O193" s="518" t="str">
        <f t="shared" si="9"/>
        <v/>
      </c>
      <c r="P193" s="519" t="str">
        <f t="shared" si="10"/>
        <v/>
      </c>
      <c r="Q193" s="246"/>
      <c r="R193" s="246" t="str">
        <f t="shared" si="13"/>
        <v/>
      </c>
      <c r="S193" s="244"/>
    </row>
    <row r="194" spans="2:19" ht="18.5" x14ac:dyDescent="0.45">
      <c r="B194" s="244"/>
      <c r="C194" s="502"/>
      <c r="D194" s="502"/>
      <c r="E194" s="502"/>
      <c r="F194" s="502"/>
      <c r="G194" s="502"/>
      <c r="H194" s="502"/>
      <c r="I194" s="244"/>
      <c r="J194" s="516"/>
      <c r="K194" s="516"/>
      <c r="L194" s="517"/>
      <c r="M194" s="516" t="str">
        <f>IFERROR(INDEX('HCC Data Entry'!$J$4:$J$22, MATCH('HCC Detail w Diag'!$B194,'HCC Data Entry'!$I$4:$I$22,0)),"")</f>
        <v/>
      </c>
      <c r="N194" s="516" t="str">
        <f t="shared" si="12"/>
        <v/>
      </c>
      <c r="O194" s="518" t="str">
        <f t="shared" si="9"/>
        <v/>
      </c>
      <c r="P194" s="519" t="str">
        <f t="shared" si="10"/>
        <v/>
      </c>
      <c r="Q194" s="246"/>
      <c r="R194" s="246" t="str">
        <f t="shared" si="13"/>
        <v/>
      </c>
      <c r="S194" s="244"/>
    </row>
    <row r="195" spans="2:19" ht="18.5" x14ac:dyDescent="0.45">
      <c r="B195" s="244"/>
      <c r="C195" s="502"/>
      <c r="D195" s="502"/>
      <c r="E195" s="502"/>
      <c r="F195" s="502"/>
      <c r="G195" s="502"/>
      <c r="H195" s="502"/>
      <c r="I195" s="244"/>
      <c r="J195" s="516"/>
      <c r="K195" s="516"/>
      <c r="L195" s="517"/>
      <c r="M195" s="516" t="str">
        <f>IFERROR(INDEX('HCC Data Entry'!$J$4:$J$22, MATCH('HCC Detail w Diag'!$B195,'HCC Data Entry'!$I$4:$I$22,0)),"")</f>
        <v/>
      </c>
      <c r="N195" s="516" t="str">
        <f t="shared" si="12"/>
        <v/>
      </c>
      <c r="O195" s="518" t="str">
        <f t="shared" si="9"/>
        <v/>
      </c>
      <c r="P195" s="519" t="str">
        <f t="shared" si="10"/>
        <v/>
      </c>
      <c r="Q195" s="246"/>
      <c r="R195" s="246" t="str">
        <f t="shared" si="13"/>
        <v/>
      </c>
      <c r="S195" s="244"/>
    </row>
    <row r="196" spans="2:19" ht="18.5" x14ac:dyDescent="0.45">
      <c r="B196" s="244"/>
      <c r="C196" s="502"/>
      <c r="D196" s="502"/>
      <c r="E196" s="502"/>
      <c r="F196" s="502"/>
      <c r="G196" s="502"/>
      <c r="H196" s="502"/>
      <c r="I196" s="244"/>
      <c r="J196" s="516"/>
      <c r="K196" s="516"/>
      <c r="L196" s="517"/>
      <c r="M196" s="516" t="str">
        <f>IFERROR(INDEX('HCC Data Entry'!$J$4:$J$22, MATCH('HCC Detail w Diag'!$B196,'HCC Data Entry'!$I$4:$I$22,0)),"")</f>
        <v/>
      </c>
      <c r="N196" s="516" t="str">
        <f t="shared" si="12"/>
        <v/>
      </c>
      <c r="O196" s="518" t="str">
        <f t="shared" si="9"/>
        <v/>
      </c>
      <c r="P196" s="519" t="str">
        <f t="shared" si="10"/>
        <v/>
      </c>
      <c r="Q196" s="246"/>
      <c r="R196" s="246" t="str">
        <f t="shared" si="13"/>
        <v/>
      </c>
      <c r="S196" s="244"/>
    </row>
    <row r="197" spans="2:19" ht="18.5" x14ac:dyDescent="0.45">
      <c r="B197" s="244"/>
      <c r="C197" s="502"/>
      <c r="D197" s="502"/>
      <c r="E197" s="502"/>
      <c r="F197" s="502"/>
      <c r="G197" s="502"/>
      <c r="H197" s="502"/>
      <c r="I197" s="244"/>
      <c r="J197" s="516"/>
      <c r="K197" s="516"/>
      <c r="L197" s="517"/>
      <c r="M197" s="516" t="str">
        <f>IFERROR(INDEX('HCC Data Entry'!$J$4:$J$22, MATCH('HCC Detail w Diag'!$B197,'HCC Data Entry'!$I$4:$I$22,0)),"")</f>
        <v/>
      </c>
      <c r="N197" s="516" t="str">
        <f t="shared" si="12"/>
        <v/>
      </c>
      <c r="O197" s="518" t="str">
        <f t="shared" ref="O197:O260" si="14">IF(N197="","",IF(N197=0,0, IF(L197&gt;$U$4,($U$4-M197),N197)))</f>
        <v/>
      </c>
      <c r="P197" s="519" t="str">
        <f t="shared" ref="P197:P260" si="15">IF(O197="","",IF(O197=0,0,IF(L197&gt;$U$4,L197-$U$4,0)))</f>
        <v/>
      </c>
      <c r="Q197" s="246"/>
      <c r="R197" s="246" t="str">
        <f t="shared" si="13"/>
        <v/>
      </c>
      <c r="S197" s="244"/>
    </row>
    <row r="198" spans="2:19" ht="18.5" x14ac:dyDescent="0.45">
      <c r="B198" s="244"/>
      <c r="C198" s="502"/>
      <c r="D198" s="502"/>
      <c r="E198" s="502"/>
      <c r="F198" s="502"/>
      <c r="G198" s="502"/>
      <c r="H198" s="502"/>
      <c r="I198" s="244"/>
      <c r="J198" s="516"/>
      <c r="K198" s="516"/>
      <c r="L198" s="517"/>
      <c r="M198" s="516" t="str">
        <f>IFERROR(INDEX('HCC Data Entry'!$J$4:$J$22, MATCH('HCC Detail w Diag'!$B198,'HCC Data Entry'!$I$4:$I$22,0)),"")</f>
        <v/>
      </c>
      <c r="N198" s="516" t="str">
        <f t="shared" si="12"/>
        <v/>
      </c>
      <c r="O198" s="518" t="str">
        <f t="shared" si="14"/>
        <v/>
      </c>
      <c r="P198" s="519" t="str">
        <f t="shared" si="15"/>
        <v/>
      </c>
      <c r="Q198" s="246"/>
      <c r="R198" s="246" t="str">
        <f t="shared" si="13"/>
        <v/>
      </c>
      <c r="S198" s="244"/>
    </row>
    <row r="199" spans="2:19" ht="18.5" x14ac:dyDescent="0.45">
      <c r="B199" s="244"/>
      <c r="C199" s="502"/>
      <c r="D199" s="502"/>
      <c r="E199" s="502"/>
      <c r="F199" s="502"/>
      <c r="G199" s="502"/>
      <c r="H199" s="502"/>
      <c r="I199" s="244"/>
      <c r="J199" s="516"/>
      <c r="K199" s="516"/>
      <c r="L199" s="517"/>
      <c r="M199" s="516" t="str">
        <f>IFERROR(INDEX('HCC Data Entry'!$J$4:$J$22, MATCH('HCC Detail w Diag'!$B199,'HCC Data Entry'!$I$4:$I$22,0)),"")</f>
        <v/>
      </c>
      <c r="N199" s="516" t="str">
        <f t="shared" si="12"/>
        <v/>
      </c>
      <c r="O199" s="518" t="str">
        <f t="shared" si="14"/>
        <v/>
      </c>
      <c r="P199" s="519" t="str">
        <f t="shared" si="15"/>
        <v/>
      </c>
      <c r="Q199" s="246"/>
      <c r="R199" s="246" t="str">
        <f t="shared" si="13"/>
        <v/>
      </c>
      <c r="S199" s="244"/>
    </row>
    <row r="200" spans="2:19" ht="18.5" x14ac:dyDescent="0.45">
      <c r="B200" s="244"/>
      <c r="C200" s="502"/>
      <c r="D200" s="502"/>
      <c r="E200" s="502"/>
      <c r="F200" s="502"/>
      <c r="G200" s="502"/>
      <c r="H200" s="502"/>
      <c r="I200" s="244"/>
      <c r="J200" s="516"/>
      <c r="K200" s="516"/>
      <c r="L200" s="517"/>
      <c r="M200" s="516" t="str">
        <f>IFERROR(INDEX('HCC Data Entry'!$J$4:$J$22, MATCH('HCC Detail w Diag'!$B200,'HCC Data Entry'!$I$4:$I$22,0)),"")</f>
        <v/>
      </c>
      <c r="N200" s="516" t="str">
        <f t="shared" si="12"/>
        <v/>
      </c>
      <c r="O200" s="518" t="str">
        <f t="shared" si="14"/>
        <v/>
      </c>
      <c r="P200" s="519" t="str">
        <f t="shared" si="15"/>
        <v/>
      </c>
      <c r="Q200" s="246"/>
      <c r="R200" s="246" t="str">
        <f t="shared" si="13"/>
        <v/>
      </c>
      <c r="S200" s="244"/>
    </row>
    <row r="201" spans="2:19" ht="18.5" x14ac:dyDescent="0.45">
      <c r="B201" s="244"/>
      <c r="C201" s="502"/>
      <c r="D201" s="502"/>
      <c r="E201" s="502"/>
      <c r="F201" s="502"/>
      <c r="G201" s="502"/>
      <c r="H201" s="502"/>
      <c r="I201" s="244"/>
      <c r="J201" s="516"/>
      <c r="K201" s="516"/>
      <c r="L201" s="517"/>
      <c r="M201" s="516" t="str">
        <f>IFERROR(INDEX('HCC Data Entry'!$J$4:$J$22, MATCH('HCC Detail w Diag'!$B201,'HCC Data Entry'!$I$4:$I$22,0)),"")</f>
        <v/>
      </c>
      <c r="N201" s="516" t="str">
        <f t="shared" si="12"/>
        <v/>
      </c>
      <c r="O201" s="518" t="str">
        <f t="shared" si="14"/>
        <v/>
      </c>
      <c r="P201" s="519" t="str">
        <f t="shared" si="15"/>
        <v/>
      </c>
      <c r="Q201" s="246"/>
      <c r="R201" s="246" t="str">
        <f t="shared" si="13"/>
        <v/>
      </c>
      <c r="S201" s="244"/>
    </row>
    <row r="202" spans="2:19" ht="18.5" x14ac:dyDescent="0.45">
      <c r="B202" s="244"/>
      <c r="C202" s="502"/>
      <c r="D202" s="502"/>
      <c r="E202" s="502"/>
      <c r="F202" s="502"/>
      <c r="G202" s="502"/>
      <c r="H202" s="502"/>
      <c r="I202" s="244"/>
      <c r="J202" s="516"/>
      <c r="K202" s="516"/>
      <c r="L202" s="517"/>
      <c r="M202" s="516" t="str">
        <f>IFERROR(INDEX('HCC Data Entry'!$J$4:$J$22, MATCH('HCC Detail w Diag'!$B202,'HCC Data Entry'!$I$4:$I$22,0)),"")</f>
        <v/>
      </c>
      <c r="N202" s="516" t="str">
        <f t="shared" si="12"/>
        <v/>
      </c>
      <c r="O202" s="518" t="str">
        <f t="shared" si="14"/>
        <v/>
      </c>
      <c r="P202" s="519" t="str">
        <f t="shared" si="15"/>
        <v/>
      </c>
      <c r="Q202" s="246"/>
      <c r="R202" s="246" t="str">
        <f t="shared" si="13"/>
        <v/>
      </c>
      <c r="S202" s="244"/>
    </row>
    <row r="203" spans="2:19" ht="18.5" x14ac:dyDescent="0.45">
      <c r="B203" s="244"/>
      <c r="C203" s="502"/>
      <c r="D203" s="502"/>
      <c r="E203" s="502"/>
      <c r="F203" s="502"/>
      <c r="G203" s="502"/>
      <c r="H203" s="502"/>
      <c r="I203" s="244"/>
      <c r="J203" s="516"/>
      <c r="K203" s="516"/>
      <c r="L203" s="517"/>
      <c r="M203" s="516" t="str">
        <f>IFERROR(INDEX('HCC Data Entry'!$J$4:$J$22, MATCH('HCC Detail w Diag'!$B203,'HCC Data Entry'!$I$4:$I$22,0)),"")</f>
        <v/>
      </c>
      <c r="N203" s="516" t="str">
        <f t="shared" si="12"/>
        <v/>
      </c>
      <c r="O203" s="518" t="str">
        <f t="shared" si="14"/>
        <v/>
      </c>
      <c r="P203" s="519" t="str">
        <f t="shared" si="15"/>
        <v/>
      </c>
      <c r="Q203" s="246"/>
      <c r="R203" s="246" t="str">
        <f t="shared" si="13"/>
        <v/>
      </c>
      <c r="S203" s="244"/>
    </row>
    <row r="204" spans="2:19" ht="18.5" x14ac:dyDescent="0.45">
      <c r="B204" s="244"/>
      <c r="C204" s="502"/>
      <c r="D204" s="502"/>
      <c r="E204" s="502"/>
      <c r="F204" s="502"/>
      <c r="G204" s="502"/>
      <c r="H204" s="502"/>
      <c r="I204" s="244"/>
      <c r="J204" s="516"/>
      <c r="K204" s="516"/>
      <c r="L204" s="517"/>
      <c r="M204" s="516" t="str">
        <f>IFERROR(INDEX('HCC Data Entry'!$J$4:$J$22, MATCH('HCC Detail w Diag'!$B204,'HCC Data Entry'!$I$4:$I$22,0)),"")</f>
        <v/>
      </c>
      <c r="N204" s="516" t="str">
        <f t="shared" si="12"/>
        <v/>
      </c>
      <c r="O204" s="518" t="str">
        <f t="shared" si="14"/>
        <v/>
      </c>
      <c r="P204" s="519" t="str">
        <f t="shared" si="15"/>
        <v/>
      </c>
      <c r="Q204" s="246"/>
      <c r="R204" s="246" t="str">
        <f t="shared" si="13"/>
        <v/>
      </c>
      <c r="S204" s="244"/>
    </row>
    <row r="205" spans="2:19" ht="18.5" x14ac:dyDescent="0.45">
      <c r="B205" s="244"/>
      <c r="C205" s="502"/>
      <c r="D205" s="502"/>
      <c r="E205" s="502"/>
      <c r="F205" s="502"/>
      <c r="G205" s="502"/>
      <c r="H205" s="502"/>
      <c r="I205" s="244"/>
      <c r="J205" s="516"/>
      <c r="K205" s="516"/>
      <c r="L205" s="517"/>
      <c r="M205" s="516" t="str">
        <f>IFERROR(INDEX('HCC Data Entry'!$J$4:$J$22, MATCH('HCC Detail w Diag'!$B205,'HCC Data Entry'!$I$4:$I$22,0)),"")</f>
        <v/>
      </c>
      <c r="N205" s="516" t="str">
        <f t="shared" si="12"/>
        <v/>
      </c>
      <c r="O205" s="518" t="str">
        <f t="shared" si="14"/>
        <v/>
      </c>
      <c r="P205" s="519" t="str">
        <f t="shared" si="15"/>
        <v/>
      </c>
      <c r="Q205" s="246"/>
      <c r="R205" s="246" t="str">
        <f t="shared" si="13"/>
        <v/>
      </c>
      <c r="S205" s="244"/>
    </row>
    <row r="206" spans="2:19" ht="18.5" x14ac:dyDescent="0.45">
      <c r="B206" s="244"/>
      <c r="C206" s="502"/>
      <c r="D206" s="502"/>
      <c r="E206" s="502"/>
      <c r="F206" s="502"/>
      <c r="G206" s="502"/>
      <c r="H206" s="502"/>
      <c r="I206" s="244"/>
      <c r="J206" s="516"/>
      <c r="K206" s="516"/>
      <c r="L206" s="517"/>
      <c r="M206" s="516" t="str">
        <f>IFERROR(INDEX('HCC Data Entry'!$J$4:$J$22, MATCH('HCC Detail w Diag'!$B206,'HCC Data Entry'!$I$4:$I$22,0)),"")</f>
        <v/>
      </c>
      <c r="N206" s="516" t="str">
        <f t="shared" si="12"/>
        <v/>
      </c>
      <c r="O206" s="518" t="str">
        <f t="shared" si="14"/>
        <v/>
      </c>
      <c r="P206" s="519" t="str">
        <f t="shared" si="15"/>
        <v/>
      </c>
      <c r="Q206" s="246"/>
      <c r="R206" s="246" t="str">
        <f t="shared" si="13"/>
        <v/>
      </c>
      <c r="S206" s="244"/>
    </row>
    <row r="207" spans="2:19" ht="18.5" x14ac:dyDescent="0.45">
      <c r="B207" s="244"/>
      <c r="C207" s="502"/>
      <c r="D207" s="502"/>
      <c r="E207" s="502"/>
      <c r="F207" s="502"/>
      <c r="G207" s="502"/>
      <c r="H207" s="502"/>
      <c r="I207" s="244"/>
      <c r="J207" s="516"/>
      <c r="K207" s="516"/>
      <c r="L207" s="517"/>
      <c r="M207" s="516" t="str">
        <f>IFERROR(INDEX('HCC Data Entry'!$J$4:$J$22, MATCH('HCC Detail w Diag'!$B207,'HCC Data Entry'!$I$4:$I$22,0)),"")</f>
        <v/>
      </c>
      <c r="N207" s="516" t="str">
        <f t="shared" si="12"/>
        <v/>
      </c>
      <c r="O207" s="518" t="str">
        <f t="shared" si="14"/>
        <v/>
      </c>
      <c r="P207" s="519" t="str">
        <f t="shared" si="15"/>
        <v/>
      </c>
      <c r="Q207" s="246"/>
      <c r="R207" s="246" t="str">
        <f t="shared" si="13"/>
        <v/>
      </c>
      <c r="S207" s="244"/>
    </row>
    <row r="208" spans="2:19" ht="18.5" x14ac:dyDescent="0.45">
      <c r="B208" s="244"/>
      <c r="C208" s="502"/>
      <c r="D208" s="502"/>
      <c r="E208" s="502"/>
      <c r="F208" s="502"/>
      <c r="G208" s="502"/>
      <c r="H208" s="502"/>
      <c r="I208" s="244"/>
      <c r="J208" s="516"/>
      <c r="K208" s="516"/>
      <c r="L208" s="517"/>
      <c r="M208" s="516" t="str">
        <f>IFERROR(INDEX('HCC Data Entry'!$J$4:$J$22, MATCH('HCC Detail w Diag'!$B208,'HCC Data Entry'!$I$4:$I$22,0)),"")</f>
        <v/>
      </c>
      <c r="N208" s="516" t="str">
        <f t="shared" si="12"/>
        <v/>
      </c>
      <c r="O208" s="518" t="str">
        <f t="shared" si="14"/>
        <v/>
      </c>
      <c r="P208" s="519" t="str">
        <f t="shared" si="15"/>
        <v/>
      </c>
      <c r="Q208" s="246"/>
      <c r="R208" s="246" t="str">
        <f t="shared" ref="R208:R239" si="16">IF(Q208="","",IF(Q208=0,0,P115-Q208))</f>
        <v/>
      </c>
      <c r="S208" s="244"/>
    </row>
    <row r="209" spans="2:19" ht="18.5" x14ac:dyDescent="0.45">
      <c r="B209" s="244"/>
      <c r="C209" s="502"/>
      <c r="D209" s="502"/>
      <c r="E209" s="502"/>
      <c r="F209" s="502"/>
      <c r="G209" s="502"/>
      <c r="H209" s="502"/>
      <c r="I209" s="244"/>
      <c r="J209" s="516"/>
      <c r="K209" s="516"/>
      <c r="L209" s="517"/>
      <c r="M209" s="516" t="str">
        <f>IFERROR(INDEX('HCC Data Entry'!$J$4:$J$22, MATCH('HCC Detail w Diag'!$B209,'HCC Data Entry'!$I$4:$I$22,0)),"")</f>
        <v/>
      </c>
      <c r="N209" s="516" t="str">
        <f t="shared" si="12"/>
        <v/>
      </c>
      <c r="O209" s="518" t="str">
        <f t="shared" si="14"/>
        <v/>
      </c>
      <c r="P209" s="519" t="str">
        <f t="shared" si="15"/>
        <v/>
      </c>
      <c r="Q209" s="246"/>
      <c r="R209" s="246" t="str">
        <f t="shared" si="16"/>
        <v/>
      </c>
      <c r="S209" s="244"/>
    </row>
    <row r="210" spans="2:19" ht="18.5" x14ac:dyDescent="0.45">
      <c r="B210" s="244"/>
      <c r="C210" s="502"/>
      <c r="D210" s="502"/>
      <c r="E210" s="502"/>
      <c r="F210" s="502"/>
      <c r="G210" s="502"/>
      <c r="H210" s="502"/>
      <c r="I210" s="244"/>
      <c r="J210" s="516"/>
      <c r="K210" s="516"/>
      <c r="L210" s="517"/>
      <c r="M210" s="516" t="str">
        <f>IFERROR(INDEX('HCC Data Entry'!$J$4:$J$22, MATCH('HCC Detail w Diag'!$B210,'HCC Data Entry'!$I$4:$I$22,0)),"")</f>
        <v/>
      </c>
      <c r="N210" s="516" t="str">
        <f t="shared" si="12"/>
        <v/>
      </c>
      <c r="O210" s="518" t="str">
        <f t="shared" si="14"/>
        <v/>
      </c>
      <c r="P210" s="519" t="str">
        <f t="shared" si="15"/>
        <v/>
      </c>
      <c r="Q210" s="246"/>
      <c r="R210" s="246" t="str">
        <f t="shared" si="16"/>
        <v/>
      </c>
      <c r="S210" s="244"/>
    </row>
    <row r="211" spans="2:19" ht="18.5" x14ac:dyDescent="0.45">
      <c r="B211" s="244"/>
      <c r="C211" s="502"/>
      <c r="D211" s="502"/>
      <c r="E211" s="502"/>
      <c r="F211" s="502"/>
      <c r="G211" s="502"/>
      <c r="H211" s="502"/>
      <c r="I211" s="244"/>
      <c r="J211" s="516"/>
      <c r="K211" s="516"/>
      <c r="L211" s="517"/>
      <c r="M211" s="516" t="str">
        <f>IFERROR(INDEX('HCC Data Entry'!$J$4:$J$22, MATCH('HCC Detail w Diag'!$B211,'HCC Data Entry'!$I$4:$I$22,0)),"")</f>
        <v/>
      </c>
      <c r="N211" s="516" t="str">
        <f t="shared" si="12"/>
        <v/>
      </c>
      <c r="O211" s="518" t="str">
        <f t="shared" si="14"/>
        <v/>
      </c>
      <c r="P211" s="519" t="str">
        <f t="shared" si="15"/>
        <v/>
      </c>
      <c r="Q211" s="246"/>
      <c r="R211" s="246" t="str">
        <f t="shared" si="16"/>
        <v/>
      </c>
      <c r="S211" s="244"/>
    </row>
    <row r="212" spans="2:19" ht="18.5" x14ac:dyDescent="0.45">
      <c r="B212" s="244"/>
      <c r="C212" s="502"/>
      <c r="D212" s="502"/>
      <c r="E212" s="502"/>
      <c r="F212" s="502"/>
      <c r="G212" s="502"/>
      <c r="H212" s="502"/>
      <c r="I212" s="244"/>
      <c r="J212" s="516"/>
      <c r="K212" s="516"/>
      <c r="L212" s="517"/>
      <c r="M212" s="516" t="str">
        <f>IFERROR(INDEX('HCC Data Entry'!$J$4:$J$22, MATCH('HCC Detail w Diag'!$B212,'HCC Data Entry'!$I$4:$I$22,0)),"")</f>
        <v/>
      </c>
      <c r="N212" s="516" t="str">
        <f t="shared" si="12"/>
        <v/>
      </c>
      <c r="O212" s="518" t="str">
        <f t="shared" si="14"/>
        <v/>
      </c>
      <c r="P212" s="519" t="str">
        <f t="shared" si="15"/>
        <v/>
      </c>
      <c r="Q212" s="246"/>
      <c r="R212" s="246" t="str">
        <f t="shared" si="16"/>
        <v/>
      </c>
      <c r="S212" s="244"/>
    </row>
    <row r="213" spans="2:19" ht="18.5" x14ac:dyDescent="0.45">
      <c r="B213" s="244"/>
      <c r="C213" s="502"/>
      <c r="D213" s="502"/>
      <c r="E213" s="502"/>
      <c r="F213" s="502"/>
      <c r="G213" s="502"/>
      <c r="H213" s="502"/>
      <c r="I213" s="244"/>
      <c r="J213" s="516"/>
      <c r="K213" s="516"/>
      <c r="L213" s="517"/>
      <c r="M213" s="516" t="str">
        <f>IFERROR(INDEX('HCC Data Entry'!$J$4:$J$22, MATCH('HCC Detail w Diag'!$B213,'HCC Data Entry'!$I$4:$I$22,0)),"")</f>
        <v/>
      </c>
      <c r="N213" s="516" t="str">
        <f t="shared" si="12"/>
        <v/>
      </c>
      <c r="O213" s="518" t="str">
        <f t="shared" si="14"/>
        <v/>
      </c>
      <c r="P213" s="519" t="str">
        <f t="shared" si="15"/>
        <v/>
      </c>
      <c r="Q213" s="246"/>
      <c r="R213" s="246" t="str">
        <f t="shared" si="16"/>
        <v/>
      </c>
      <c r="S213" s="244"/>
    </row>
    <row r="214" spans="2:19" ht="18.5" x14ac:dyDescent="0.45">
      <c r="B214" s="244"/>
      <c r="C214" s="502"/>
      <c r="D214" s="502"/>
      <c r="E214" s="502"/>
      <c r="F214" s="502"/>
      <c r="G214" s="502"/>
      <c r="H214" s="502"/>
      <c r="I214" s="244"/>
      <c r="J214" s="516"/>
      <c r="K214" s="516"/>
      <c r="L214" s="517"/>
      <c r="M214" s="516" t="str">
        <f>IFERROR(INDEX('HCC Data Entry'!$J$4:$J$22, MATCH('HCC Detail w Diag'!$B214,'HCC Data Entry'!$I$4:$I$22,0)),"")</f>
        <v/>
      </c>
      <c r="N214" s="516" t="str">
        <f t="shared" si="12"/>
        <v/>
      </c>
      <c r="O214" s="518" t="str">
        <f t="shared" si="14"/>
        <v/>
      </c>
      <c r="P214" s="519" t="str">
        <f t="shared" si="15"/>
        <v/>
      </c>
      <c r="Q214" s="246"/>
      <c r="R214" s="246" t="str">
        <f t="shared" si="16"/>
        <v/>
      </c>
      <c r="S214" s="244"/>
    </row>
    <row r="215" spans="2:19" ht="18.5" x14ac:dyDescent="0.45">
      <c r="B215" s="244"/>
      <c r="C215" s="502"/>
      <c r="D215" s="502"/>
      <c r="E215" s="502"/>
      <c r="F215" s="502"/>
      <c r="G215" s="502"/>
      <c r="H215" s="502"/>
      <c r="I215" s="244"/>
      <c r="J215" s="516"/>
      <c r="K215" s="516"/>
      <c r="L215" s="517"/>
      <c r="M215" s="516" t="str">
        <f>IFERROR(INDEX('HCC Data Entry'!$J$4:$J$22, MATCH('HCC Detail w Diag'!$B215,'HCC Data Entry'!$I$4:$I$22,0)),"")</f>
        <v/>
      </c>
      <c r="N215" s="516" t="str">
        <f t="shared" si="12"/>
        <v/>
      </c>
      <c r="O215" s="518" t="str">
        <f t="shared" si="14"/>
        <v/>
      </c>
      <c r="P215" s="519" t="str">
        <f t="shared" si="15"/>
        <v/>
      </c>
      <c r="Q215" s="246"/>
      <c r="R215" s="246" t="str">
        <f t="shared" si="16"/>
        <v/>
      </c>
      <c r="S215" s="244"/>
    </row>
    <row r="216" spans="2:19" ht="18.5" x14ac:dyDescent="0.45">
      <c r="B216" s="244"/>
      <c r="C216" s="502"/>
      <c r="D216" s="502"/>
      <c r="E216" s="502"/>
      <c r="F216" s="502"/>
      <c r="G216" s="502"/>
      <c r="H216" s="502"/>
      <c r="I216" s="244"/>
      <c r="J216" s="516"/>
      <c r="K216" s="516"/>
      <c r="L216" s="517"/>
      <c r="M216" s="516" t="str">
        <f>IFERROR(INDEX('HCC Data Entry'!$J$4:$J$22, MATCH('HCC Detail w Diag'!$B216,'HCC Data Entry'!$I$4:$I$22,0)),"")</f>
        <v/>
      </c>
      <c r="N216" s="516" t="str">
        <f t="shared" si="12"/>
        <v/>
      </c>
      <c r="O216" s="518" t="str">
        <f t="shared" si="14"/>
        <v/>
      </c>
      <c r="P216" s="519" t="str">
        <f t="shared" si="15"/>
        <v/>
      </c>
      <c r="Q216" s="246"/>
      <c r="R216" s="246" t="str">
        <f t="shared" si="16"/>
        <v/>
      </c>
      <c r="S216" s="244"/>
    </row>
    <row r="217" spans="2:19" ht="18.5" x14ac:dyDescent="0.45">
      <c r="B217" s="244"/>
      <c r="C217" s="502"/>
      <c r="D217" s="502"/>
      <c r="E217" s="502"/>
      <c r="F217" s="502"/>
      <c r="G217" s="502"/>
      <c r="H217" s="502"/>
      <c r="I217" s="244"/>
      <c r="J217" s="516"/>
      <c r="K217" s="516"/>
      <c r="L217" s="517"/>
      <c r="M217" s="516" t="str">
        <f>IFERROR(INDEX('HCC Data Entry'!$J$4:$J$22, MATCH('HCC Detail w Diag'!$B217,'HCC Data Entry'!$I$4:$I$22,0)),"")</f>
        <v/>
      </c>
      <c r="N217" s="516" t="str">
        <f t="shared" si="12"/>
        <v/>
      </c>
      <c r="O217" s="518" t="str">
        <f t="shared" si="14"/>
        <v/>
      </c>
      <c r="P217" s="519" t="str">
        <f t="shared" si="15"/>
        <v/>
      </c>
      <c r="Q217" s="246"/>
      <c r="R217" s="246" t="str">
        <f t="shared" si="16"/>
        <v/>
      </c>
      <c r="S217" s="244"/>
    </row>
    <row r="218" spans="2:19" ht="18.5" x14ac:dyDescent="0.45">
      <c r="B218" s="244"/>
      <c r="C218" s="502"/>
      <c r="D218" s="502"/>
      <c r="E218" s="502"/>
      <c r="F218" s="502"/>
      <c r="G218" s="502"/>
      <c r="H218" s="502"/>
      <c r="I218" s="244"/>
      <c r="J218" s="516"/>
      <c r="K218" s="516"/>
      <c r="L218" s="517"/>
      <c r="M218" s="516" t="str">
        <f>IFERROR(INDEX('HCC Data Entry'!$J$4:$J$22, MATCH('HCC Detail w Diag'!$B218,'HCC Data Entry'!$I$4:$I$22,0)),"")</f>
        <v/>
      </c>
      <c r="N218" s="516" t="str">
        <f t="shared" si="12"/>
        <v/>
      </c>
      <c r="O218" s="518" t="str">
        <f t="shared" si="14"/>
        <v/>
      </c>
      <c r="P218" s="519" t="str">
        <f t="shared" si="15"/>
        <v/>
      </c>
      <c r="Q218" s="246"/>
      <c r="R218" s="246" t="str">
        <f t="shared" si="16"/>
        <v/>
      </c>
      <c r="S218" s="244"/>
    </row>
    <row r="219" spans="2:19" ht="18.5" x14ac:dyDescent="0.45">
      <c r="B219" s="244"/>
      <c r="C219" s="502"/>
      <c r="D219" s="502"/>
      <c r="E219" s="502"/>
      <c r="F219" s="502"/>
      <c r="G219" s="502"/>
      <c r="H219" s="502"/>
      <c r="I219" s="244"/>
      <c r="J219" s="516"/>
      <c r="K219" s="516"/>
      <c r="L219" s="517"/>
      <c r="M219" s="516" t="str">
        <f>IFERROR(INDEX('HCC Data Entry'!$J$4:$J$22, MATCH('HCC Detail w Diag'!$B219,'HCC Data Entry'!$I$4:$I$22,0)),"")</f>
        <v/>
      </c>
      <c r="N219" s="516" t="str">
        <f t="shared" si="12"/>
        <v/>
      </c>
      <c r="O219" s="518" t="str">
        <f t="shared" si="14"/>
        <v/>
      </c>
      <c r="P219" s="519" t="str">
        <f t="shared" si="15"/>
        <v/>
      </c>
      <c r="Q219" s="246"/>
      <c r="R219" s="246" t="str">
        <f t="shared" si="16"/>
        <v/>
      </c>
      <c r="S219" s="244"/>
    </row>
    <row r="220" spans="2:19" ht="18.5" x14ac:dyDescent="0.45">
      <c r="B220" s="244"/>
      <c r="C220" s="502"/>
      <c r="D220" s="502"/>
      <c r="E220" s="502"/>
      <c r="F220" s="502"/>
      <c r="G220" s="502"/>
      <c r="H220" s="502"/>
      <c r="I220" s="244"/>
      <c r="J220" s="516"/>
      <c r="K220" s="516"/>
      <c r="L220" s="517"/>
      <c r="M220" s="516" t="str">
        <f>IFERROR(INDEX('HCC Data Entry'!$J$4:$J$22, MATCH('HCC Detail w Diag'!$B220,'HCC Data Entry'!$I$4:$I$22,0)),"")</f>
        <v/>
      </c>
      <c r="N220" s="516" t="str">
        <f t="shared" si="12"/>
        <v/>
      </c>
      <c r="O220" s="518" t="str">
        <f t="shared" si="14"/>
        <v/>
      </c>
      <c r="P220" s="519" t="str">
        <f t="shared" si="15"/>
        <v/>
      </c>
      <c r="Q220" s="246"/>
      <c r="R220" s="246" t="str">
        <f t="shared" si="16"/>
        <v/>
      </c>
      <c r="S220" s="244"/>
    </row>
    <row r="221" spans="2:19" ht="18.5" x14ac:dyDescent="0.45">
      <c r="B221" s="244"/>
      <c r="C221" s="502"/>
      <c r="D221" s="502"/>
      <c r="E221" s="502"/>
      <c r="F221" s="502"/>
      <c r="G221" s="502"/>
      <c r="H221" s="502"/>
      <c r="I221" s="244"/>
      <c r="J221" s="516"/>
      <c r="K221" s="516"/>
      <c r="L221" s="517"/>
      <c r="M221" s="516" t="str">
        <f>IFERROR(INDEX('HCC Data Entry'!$J$4:$J$22, MATCH('HCC Detail w Diag'!$B221,'HCC Data Entry'!$I$4:$I$22,0)),"")</f>
        <v/>
      </c>
      <c r="N221" s="516" t="str">
        <f t="shared" si="12"/>
        <v/>
      </c>
      <c r="O221" s="518" t="str">
        <f t="shared" si="14"/>
        <v/>
      </c>
      <c r="P221" s="519" t="str">
        <f t="shared" si="15"/>
        <v/>
      </c>
      <c r="Q221" s="246"/>
      <c r="R221" s="246" t="str">
        <f t="shared" si="16"/>
        <v/>
      </c>
      <c r="S221" s="244"/>
    </row>
    <row r="222" spans="2:19" ht="18.5" x14ac:dyDescent="0.45">
      <c r="B222" s="244"/>
      <c r="C222" s="502"/>
      <c r="D222" s="502"/>
      <c r="E222" s="502"/>
      <c r="F222" s="502"/>
      <c r="G222" s="502"/>
      <c r="H222" s="502"/>
      <c r="I222" s="244"/>
      <c r="J222" s="516"/>
      <c r="K222" s="516"/>
      <c r="L222" s="517"/>
      <c r="M222" s="516" t="str">
        <f>IFERROR(INDEX('HCC Data Entry'!$J$4:$J$22, MATCH('HCC Detail w Diag'!$B222,'HCC Data Entry'!$I$4:$I$22,0)),"")</f>
        <v/>
      </c>
      <c r="N222" s="516" t="str">
        <f t="shared" si="12"/>
        <v/>
      </c>
      <c r="O222" s="518" t="str">
        <f t="shared" si="14"/>
        <v/>
      </c>
      <c r="P222" s="519" t="str">
        <f t="shared" si="15"/>
        <v/>
      </c>
      <c r="Q222" s="246"/>
      <c r="R222" s="246" t="str">
        <f t="shared" si="16"/>
        <v/>
      </c>
      <c r="S222" s="244"/>
    </row>
    <row r="223" spans="2:19" ht="18.5" x14ac:dyDescent="0.45">
      <c r="B223" s="244"/>
      <c r="C223" s="502"/>
      <c r="D223" s="502"/>
      <c r="E223" s="502"/>
      <c r="F223" s="502"/>
      <c r="G223" s="502"/>
      <c r="H223" s="502"/>
      <c r="I223" s="244"/>
      <c r="J223" s="516"/>
      <c r="K223" s="516"/>
      <c r="L223" s="517"/>
      <c r="M223" s="516" t="str">
        <f>IFERROR(INDEX('HCC Data Entry'!$J$4:$J$22, MATCH('HCC Detail w Diag'!$B223,'HCC Data Entry'!$I$4:$I$22,0)),"")</f>
        <v/>
      </c>
      <c r="N223" s="516" t="str">
        <f t="shared" si="12"/>
        <v/>
      </c>
      <c r="O223" s="518" t="str">
        <f t="shared" si="14"/>
        <v/>
      </c>
      <c r="P223" s="519" t="str">
        <f t="shared" si="15"/>
        <v/>
      </c>
      <c r="Q223" s="246"/>
      <c r="R223" s="246" t="str">
        <f t="shared" si="16"/>
        <v/>
      </c>
      <c r="S223" s="244"/>
    </row>
    <row r="224" spans="2:19" ht="18.5" x14ac:dyDescent="0.45">
      <c r="B224" s="244"/>
      <c r="C224" s="502"/>
      <c r="D224" s="502"/>
      <c r="E224" s="502"/>
      <c r="F224" s="502"/>
      <c r="G224" s="502"/>
      <c r="H224" s="502"/>
      <c r="I224" s="244"/>
      <c r="J224" s="516"/>
      <c r="K224" s="516"/>
      <c r="L224" s="517"/>
      <c r="M224" s="516" t="str">
        <f>IFERROR(INDEX('HCC Data Entry'!$J$4:$J$22, MATCH('HCC Detail w Diag'!$B224,'HCC Data Entry'!$I$4:$I$22,0)),"")</f>
        <v/>
      </c>
      <c r="N224" s="516" t="str">
        <f t="shared" si="12"/>
        <v/>
      </c>
      <c r="O224" s="518" t="str">
        <f t="shared" si="14"/>
        <v/>
      </c>
      <c r="P224" s="519" t="str">
        <f t="shared" si="15"/>
        <v/>
      </c>
      <c r="Q224" s="246"/>
      <c r="R224" s="246" t="str">
        <f t="shared" si="16"/>
        <v/>
      </c>
      <c r="S224" s="244"/>
    </row>
    <row r="225" spans="2:19" ht="18.5" x14ac:dyDescent="0.45">
      <c r="B225" s="244"/>
      <c r="C225" s="502"/>
      <c r="D225" s="502"/>
      <c r="E225" s="502"/>
      <c r="F225" s="502"/>
      <c r="G225" s="502"/>
      <c r="H225" s="502"/>
      <c r="I225" s="244"/>
      <c r="J225" s="516"/>
      <c r="K225" s="516"/>
      <c r="L225" s="517"/>
      <c r="M225" s="516" t="str">
        <f>IFERROR(INDEX('HCC Data Entry'!$J$4:$J$22, MATCH('HCC Detail w Diag'!$B225,'HCC Data Entry'!$I$4:$I$22,0)),"")</f>
        <v/>
      </c>
      <c r="N225" s="516" t="str">
        <f t="shared" si="12"/>
        <v/>
      </c>
      <c r="O225" s="518" t="str">
        <f t="shared" si="14"/>
        <v/>
      </c>
      <c r="P225" s="519" t="str">
        <f t="shared" si="15"/>
        <v/>
      </c>
      <c r="Q225" s="246"/>
      <c r="R225" s="246" t="str">
        <f t="shared" si="16"/>
        <v/>
      </c>
      <c r="S225" s="244"/>
    </row>
    <row r="226" spans="2:19" ht="18.5" x14ac:dyDescent="0.45">
      <c r="B226" s="244"/>
      <c r="C226" s="502"/>
      <c r="D226" s="502"/>
      <c r="E226" s="502"/>
      <c r="F226" s="502"/>
      <c r="G226" s="502"/>
      <c r="H226" s="502"/>
      <c r="I226" s="244"/>
      <c r="J226" s="516"/>
      <c r="K226" s="516"/>
      <c r="L226" s="517"/>
      <c r="M226" s="516" t="str">
        <f>IFERROR(INDEX('HCC Data Entry'!$J$4:$J$22, MATCH('HCC Detail w Diag'!$B226,'HCC Data Entry'!$I$4:$I$22,0)),"")</f>
        <v/>
      </c>
      <c r="N226" s="516" t="str">
        <f t="shared" si="12"/>
        <v/>
      </c>
      <c r="O226" s="518" t="str">
        <f t="shared" si="14"/>
        <v/>
      </c>
      <c r="P226" s="519" t="str">
        <f t="shared" si="15"/>
        <v/>
      </c>
      <c r="Q226" s="246"/>
      <c r="R226" s="246" t="str">
        <f t="shared" si="16"/>
        <v/>
      </c>
      <c r="S226" s="244"/>
    </row>
    <row r="227" spans="2:19" ht="18.5" x14ac:dyDescent="0.45">
      <c r="B227" s="244"/>
      <c r="C227" s="502"/>
      <c r="D227" s="502"/>
      <c r="E227" s="502"/>
      <c r="F227" s="502"/>
      <c r="G227" s="502"/>
      <c r="H227" s="502"/>
      <c r="I227" s="244"/>
      <c r="J227" s="516"/>
      <c r="K227" s="516"/>
      <c r="L227" s="517"/>
      <c r="M227" s="516" t="str">
        <f>IFERROR(INDEX('HCC Data Entry'!$J$4:$J$22, MATCH('HCC Detail w Diag'!$B227,'HCC Data Entry'!$I$4:$I$22,0)),"")</f>
        <v/>
      </c>
      <c r="N227" s="516" t="str">
        <f t="shared" si="12"/>
        <v/>
      </c>
      <c r="O227" s="518" t="str">
        <f t="shared" si="14"/>
        <v/>
      </c>
      <c r="P227" s="519" t="str">
        <f t="shared" si="15"/>
        <v/>
      </c>
      <c r="Q227" s="246"/>
      <c r="R227" s="246" t="str">
        <f t="shared" si="16"/>
        <v/>
      </c>
      <c r="S227" s="244"/>
    </row>
    <row r="228" spans="2:19" ht="18.5" x14ac:dyDescent="0.45">
      <c r="B228" s="244"/>
      <c r="C228" s="502"/>
      <c r="D228" s="502"/>
      <c r="E228" s="502"/>
      <c r="F228" s="502"/>
      <c r="G228" s="502"/>
      <c r="H228" s="502"/>
      <c r="I228" s="244"/>
      <c r="J228" s="516"/>
      <c r="K228" s="516"/>
      <c r="L228" s="517"/>
      <c r="M228" s="516" t="str">
        <f>IFERROR(INDEX('HCC Data Entry'!$J$4:$J$22, MATCH('HCC Detail w Diag'!$B228,'HCC Data Entry'!$I$4:$I$22,0)),"")</f>
        <v/>
      </c>
      <c r="N228" s="516" t="str">
        <f t="shared" si="12"/>
        <v/>
      </c>
      <c r="O228" s="518" t="str">
        <f t="shared" si="14"/>
        <v/>
      </c>
      <c r="P228" s="519" t="str">
        <f t="shared" si="15"/>
        <v/>
      </c>
      <c r="Q228" s="246"/>
      <c r="R228" s="246" t="str">
        <f t="shared" si="16"/>
        <v/>
      </c>
      <c r="S228" s="244"/>
    </row>
    <row r="229" spans="2:19" ht="18.5" x14ac:dyDescent="0.45">
      <c r="B229" s="244"/>
      <c r="C229" s="502"/>
      <c r="D229" s="502"/>
      <c r="E229" s="502"/>
      <c r="F229" s="502"/>
      <c r="G229" s="502"/>
      <c r="H229" s="502"/>
      <c r="I229" s="244"/>
      <c r="J229" s="516"/>
      <c r="K229" s="516"/>
      <c r="L229" s="517"/>
      <c r="M229" s="516" t="str">
        <f>IFERROR(INDEX('HCC Data Entry'!$J$4:$J$22, MATCH('HCC Detail w Diag'!$B229,'HCC Data Entry'!$I$4:$I$22,0)),"")</f>
        <v/>
      </c>
      <c r="N229" s="516" t="str">
        <f t="shared" si="12"/>
        <v/>
      </c>
      <c r="O229" s="518" t="str">
        <f t="shared" si="14"/>
        <v/>
      </c>
      <c r="P229" s="519" t="str">
        <f t="shared" si="15"/>
        <v/>
      </c>
      <c r="Q229" s="246"/>
      <c r="R229" s="246" t="str">
        <f t="shared" si="16"/>
        <v/>
      </c>
      <c r="S229" s="244"/>
    </row>
    <row r="230" spans="2:19" ht="18.5" x14ac:dyDescent="0.45">
      <c r="B230" s="244"/>
      <c r="C230" s="502"/>
      <c r="D230" s="502"/>
      <c r="E230" s="502"/>
      <c r="F230" s="502"/>
      <c r="G230" s="502"/>
      <c r="H230" s="502"/>
      <c r="I230" s="244"/>
      <c r="J230" s="516"/>
      <c r="K230" s="516"/>
      <c r="L230" s="517"/>
      <c r="M230" s="516" t="str">
        <f>IFERROR(INDEX('HCC Data Entry'!$J$4:$J$22, MATCH('HCC Detail w Diag'!$B230,'HCC Data Entry'!$I$4:$I$22,0)),"")</f>
        <v/>
      </c>
      <c r="N230" s="516" t="str">
        <f t="shared" si="12"/>
        <v/>
      </c>
      <c r="O230" s="518" t="str">
        <f t="shared" si="14"/>
        <v/>
      </c>
      <c r="P230" s="519" t="str">
        <f t="shared" si="15"/>
        <v/>
      </c>
      <c r="Q230" s="246"/>
      <c r="R230" s="246" t="str">
        <f t="shared" si="16"/>
        <v/>
      </c>
      <c r="S230" s="244"/>
    </row>
    <row r="231" spans="2:19" ht="18.5" x14ac:dyDescent="0.45">
      <c r="B231" s="244"/>
      <c r="C231" s="502"/>
      <c r="D231" s="502"/>
      <c r="E231" s="502"/>
      <c r="F231" s="502"/>
      <c r="G231" s="502"/>
      <c r="H231" s="502"/>
      <c r="I231" s="244"/>
      <c r="J231" s="516"/>
      <c r="K231" s="516"/>
      <c r="L231" s="517"/>
      <c r="M231" s="516" t="str">
        <f>IFERROR(INDEX('HCC Data Entry'!$J$4:$J$22, MATCH('HCC Detail w Diag'!$B231,'HCC Data Entry'!$I$4:$I$22,0)),"")</f>
        <v/>
      </c>
      <c r="N231" s="516" t="str">
        <f t="shared" ref="N231:N294" si="17">IF(B231="","",IF(M231="Unknown", "", IF(L231&gt;M231,L231-M231,0)))</f>
        <v/>
      </c>
      <c r="O231" s="518" t="str">
        <f t="shared" si="14"/>
        <v/>
      </c>
      <c r="P231" s="519" t="str">
        <f t="shared" si="15"/>
        <v/>
      </c>
      <c r="Q231" s="246"/>
      <c r="R231" s="246" t="str">
        <f t="shared" si="16"/>
        <v/>
      </c>
      <c r="S231" s="244"/>
    </row>
    <row r="232" spans="2:19" ht="18.5" x14ac:dyDescent="0.45">
      <c r="B232" s="244"/>
      <c r="C232" s="502"/>
      <c r="D232" s="502"/>
      <c r="E232" s="502"/>
      <c r="F232" s="502"/>
      <c r="G232" s="502"/>
      <c r="H232" s="502"/>
      <c r="I232" s="244"/>
      <c r="J232" s="516"/>
      <c r="K232" s="516"/>
      <c r="L232" s="517"/>
      <c r="M232" s="516" t="str">
        <f>IFERROR(INDEX('HCC Data Entry'!$J$4:$J$22, MATCH('HCC Detail w Diag'!$B232,'HCC Data Entry'!$I$4:$I$22,0)),"")</f>
        <v/>
      </c>
      <c r="N232" s="516" t="str">
        <f t="shared" si="17"/>
        <v/>
      </c>
      <c r="O232" s="518" t="str">
        <f t="shared" si="14"/>
        <v/>
      </c>
      <c r="P232" s="519" t="str">
        <f t="shared" si="15"/>
        <v/>
      </c>
      <c r="Q232" s="246"/>
      <c r="R232" s="246" t="str">
        <f t="shared" si="16"/>
        <v/>
      </c>
      <c r="S232" s="244"/>
    </row>
    <row r="233" spans="2:19" ht="18.5" x14ac:dyDescent="0.45">
      <c r="B233" s="244"/>
      <c r="C233" s="502"/>
      <c r="D233" s="502"/>
      <c r="E233" s="502"/>
      <c r="F233" s="502"/>
      <c r="G233" s="502"/>
      <c r="H233" s="502"/>
      <c r="I233" s="244"/>
      <c r="J233" s="516"/>
      <c r="K233" s="516"/>
      <c r="L233" s="517"/>
      <c r="M233" s="516" t="str">
        <f>IFERROR(INDEX('HCC Data Entry'!$J$4:$J$22, MATCH('HCC Detail w Diag'!$B233,'HCC Data Entry'!$I$4:$I$22,0)),"")</f>
        <v/>
      </c>
      <c r="N233" s="516" t="str">
        <f t="shared" si="17"/>
        <v/>
      </c>
      <c r="O233" s="518" t="str">
        <f t="shared" si="14"/>
        <v/>
      </c>
      <c r="P233" s="519" t="str">
        <f t="shared" si="15"/>
        <v/>
      </c>
      <c r="Q233" s="246"/>
      <c r="R233" s="246" t="str">
        <f t="shared" si="16"/>
        <v/>
      </c>
      <c r="S233" s="244"/>
    </row>
    <row r="234" spans="2:19" ht="18.5" x14ac:dyDescent="0.45">
      <c r="B234" s="244"/>
      <c r="C234" s="502"/>
      <c r="D234" s="502"/>
      <c r="E234" s="502"/>
      <c r="F234" s="502"/>
      <c r="G234" s="502"/>
      <c r="H234" s="502"/>
      <c r="I234" s="244"/>
      <c r="J234" s="516"/>
      <c r="K234" s="516"/>
      <c r="L234" s="517"/>
      <c r="M234" s="516" t="str">
        <f>IFERROR(INDEX('HCC Data Entry'!$J$4:$J$22, MATCH('HCC Detail w Diag'!$B234,'HCC Data Entry'!$I$4:$I$22,0)),"")</f>
        <v/>
      </c>
      <c r="N234" s="516" t="str">
        <f t="shared" si="17"/>
        <v/>
      </c>
      <c r="O234" s="518" t="str">
        <f t="shared" si="14"/>
        <v/>
      </c>
      <c r="P234" s="519" t="str">
        <f t="shared" si="15"/>
        <v/>
      </c>
      <c r="Q234" s="246"/>
      <c r="R234" s="246" t="str">
        <f t="shared" si="16"/>
        <v/>
      </c>
      <c r="S234" s="244"/>
    </row>
    <row r="235" spans="2:19" ht="18.5" x14ac:dyDescent="0.45">
      <c r="B235" s="244"/>
      <c r="C235" s="502"/>
      <c r="D235" s="502"/>
      <c r="E235" s="502"/>
      <c r="F235" s="502"/>
      <c r="G235" s="502"/>
      <c r="H235" s="502"/>
      <c r="I235" s="244"/>
      <c r="J235" s="516"/>
      <c r="K235" s="516"/>
      <c r="L235" s="517"/>
      <c r="M235" s="516" t="str">
        <f>IFERROR(INDEX('HCC Data Entry'!$J$4:$J$22, MATCH('HCC Detail w Diag'!$B235,'HCC Data Entry'!$I$4:$I$22,0)),"")</f>
        <v/>
      </c>
      <c r="N235" s="516" t="str">
        <f t="shared" si="17"/>
        <v/>
      </c>
      <c r="O235" s="518" t="str">
        <f t="shared" si="14"/>
        <v/>
      </c>
      <c r="P235" s="519" t="str">
        <f t="shared" si="15"/>
        <v/>
      </c>
      <c r="Q235" s="246"/>
      <c r="R235" s="246" t="str">
        <f t="shared" si="16"/>
        <v/>
      </c>
      <c r="S235" s="244"/>
    </row>
    <row r="236" spans="2:19" ht="18.5" x14ac:dyDescent="0.45">
      <c r="B236" s="244"/>
      <c r="C236" s="502"/>
      <c r="D236" s="502"/>
      <c r="E236" s="502"/>
      <c r="F236" s="502"/>
      <c r="G236" s="502"/>
      <c r="H236" s="502"/>
      <c r="I236" s="244"/>
      <c r="J236" s="516"/>
      <c r="K236" s="516"/>
      <c r="L236" s="517"/>
      <c r="M236" s="516" t="str">
        <f>IFERROR(INDEX('HCC Data Entry'!$J$4:$J$22, MATCH('HCC Detail w Diag'!$B236,'HCC Data Entry'!$I$4:$I$22,0)),"")</f>
        <v/>
      </c>
      <c r="N236" s="516" t="str">
        <f t="shared" si="17"/>
        <v/>
      </c>
      <c r="O236" s="518" t="str">
        <f t="shared" si="14"/>
        <v/>
      </c>
      <c r="P236" s="519" t="str">
        <f t="shared" si="15"/>
        <v/>
      </c>
      <c r="Q236" s="246"/>
      <c r="R236" s="246" t="str">
        <f t="shared" si="16"/>
        <v/>
      </c>
      <c r="S236" s="244"/>
    </row>
    <row r="237" spans="2:19" ht="18.5" x14ac:dyDescent="0.45">
      <c r="B237" s="244"/>
      <c r="C237" s="502"/>
      <c r="D237" s="502"/>
      <c r="E237" s="502"/>
      <c r="F237" s="502"/>
      <c r="G237" s="502"/>
      <c r="H237" s="502"/>
      <c r="I237" s="244"/>
      <c r="J237" s="516"/>
      <c r="K237" s="516"/>
      <c r="L237" s="517"/>
      <c r="M237" s="516" t="str">
        <f>IFERROR(INDEX('HCC Data Entry'!$J$4:$J$22, MATCH('HCC Detail w Diag'!$B237,'HCC Data Entry'!$I$4:$I$22,0)),"")</f>
        <v/>
      </c>
      <c r="N237" s="516" t="str">
        <f t="shared" si="17"/>
        <v/>
      </c>
      <c r="O237" s="518" t="str">
        <f t="shared" si="14"/>
        <v/>
      </c>
      <c r="P237" s="519" t="str">
        <f t="shared" si="15"/>
        <v/>
      </c>
      <c r="Q237" s="246"/>
      <c r="R237" s="246" t="str">
        <f t="shared" si="16"/>
        <v/>
      </c>
      <c r="S237" s="244"/>
    </row>
    <row r="238" spans="2:19" ht="18.5" x14ac:dyDescent="0.45">
      <c r="B238" s="244"/>
      <c r="C238" s="502"/>
      <c r="D238" s="502"/>
      <c r="E238" s="502"/>
      <c r="F238" s="502"/>
      <c r="G238" s="502"/>
      <c r="H238" s="502"/>
      <c r="I238" s="244"/>
      <c r="J238" s="516"/>
      <c r="K238" s="516"/>
      <c r="L238" s="517"/>
      <c r="M238" s="516" t="str">
        <f>IFERROR(INDEX('HCC Data Entry'!$J$4:$J$22, MATCH('HCC Detail w Diag'!$B238,'HCC Data Entry'!$I$4:$I$22,0)),"")</f>
        <v/>
      </c>
      <c r="N238" s="516" t="str">
        <f t="shared" si="17"/>
        <v/>
      </c>
      <c r="O238" s="518" t="str">
        <f t="shared" si="14"/>
        <v/>
      </c>
      <c r="P238" s="519" t="str">
        <f t="shared" si="15"/>
        <v/>
      </c>
      <c r="Q238" s="246"/>
      <c r="R238" s="246" t="str">
        <f t="shared" si="16"/>
        <v/>
      </c>
      <c r="S238" s="244"/>
    </row>
    <row r="239" spans="2:19" ht="18.5" x14ac:dyDescent="0.45">
      <c r="B239" s="244"/>
      <c r="C239" s="502"/>
      <c r="D239" s="502"/>
      <c r="E239" s="502"/>
      <c r="F239" s="502"/>
      <c r="G239" s="502"/>
      <c r="H239" s="502"/>
      <c r="I239" s="244"/>
      <c r="J239" s="516"/>
      <c r="K239" s="516"/>
      <c r="L239" s="517"/>
      <c r="M239" s="516" t="str">
        <f>IFERROR(INDEX('HCC Data Entry'!$J$4:$J$22, MATCH('HCC Detail w Diag'!$B239,'HCC Data Entry'!$I$4:$I$22,0)),"")</f>
        <v/>
      </c>
      <c r="N239" s="516" t="str">
        <f t="shared" si="17"/>
        <v/>
      </c>
      <c r="O239" s="518" t="str">
        <f t="shared" si="14"/>
        <v/>
      </c>
      <c r="P239" s="519" t="str">
        <f t="shared" si="15"/>
        <v/>
      </c>
      <c r="Q239" s="246"/>
      <c r="R239" s="246" t="str">
        <f t="shared" si="16"/>
        <v/>
      </c>
      <c r="S239" s="244"/>
    </row>
    <row r="240" spans="2:19" ht="18.5" x14ac:dyDescent="0.45">
      <c r="B240" s="244"/>
      <c r="C240" s="502"/>
      <c r="D240" s="502"/>
      <c r="E240" s="502"/>
      <c r="F240" s="502"/>
      <c r="G240" s="502"/>
      <c r="H240" s="502"/>
      <c r="I240" s="244"/>
      <c r="J240" s="516"/>
      <c r="K240" s="516"/>
      <c r="L240" s="517"/>
      <c r="M240" s="516" t="str">
        <f>IFERROR(INDEX('HCC Data Entry'!$J$4:$J$22, MATCH('HCC Detail w Diag'!$B240,'HCC Data Entry'!$I$4:$I$22,0)),"")</f>
        <v/>
      </c>
      <c r="N240" s="516" t="str">
        <f t="shared" si="17"/>
        <v/>
      </c>
      <c r="O240" s="518" t="str">
        <f t="shared" si="14"/>
        <v/>
      </c>
      <c r="P240" s="519" t="str">
        <f t="shared" si="15"/>
        <v/>
      </c>
      <c r="Q240" s="246"/>
      <c r="R240" s="246" t="str">
        <f t="shared" ref="R240:R271" si="18">IF(Q240="","",IF(Q240=0,0,P147-Q240))</f>
        <v/>
      </c>
      <c r="S240" s="244"/>
    </row>
    <row r="241" spans="2:19" ht="18.5" x14ac:dyDescent="0.45">
      <c r="B241" s="244"/>
      <c r="C241" s="502"/>
      <c r="D241" s="502"/>
      <c r="E241" s="502"/>
      <c r="F241" s="502"/>
      <c r="G241" s="502"/>
      <c r="H241" s="502"/>
      <c r="I241" s="244"/>
      <c r="J241" s="516"/>
      <c r="K241" s="516"/>
      <c r="L241" s="517"/>
      <c r="M241" s="516" t="str">
        <f>IFERROR(INDEX('HCC Data Entry'!$J$4:$J$22, MATCH('HCC Detail w Diag'!$B241,'HCC Data Entry'!$I$4:$I$22,0)),"")</f>
        <v/>
      </c>
      <c r="N241" s="516" t="str">
        <f t="shared" si="17"/>
        <v/>
      </c>
      <c r="O241" s="518" t="str">
        <f t="shared" si="14"/>
        <v/>
      </c>
      <c r="P241" s="519" t="str">
        <f t="shared" si="15"/>
        <v/>
      </c>
      <c r="Q241" s="246"/>
      <c r="R241" s="246" t="str">
        <f t="shared" si="18"/>
        <v/>
      </c>
      <c r="S241" s="244"/>
    </row>
    <row r="242" spans="2:19" ht="18.5" x14ac:dyDescent="0.45">
      <c r="B242" s="244"/>
      <c r="C242" s="502"/>
      <c r="D242" s="502"/>
      <c r="E242" s="502"/>
      <c r="F242" s="502"/>
      <c r="G242" s="502"/>
      <c r="H242" s="502"/>
      <c r="I242" s="244"/>
      <c r="J242" s="516"/>
      <c r="K242" s="516"/>
      <c r="L242" s="517"/>
      <c r="M242" s="516" t="str">
        <f>IFERROR(INDEX('HCC Data Entry'!$J$4:$J$22, MATCH('HCC Detail w Diag'!$B242,'HCC Data Entry'!$I$4:$I$22,0)),"")</f>
        <v/>
      </c>
      <c r="N242" s="516" t="str">
        <f t="shared" si="17"/>
        <v/>
      </c>
      <c r="O242" s="518" t="str">
        <f t="shared" si="14"/>
        <v/>
      </c>
      <c r="P242" s="519" t="str">
        <f t="shared" si="15"/>
        <v/>
      </c>
      <c r="Q242" s="246"/>
      <c r="R242" s="246" t="str">
        <f t="shared" si="18"/>
        <v/>
      </c>
      <c r="S242" s="244"/>
    </row>
    <row r="243" spans="2:19" ht="18.5" x14ac:dyDescent="0.45">
      <c r="B243" s="244"/>
      <c r="C243" s="502"/>
      <c r="D243" s="502"/>
      <c r="E243" s="502"/>
      <c r="F243" s="502"/>
      <c r="G243" s="502"/>
      <c r="H243" s="502"/>
      <c r="I243" s="244"/>
      <c r="J243" s="516"/>
      <c r="K243" s="516"/>
      <c r="L243" s="517"/>
      <c r="M243" s="516" t="str">
        <f>IFERROR(INDEX('HCC Data Entry'!$J$4:$J$22, MATCH('HCC Detail w Diag'!$B243,'HCC Data Entry'!$I$4:$I$22,0)),"")</f>
        <v/>
      </c>
      <c r="N243" s="516" t="str">
        <f t="shared" si="17"/>
        <v/>
      </c>
      <c r="O243" s="518" t="str">
        <f t="shared" si="14"/>
        <v/>
      </c>
      <c r="P243" s="519" t="str">
        <f t="shared" si="15"/>
        <v/>
      </c>
      <c r="Q243" s="246"/>
      <c r="R243" s="246" t="str">
        <f t="shared" si="18"/>
        <v/>
      </c>
      <c r="S243" s="244"/>
    </row>
    <row r="244" spans="2:19" ht="18.5" x14ac:dyDescent="0.45">
      <c r="B244" s="244"/>
      <c r="C244" s="502"/>
      <c r="D244" s="502"/>
      <c r="E244" s="502"/>
      <c r="F244" s="502"/>
      <c r="G244" s="502"/>
      <c r="H244" s="502"/>
      <c r="I244" s="244"/>
      <c r="J244" s="516"/>
      <c r="K244" s="516"/>
      <c r="L244" s="517"/>
      <c r="M244" s="516" t="str">
        <f>IFERROR(INDEX('HCC Data Entry'!$J$4:$J$22, MATCH('HCC Detail w Diag'!$B244,'HCC Data Entry'!$I$4:$I$22,0)),"")</f>
        <v/>
      </c>
      <c r="N244" s="516" t="str">
        <f t="shared" si="17"/>
        <v/>
      </c>
      <c r="O244" s="518" t="str">
        <f t="shared" si="14"/>
        <v/>
      </c>
      <c r="P244" s="519" t="str">
        <f t="shared" si="15"/>
        <v/>
      </c>
      <c r="Q244" s="246"/>
      <c r="R244" s="246" t="str">
        <f t="shared" si="18"/>
        <v/>
      </c>
      <c r="S244" s="244"/>
    </row>
    <row r="245" spans="2:19" ht="18.5" x14ac:dyDescent="0.45">
      <c r="B245" s="244"/>
      <c r="C245" s="502"/>
      <c r="D245" s="502"/>
      <c r="E245" s="502"/>
      <c r="F245" s="502"/>
      <c r="G245" s="502"/>
      <c r="H245" s="502"/>
      <c r="I245" s="244"/>
      <c r="J245" s="516"/>
      <c r="K245" s="516"/>
      <c r="L245" s="517"/>
      <c r="M245" s="516" t="str">
        <f>IFERROR(INDEX('HCC Data Entry'!$J$4:$J$22, MATCH('HCC Detail w Diag'!$B245,'HCC Data Entry'!$I$4:$I$22,0)),"")</f>
        <v/>
      </c>
      <c r="N245" s="516" t="str">
        <f t="shared" si="17"/>
        <v/>
      </c>
      <c r="O245" s="518" t="str">
        <f t="shared" si="14"/>
        <v/>
      </c>
      <c r="P245" s="519" t="str">
        <f t="shared" si="15"/>
        <v/>
      </c>
      <c r="Q245" s="246"/>
      <c r="R245" s="246" t="str">
        <f t="shared" si="18"/>
        <v/>
      </c>
      <c r="S245" s="244"/>
    </row>
    <row r="246" spans="2:19" ht="18.5" x14ac:dyDescent="0.45">
      <c r="B246" s="244"/>
      <c r="C246" s="502"/>
      <c r="D246" s="502"/>
      <c r="E246" s="502"/>
      <c r="F246" s="502"/>
      <c r="G246" s="502"/>
      <c r="H246" s="502"/>
      <c r="I246" s="244"/>
      <c r="J246" s="516"/>
      <c r="K246" s="516"/>
      <c r="L246" s="517"/>
      <c r="M246" s="516" t="str">
        <f>IFERROR(INDEX('HCC Data Entry'!$J$4:$J$22, MATCH('HCC Detail w Diag'!$B246,'HCC Data Entry'!$I$4:$I$22,0)),"")</f>
        <v/>
      </c>
      <c r="N246" s="516" t="str">
        <f t="shared" si="17"/>
        <v/>
      </c>
      <c r="O246" s="518" t="str">
        <f t="shared" si="14"/>
        <v/>
      </c>
      <c r="P246" s="519" t="str">
        <f t="shared" si="15"/>
        <v/>
      </c>
      <c r="Q246" s="246"/>
      <c r="R246" s="246" t="str">
        <f t="shared" si="18"/>
        <v/>
      </c>
      <c r="S246" s="244"/>
    </row>
    <row r="247" spans="2:19" ht="18.5" x14ac:dyDescent="0.45">
      <c r="B247" s="244"/>
      <c r="C247" s="502"/>
      <c r="D247" s="502"/>
      <c r="E247" s="502"/>
      <c r="F247" s="502"/>
      <c r="G247" s="502"/>
      <c r="H247" s="502"/>
      <c r="I247" s="244"/>
      <c r="J247" s="516"/>
      <c r="K247" s="516"/>
      <c r="L247" s="517"/>
      <c r="M247" s="516" t="str">
        <f>IFERROR(INDEX('HCC Data Entry'!$J$4:$J$22, MATCH('HCC Detail w Diag'!$B247,'HCC Data Entry'!$I$4:$I$22,0)),"")</f>
        <v/>
      </c>
      <c r="N247" s="516" t="str">
        <f t="shared" si="17"/>
        <v/>
      </c>
      <c r="O247" s="518" t="str">
        <f t="shared" si="14"/>
        <v/>
      </c>
      <c r="P247" s="519" t="str">
        <f t="shared" si="15"/>
        <v/>
      </c>
      <c r="Q247" s="246"/>
      <c r="R247" s="246" t="str">
        <f t="shared" si="18"/>
        <v/>
      </c>
      <c r="S247" s="244"/>
    </row>
    <row r="248" spans="2:19" ht="18.5" x14ac:dyDescent="0.45">
      <c r="B248" s="244"/>
      <c r="C248" s="502"/>
      <c r="D248" s="502"/>
      <c r="E248" s="502"/>
      <c r="F248" s="502"/>
      <c r="G248" s="502"/>
      <c r="H248" s="502"/>
      <c r="I248" s="244"/>
      <c r="J248" s="516"/>
      <c r="K248" s="516"/>
      <c r="L248" s="517"/>
      <c r="M248" s="516" t="str">
        <f>IFERROR(INDEX('HCC Data Entry'!$J$4:$J$22, MATCH('HCC Detail w Diag'!$B248,'HCC Data Entry'!$I$4:$I$22,0)),"")</f>
        <v/>
      </c>
      <c r="N248" s="516" t="str">
        <f t="shared" si="17"/>
        <v/>
      </c>
      <c r="O248" s="518" t="str">
        <f t="shared" si="14"/>
        <v/>
      </c>
      <c r="P248" s="519" t="str">
        <f t="shared" si="15"/>
        <v/>
      </c>
      <c r="Q248" s="246"/>
      <c r="R248" s="246" t="str">
        <f t="shared" si="18"/>
        <v/>
      </c>
      <c r="S248" s="244"/>
    </row>
    <row r="249" spans="2:19" ht="18.5" x14ac:dyDescent="0.45">
      <c r="B249" s="244"/>
      <c r="C249" s="502"/>
      <c r="D249" s="502"/>
      <c r="E249" s="502"/>
      <c r="F249" s="502"/>
      <c r="G249" s="502"/>
      <c r="H249" s="502"/>
      <c r="I249" s="244"/>
      <c r="J249" s="516"/>
      <c r="K249" s="516"/>
      <c r="L249" s="517"/>
      <c r="M249" s="516" t="str">
        <f>IFERROR(INDEX('HCC Data Entry'!$J$4:$J$22, MATCH('HCC Detail w Diag'!$B249,'HCC Data Entry'!$I$4:$I$22,0)),"")</f>
        <v/>
      </c>
      <c r="N249" s="516" t="str">
        <f t="shared" si="17"/>
        <v/>
      </c>
      <c r="O249" s="518" t="str">
        <f t="shared" si="14"/>
        <v/>
      </c>
      <c r="P249" s="519" t="str">
        <f t="shared" si="15"/>
        <v/>
      </c>
      <c r="Q249" s="246"/>
      <c r="R249" s="246" t="str">
        <f t="shared" si="18"/>
        <v/>
      </c>
      <c r="S249" s="244"/>
    </row>
    <row r="250" spans="2:19" ht="18.5" x14ac:dyDescent="0.45">
      <c r="B250" s="244"/>
      <c r="C250" s="502"/>
      <c r="D250" s="502"/>
      <c r="E250" s="502"/>
      <c r="F250" s="502"/>
      <c r="G250" s="502"/>
      <c r="H250" s="502"/>
      <c r="I250" s="244"/>
      <c r="J250" s="516"/>
      <c r="K250" s="516"/>
      <c r="L250" s="517"/>
      <c r="M250" s="516" t="str">
        <f>IFERROR(INDEX('HCC Data Entry'!$J$4:$J$22, MATCH('HCC Detail w Diag'!$B250,'HCC Data Entry'!$I$4:$I$22,0)),"")</f>
        <v/>
      </c>
      <c r="N250" s="516" t="str">
        <f t="shared" si="17"/>
        <v/>
      </c>
      <c r="O250" s="518" t="str">
        <f t="shared" si="14"/>
        <v/>
      </c>
      <c r="P250" s="519" t="str">
        <f t="shared" si="15"/>
        <v/>
      </c>
      <c r="Q250" s="246"/>
      <c r="R250" s="246" t="str">
        <f t="shared" si="18"/>
        <v/>
      </c>
      <c r="S250" s="244"/>
    </row>
    <row r="251" spans="2:19" ht="18.5" x14ac:dyDescent="0.45">
      <c r="B251" s="244"/>
      <c r="C251" s="502"/>
      <c r="D251" s="502"/>
      <c r="E251" s="502"/>
      <c r="F251" s="502"/>
      <c r="G251" s="502"/>
      <c r="H251" s="502"/>
      <c r="I251" s="244"/>
      <c r="J251" s="516"/>
      <c r="K251" s="516"/>
      <c r="L251" s="517"/>
      <c r="M251" s="516" t="str">
        <f>IFERROR(INDEX('HCC Data Entry'!$J$4:$J$22, MATCH('HCC Detail w Diag'!$B251,'HCC Data Entry'!$I$4:$I$22,0)),"")</f>
        <v/>
      </c>
      <c r="N251" s="516" t="str">
        <f t="shared" si="17"/>
        <v/>
      </c>
      <c r="O251" s="518" t="str">
        <f t="shared" si="14"/>
        <v/>
      </c>
      <c r="P251" s="519" t="str">
        <f t="shared" si="15"/>
        <v/>
      </c>
      <c r="Q251" s="246"/>
      <c r="R251" s="246" t="str">
        <f t="shared" si="18"/>
        <v/>
      </c>
      <c r="S251" s="244"/>
    </row>
    <row r="252" spans="2:19" ht="18.5" x14ac:dyDescent="0.45">
      <c r="B252" s="244"/>
      <c r="C252" s="502"/>
      <c r="D252" s="502"/>
      <c r="E252" s="502"/>
      <c r="F252" s="502"/>
      <c r="G252" s="502"/>
      <c r="H252" s="502"/>
      <c r="I252" s="244"/>
      <c r="J252" s="516"/>
      <c r="K252" s="516"/>
      <c r="L252" s="517"/>
      <c r="M252" s="516" t="str">
        <f>IFERROR(INDEX('HCC Data Entry'!$J$4:$J$22, MATCH('HCC Detail w Diag'!$B252,'HCC Data Entry'!$I$4:$I$22,0)),"")</f>
        <v/>
      </c>
      <c r="N252" s="516" t="str">
        <f t="shared" si="17"/>
        <v/>
      </c>
      <c r="O252" s="518" t="str">
        <f t="shared" si="14"/>
        <v/>
      </c>
      <c r="P252" s="519" t="str">
        <f t="shared" si="15"/>
        <v/>
      </c>
      <c r="Q252" s="246"/>
      <c r="R252" s="246" t="str">
        <f t="shared" si="18"/>
        <v/>
      </c>
      <c r="S252" s="244"/>
    </row>
    <row r="253" spans="2:19" ht="18.5" x14ac:dyDescent="0.45">
      <c r="B253" s="244"/>
      <c r="C253" s="502"/>
      <c r="D253" s="502"/>
      <c r="E253" s="502"/>
      <c r="F253" s="502"/>
      <c r="G253" s="502"/>
      <c r="H253" s="502"/>
      <c r="I253" s="244"/>
      <c r="J253" s="516"/>
      <c r="K253" s="516"/>
      <c r="L253" s="517"/>
      <c r="M253" s="516" t="str">
        <f>IFERROR(INDEX('HCC Data Entry'!$J$4:$J$22, MATCH('HCC Detail w Diag'!$B253,'HCC Data Entry'!$I$4:$I$22,0)),"")</f>
        <v/>
      </c>
      <c r="N253" s="516" t="str">
        <f t="shared" si="17"/>
        <v/>
      </c>
      <c r="O253" s="518" t="str">
        <f t="shared" si="14"/>
        <v/>
      </c>
      <c r="P253" s="519" t="str">
        <f t="shared" si="15"/>
        <v/>
      </c>
      <c r="Q253" s="246"/>
      <c r="R253" s="246" t="str">
        <f t="shared" si="18"/>
        <v/>
      </c>
      <c r="S253" s="244"/>
    </row>
    <row r="254" spans="2:19" ht="18.5" x14ac:dyDescent="0.45">
      <c r="B254" s="244"/>
      <c r="C254" s="502"/>
      <c r="D254" s="502"/>
      <c r="E254" s="502"/>
      <c r="F254" s="502"/>
      <c r="G254" s="502"/>
      <c r="H254" s="502"/>
      <c r="I254" s="244"/>
      <c r="J254" s="516"/>
      <c r="K254" s="516"/>
      <c r="L254" s="517"/>
      <c r="M254" s="516" t="str">
        <f>IFERROR(INDEX('HCC Data Entry'!$J$4:$J$22, MATCH('HCC Detail w Diag'!$B254,'HCC Data Entry'!$I$4:$I$22,0)),"")</f>
        <v/>
      </c>
      <c r="N254" s="516" t="str">
        <f t="shared" si="17"/>
        <v/>
      </c>
      <c r="O254" s="518" t="str">
        <f t="shared" si="14"/>
        <v/>
      </c>
      <c r="P254" s="519" t="str">
        <f t="shared" si="15"/>
        <v/>
      </c>
      <c r="Q254" s="246"/>
      <c r="R254" s="246" t="str">
        <f t="shared" si="18"/>
        <v/>
      </c>
      <c r="S254" s="244"/>
    </row>
    <row r="255" spans="2:19" ht="18.5" x14ac:dyDescent="0.45">
      <c r="B255" s="244"/>
      <c r="C255" s="502"/>
      <c r="D255" s="502"/>
      <c r="E255" s="502"/>
      <c r="F255" s="502"/>
      <c r="G255" s="502"/>
      <c r="H255" s="502"/>
      <c r="I255" s="244"/>
      <c r="J255" s="516"/>
      <c r="K255" s="516"/>
      <c r="L255" s="517"/>
      <c r="M255" s="516" t="str">
        <f>IFERROR(INDEX('HCC Data Entry'!$J$4:$J$22, MATCH('HCC Detail w Diag'!$B255,'HCC Data Entry'!$I$4:$I$22,0)),"")</f>
        <v/>
      </c>
      <c r="N255" s="516" t="str">
        <f t="shared" si="17"/>
        <v/>
      </c>
      <c r="O255" s="518" t="str">
        <f t="shared" si="14"/>
        <v/>
      </c>
      <c r="P255" s="519" t="str">
        <f t="shared" si="15"/>
        <v/>
      </c>
      <c r="Q255" s="246"/>
      <c r="R255" s="246" t="str">
        <f t="shared" si="18"/>
        <v/>
      </c>
      <c r="S255" s="244"/>
    </row>
    <row r="256" spans="2:19" ht="18.5" x14ac:dyDescent="0.45">
      <c r="B256" s="244"/>
      <c r="C256" s="502"/>
      <c r="D256" s="502"/>
      <c r="E256" s="502"/>
      <c r="F256" s="502"/>
      <c r="G256" s="502"/>
      <c r="H256" s="502"/>
      <c r="I256" s="244"/>
      <c r="J256" s="516"/>
      <c r="K256" s="516"/>
      <c r="L256" s="517"/>
      <c r="M256" s="516" t="str">
        <f>IFERROR(INDEX('HCC Data Entry'!$J$4:$J$22, MATCH('HCC Detail w Diag'!$B256,'HCC Data Entry'!$I$4:$I$22,0)),"")</f>
        <v/>
      </c>
      <c r="N256" s="516" t="str">
        <f t="shared" si="17"/>
        <v/>
      </c>
      <c r="O256" s="518" t="str">
        <f t="shared" si="14"/>
        <v/>
      </c>
      <c r="P256" s="519" t="str">
        <f t="shared" si="15"/>
        <v/>
      </c>
      <c r="Q256" s="246"/>
      <c r="R256" s="246" t="str">
        <f t="shared" si="18"/>
        <v/>
      </c>
      <c r="S256" s="244"/>
    </row>
    <row r="257" spans="2:19" ht="18.5" x14ac:dyDescent="0.45">
      <c r="B257" s="244"/>
      <c r="C257" s="502"/>
      <c r="D257" s="502"/>
      <c r="E257" s="502"/>
      <c r="F257" s="502"/>
      <c r="G257" s="502"/>
      <c r="H257" s="502"/>
      <c r="I257" s="244"/>
      <c r="J257" s="516"/>
      <c r="K257" s="516"/>
      <c r="L257" s="517"/>
      <c r="M257" s="516" t="str">
        <f>IFERROR(INDEX('HCC Data Entry'!$J$4:$J$22, MATCH('HCC Detail w Diag'!$B257,'HCC Data Entry'!$I$4:$I$22,0)),"")</f>
        <v/>
      </c>
      <c r="N257" s="516" t="str">
        <f t="shared" si="17"/>
        <v/>
      </c>
      <c r="O257" s="518" t="str">
        <f t="shared" si="14"/>
        <v/>
      </c>
      <c r="P257" s="519" t="str">
        <f t="shared" si="15"/>
        <v/>
      </c>
      <c r="Q257" s="246"/>
      <c r="R257" s="246" t="str">
        <f t="shared" si="18"/>
        <v/>
      </c>
      <c r="S257" s="244"/>
    </row>
    <row r="258" spans="2:19" ht="18.5" x14ac:dyDescent="0.45">
      <c r="B258" s="244"/>
      <c r="C258" s="502"/>
      <c r="D258" s="502"/>
      <c r="E258" s="502"/>
      <c r="F258" s="502"/>
      <c r="G258" s="502"/>
      <c r="H258" s="502"/>
      <c r="I258" s="244"/>
      <c r="J258" s="516"/>
      <c r="K258" s="516"/>
      <c r="L258" s="517"/>
      <c r="M258" s="516" t="str">
        <f>IFERROR(INDEX('HCC Data Entry'!$J$4:$J$22, MATCH('HCC Detail w Diag'!$B258,'HCC Data Entry'!$I$4:$I$22,0)),"")</f>
        <v/>
      </c>
      <c r="N258" s="516" t="str">
        <f t="shared" si="17"/>
        <v/>
      </c>
      <c r="O258" s="518" t="str">
        <f t="shared" si="14"/>
        <v/>
      </c>
      <c r="P258" s="519" t="str">
        <f t="shared" si="15"/>
        <v/>
      </c>
      <c r="Q258" s="246"/>
      <c r="R258" s="246" t="str">
        <f t="shared" si="18"/>
        <v/>
      </c>
      <c r="S258" s="244"/>
    </row>
    <row r="259" spans="2:19" ht="18.5" x14ac:dyDescent="0.45">
      <c r="B259" s="244"/>
      <c r="C259" s="502"/>
      <c r="D259" s="502"/>
      <c r="E259" s="502"/>
      <c r="F259" s="502"/>
      <c r="G259" s="502"/>
      <c r="H259" s="502"/>
      <c r="I259" s="244"/>
      <c r="J259" s="516"/>
      <c r="K259" s="516"/>
      <c r="L259" s="517"/>
      <c r="M259" s="516" t="str">
        <f>IFERROR(INDEX('HCC Data Entry'!$J$4:$J$22, MATCH('HCC Detail w Diag'!$B259,'HCC Data Entry'!$I$4:$I$22,0)),"")</f>
        <v/>
      </c>
      <c r="N259" s="516" t="str">
        <f t="shared" si="17"/>
        <v/>
      </c>
      <c r="O259" s="518" t="str">
        <f t="shared" si="14"/>
        <v/>
      </c>
      <c r="P259" s="519" t="str">
        <f t="shared" si="15"/>
        <v/>
      </c>
      <c r="Q259" s="246"/>
      <c r="R259" s="246" t="str">
        <f t="shared" si="18"/>
        <v/>
      </c>
      <c r="S259" s="244"/>
    </row>
    <row r="260" spans="2:19" ht="18.5" x14ac:dyDescent="0.45">
      <c r="B260" s="244"/>
      <c r="C260" s="502"/>
      <c r="D260" s="502"/>
      <c r="E260" s="502"/>
      <c r="F260" s="502"/>
      <c r="G260" s="502"/>
      <c r="H260" s="502"/>
      <c r="I260" s="244"/>
      <c r="J260" s="516"/>
      <c r="K260" s="516"/>
      <c r="L260" s="517"/>
      <c r="M260" s="516" t="str">
        <f>IFERROR(INDEX('HCC Data Entry'!$J$4:$J$22, MATCH('HCC Detail w Diag'!$B260,'HCC Data Entry'!$I$4:$I$22,0)),"")</f>
        <v/>
      </c>
      <c r="N260" s="516" t="str">
        <f t="shared" si="17"/>
        <v/>
      </c>
      <c r="O260" s="518" t="str">
        <f t="shared" si="14"/>
        <v/>
      </c>
      <c r="P260" s="519" t="str">
        <f t="shared" si="15"/>
        <v/>
      </c>
      <c r="Q260" s="246"/>
      <c r="R260" s="246" t="str">
        <f t="shared" si="18"/>
        <v/>
      </c>
      <c r="S260" s="244"/>
    </row>
    <row r="261" spans="2:19" ht="18.5" x14ac:dyDescent="0.45">
      <c r="B261" s="244"/>
      <c r="C261" s="502"/>
      <c r="D261" s="502"/>
      <c r="E261" s="502"/>
      <c r="F261" s="502"/>
      <c r="G261" s="502"/>
      <c r="H261" s="502"/>
      <c r="I261" s="244"/>
      <c r="J261" s="516"/>
      <c r="K261" s="516"/>
      <c r="L261" s="517"/>
      <c r="M261" s="516" t="str">
        <f>IFERROR(INDEX('HCC Data Entry'!$J$4:$J$22, MATCH('HCC Detail w Diag'!$B261,'HCC Data Entry'!$I$4:$I$22,0)),"")</f>
        <v/>
      </c>
      <c r="N261" s="516" t="str">
        <f t="shared" si="17"/>
        <v/>
      </c>
      <c r="O261" s="518" t="str">
        <f t="shared" ref="O261:O324" si="19">IF(N261="","",IF(N261=0,0, IF(L261&gt;$U$4,($U$4-M261),N261)))</f>
        <v/>
      </c>
      <c r="P261" s="519" t="str">
        <f t="shared" ref="P261:P324" si="20">IF(O261="","",IF(O261=0,0,IF(L261&gt;$U$4,L261-$U$4,0)))</f>
        <v/>
      </c>
      <c r="Q261" s="246"/>
      <c r="R261" s="246" t="str">
        <f t="shared" si="18"/>
        <v/>
      </c>
      <c r="S261" s="244"/>
    </row>
    <row r="262" spans="2:19" ht="18.5" x14ac:dyDescent="0.45">
      <c r="B262" s="244"/>
      <c r="C262" s="502"/>
      <c r="D262" s="502"/>
      <c r="E262" s="502"/>
      <c r="F262" s="502"/>
      <c r="G262" s="502"/>
      <c r="H262" s="502"/>
      <c r="I262" s="244"/>
      <c r="J262" s="516"/>
      <c r="K262" s="516"/>
      <c r="L262" s="517"/>
      <c r="M262" s="516" t="str">
        <f>IFERROR(INDEX('HCC Data Entry'!$J$4:$J$22, MATCH('HCC Detail w Diag'!$B262,'HCC Data Entry'!$I$4:$I$22,0)),"")</f>
        <v/>
      </c>
      <c r="N262" s="516" t="str">
        <f t="shared" si="17"/>
        <v/>
      </c>
      <c r="O262" s="518" t="str">
        <f t="shared" si="19"/>
        <v/>
      </c>
      <c r="P262" s="519" t="str">
        <f t="shared" si="20"/>
        <v/>
      </c>
      <c r="Q262" s="246"/>
      <c r="R262" s="246" t="str">
        <f t="shared" si="18"/>
        <v/>
      </c>
      <c r="S262" s="244"/>
    </row>
    <row r="263" spans="2:19" ht="18.5" x14ac:dyDescent="0.45">
      <c r="B263" s="244"/>
      <c r="C263" s="502"/>
      <c r="D263" s="502"/>
      <c r="E263" s="502"/>
      <c r="F263" s="502"/>
      <c r="G263" s="502"/>
      <c r="H263" s="502"/>
      <c r="I263" s="244"/>
      <c r="J263" s="516"/>
      <c r="K263" s="516"/>
      <c r="L263" s="517"/>
      <c r="M263" s="516" t="str">
        <f>IFERROR(INDEX('HCC Data Entry'!$J$4:$J$22, MATCH('HCC Detail w Diag'!$B263,'HCC Data Entry'!$I$4:$I$22,0)),"")</f>
        <v/>
      </c>
      <c r="N263" s="516" t="str">
        <f t="shared" si="17"/>
        <v/>
      </c>
      <c r="O263" s="518" t="str">
        <f t="shared" si="19"/>
        <v/>
      </c>
      <c r="P263" s="519" t="str">
        <f t="shared" si="20"/>
        <v/>
      </c>
      <c r="Q263" s="246"/>
      <c r="R263" s="246" t="str">
        <f t="shared" si="18"/>
        <v/>
      </c>
      <c r="S263" s="244"/>
    </row>
    <row r="264" spans="2:19" ht="18.5" x14ac:dyDescent="0.45">
      <c r="B264" s="244"/>
      <c r="C264" s="502"/>
      <c r="D264" s="502"/>
      <c r="E264" s="502"/>
      <c r="F264" s="502"/>
      <c r="G264" s="502"/>
      <c r="H264" s="502"/>
      <c r="I264" s="244"/>
      <c r="J264" s="516"/>
      <c r="K264" s="516"/>
      <c r="L264" s="517"/>
      <c r="M264" s="516" t="str">
        <f>IFERROR(INDEX('HCC Data Entry'!$J$4:$J$22, MATCH('HCC Detail w Diag'!$B264,'HCC Data Entry'!$I$4:$I$22,0)),"")</f>
        <v/>
      </c>
      <c r="N264" s="516" t="str">
        <f t="shared" si="17"/>
        <v/>
      </c>
      <c r="O264" s="518" t="str">
        <f t="shared" si="19"/>
        <v/>
      </c>
      <c r="P264" s="519" t="str">
        <f t="shared" si="20"/>
        <v/>
      </c>
      <c r="Q264" s="246"/>
      <c r="R264" s="246" t="str">
        <f t="shared" si="18"/>
        <v/>
      </c>
      <c r="S264" s="244"/>
    </row>
    <row r="265" spans="2:19" ht="18.5" x14ac:dyDescent="0.45">
      <c r="B265" s="244"/>
      <c r="C265" s="502"/>
      <c r="D265" s="502"/>
      <c r="E265" s="502"/>
      <c r="F265" s="502"/>
      <c r="G265" s="502"/>
      <c r="H265" s="502"/>
      <c r="I265" s="244"/>
      <c r="J265" s="516"/>
      <c r="K265" s="516"/>
      <c r="L265" s="517"/>
      <c r="M265" s="516" t="str">
        <f>IFERROR(INDEX('HCC Data Entry'!$J$4:$J$22, MATCH('HCC Detail w Diag'!$B265,'HCC Data Entry'!$I$4:$I$22,0)),"")</f>
        <v/>
      </c>
      <c r="N265" s="516" t="str">
        <f t="shared" si="17"/>
        <v/>
      </c>
      <c r="O265" s="518" t="str">
        <f t="shared" si="19"/>
        <v/>
      </c>
      <c r="P265" s="519" t="str">
        <f t="shared" si="20"/>
        <v/>
      </c>
      <c r="Q265" s="246"/>
      <c r="R265" s="246" t="str">
        <f t="shared" si="18"/>
        <v/>
      </c>
      <c r="S265" s="244"/>
    </row>
    <row r="266" spans="2:19" ht="18.5" x14ac:dyDescent="0.45">
      <c r="B266" s="244"/>
      <c r="C266" s="502"/>
      <c r="D266" s="502"/>
      <c r="E266" s="502"/>
      <c r="F266" s="502"/>
      <c r="G266" s="502"/>
      <c r="H266" s="502"/>
      <c r="I266" s="244"/>
      <c r="J266" s="516"/>
      <c r="K266" s="516"/>
      <c r="L266" s="517"/>
      <c r="M266" s="516" t="str">
        <f>IFERROR(INDEX('HCC Data Entry'!$J$4:$J$22, MATCH('HCC Detail w Diag'!$B266,'HCC Data Entry'!$I$4:$I$22,0)),"")</f>
        <v/>
      </c>
      <c r="N266" s="516" t="str">
        <f t="shared" si="17"/>
        <v/>
      </c>
      <c r="O266" s="518" t="str">
        <f t="shared" si="19"/>
        <v/>
      </c>
      <c r="P266" s="519" t="str">
        <f t="shared" si="20"/>
        <v/>
      </c>
      <c r="Q266" s="246"/>
      <c r="R266" s="246" t="str">
        <f t="shared" si="18"/>
        <v/>
      </c>
      <c r="S266" s="244"/>
    </row>
    <row r="267" spans="2:19" ht="18.5" x14ac:dyDescent="0.45">
      <c r="B267" s="244"/>
      <c r="C267" s="502"/>
      <c r="D267" s="502"/>
      <c r="E267" s="502"/>
      <c r="F267" s="502"/>
      <c r="G267" s="502"/>
      <c r="H267" s="502"/>
      <c r="I267" s="244"/>
      <c r="J267" s="516"/>
      <c r="K267" s="516"/>
      <c r="L267" s="517"/>
      <c r="M267" s="516" t="str">
        <f>IFERROR(INDEX('HCC Data Entry'!$J$4:$J$22, MATCH('HCC Detail w Diag'!$B267,'HCC Data Entry'!$I$4:$I$22,0)),"")</f>
        <v/>
      </c>
      <c r="N267" s="516" t="str">
        <f t="shared" si="17"/>
        <v/>
      </c>
      <c r="O267" s="518" t="str">
        <f t="shared" si="19"/>
        <v/>
      </c>
      <c r="P267" s="519" t="str">
        <f t="shared" si="20"/>
        <v/>
      </c>
      <c r="Q267" s="246"/>
      <c r="R267" s="246" t="str">
        <f t="shared" si="18"/>
        <v/>
      </c>
      <c r="S267" s="244"/>
    </row>
    <row r="268" spans="2:19" ht="18.5" x14ac:dyDescent="0.45">
      <c r="B268" s="244"/>
      <c r="C268" s="502"/>
      <c r="D268" s="502"/>
      <c r="E268" s="502"/>
      <c r="F268" s="502"/>
      <c r="G268" s="502"/>
      <c r="H268" s="502"/>
      <c r="I268" s="244"/>
      <c r="J268" s="516"/>
      <c r="K268" s="516"/>
      <c r="L268" s="517"/>
      <c r="M268" s="516" t="str">
        <f>IFERROR(INDEX('HCC Data Entry'!$J$4:$J$22, MATCH('HCC Detail w Diag'!$B268,'HCC Data Entry'!$I$4:$I$22,0)),"")</f>
        <v/>
      </c>
      <c r="N268" s="516" t="str">
        <f t="shared" si="17"/>
        <v/>
      </c>
      <c r="O268" s="518" t="str">
        <f t="shared" si="19"/>
        <v/>
      </c>
      <c r="P268" s="519" t="str">
        <f t="shared" si="20"/>
        <v/>
      </c>
      <c r="Q268" s="246"/>
      <c r="R268" s="246" t="str">
        <f t="shared" si="18"/>
        <v/>
      </c>
      <c r="S268" s="244"/>
    </row>
    <row r="269" spans="2:19" ht="18.5" x14ac:dyDescent="0.45">
      <c r="B269" s="244"/>
      <c r="C269" s="502"/>
      <c r="D269" s="502"/>
      <c r="E269" s="502"/>
      <c r="F269" s="502"/>
      <c r="G269" s="502"/>
      <c r="H269" s="502"/>
      <c r="I269" s="244"/>
      <c r="J269" s="516"/>
      <c r="K269" s="516"/>
      <c r="L269" s="517"/>
      <c r="M269" s="516" t="str">
        <f>IFERROR(INDEX('HCC Data Entry'!$J$4:$J$22, MATCH('HCC Detail w Diag'!$B269,'HCC Data Entry'!$I$4:$I$22,0)),"")</f>
        <v/>
      </c>
      <c r="N269" s="516" t="str">
        <f t="shared" si="17"/>
        <v/>
      </c>
      <c r="O269" s="518" t="str">
        <f t="shared" si="19"/>
        <v/>
      </c>
      <c r="P269" s="519" t="str">
        <f t="shared" si="20"/>
        <v/>
      </c>
      <c r="Q269" s="246"/>
      <c r="R269" s="246" t="str">
        <f t="shared" si="18"/>
        <v/>
      </c>
      <c r="S269" s="244"/>
    </row>
    <row r="270" spans="2:19" ht="18.5" x14ac:dyDescent="0.45">
      <c r="B270" s="244"/>
      <c r="C270" s="502"/>
      <c r="D270" s="502"/>
      <c r="E270" s="502"/>
      <c r="F270" s="502"/>
      <c r="G270" s="502"/>
      <c r="H270" s="502"/>
      <c r="I270" s="244"/>
      <c r="J270" s="516"/>
      <c r="K270" s="516"/>
      <c r="L270" s="517"/>
      <c r="M270" s="516" t="str">
        <f>IFERROR(INDEX('HCC Data Entry'!$J$4:$J$22, MATCH('HCC Detail w Diag'!$B270,'HCC Data Entry'!$I$4:$I$22,0)),"")</f>
        <v/>
      </c>
      <c r="N270" s="516" t="str">
        <f t="shared" si="17"/>
        <v/>
      </c>
      <c r="O270" s="518" t="str">
        <f t="shared" si="19"/>
        <v/>
      </c>
      <c r="P270" s="519" t="str">
        <f t="shared" si="20"/>
        <v/>
      </c>
      <c r="Q270" s="246"/>
      <c r="R270" s="246" t="str">
        <f t="shared" si="18"/>
        <v/>
      </c>
      <c r="S270" s="244"/>
    </row>
    <row r="271" spans="2:19" ht="18.5" x14ac:dyDescent="0.45">
      <c r="B271" s="244"/>
      <c r="C271" s="502"/>
      <c r="D271" s="502"/>
      <c r="E271" s="502"/>
      <c r="F271" s="502"/>
      <c r="G271" s="502"/>
      <c r="H271" s="502"/>
      <c r="I271" s="244"/>
      <c r="J271" s="516"/>
      <c r="K271" s="516"/>
      <c r="L271" s="517"/>
      <c r="M271" s="516" t="str">
        <f>IFERROR(INDEX('HCC Data Entry'!$J$4:$J$22, MATCH('HCC Detail w Diag'!$B271,'HCC Data Entry'!$I$4:$I$22,0)),"")</f>
        <v/>
      </c>
      <c r="N271" s="516" t="str">
        <f t="shared" si="17"/>
        <v/>
      </c>
      <c r="O271" s="518" t="str">
        <f t="shared" si="19"/>
        <v/>
      </c>
      <c r="P271" s="519" t="str">
        <f t="shared" si="20"/>
        <v/>
      </c>
      <c r="Q271" s="246"/>
      <c r="R271" s="246" t="str">
        <f t="shared" si="18"/>
        <v/>
      </c>
      <c r="S271" s="244"/>
    </row>
    <row r="272" spans="2:19" ht="18.5" x14ac:dyDescent="0.45">
      <c r="B272" s="244"/>
      <c r="C272" s="502"/>
      <c r="D272" s="502"/>
      <c r="E272" s="502"/>
      <c r="F272" s="502"/>
      <c r="G272" s="502"/>
      <c r="H272" s="502"/>
      <c r="I272" s="244"/>
      <c r="J272" s="516"/>
      <c r="K272" s="516"/>
      <c r="L272" s="517"/>
      <c r="M272" s="516" t="str">
        <f>IFERROR(INDEX('HCC Data Entry'!$J$4:$J$22, MATCH('HCC Detail w Diag'!$B272,'HCC Data Entry'!$I$4:$I$22,0)),"")</f>
        <v/>
      </c>
      <c r="N272" s="516" t="str">
        <f t="shared" si="17"/>
        <v/>
      </c>
      <c r="O272" s="518" t="str">
        <f t="shared" si="19"/>
        <v/>
      </c>
      <c r="P272" s="519" t="str">
        <f t="shared" si="20"/>
        <v/>
      </c>
      <c r="Q272" s="246"/>
      <c r="R272" s="246" t="str">
        <f t="shared" ref="R272:R288" si="21">IF(Q272="","",IF(Q272=0,0,P179-Q272))</f>
        <v/>
      </c>
      <c r="S272" s="244"/>
    </row>
    <row r="273" spans="2:19" ht="18.5" x14ac:dyDescent="0.45">
      <c r="B273" s="244"/>
      <c r="C273" s="502"/>
      <c r="D273" s="502"/>
      <c r="E273" s="502"/>
      <c r="F273" s="502"/>
      <c r="G273" s="502"/>
      <c r="H273" s="502"/>
      <c r="I273" s="244"/>
      <c r="J273" s="516"/>
      <c r="K273" s="516"/>
      <c r="L273" s="517"/>
      <c r="M273" s="516" t="str">
        <f>IFERROR(INDEX('HCC Data Entry'!$J$4:$J$22, MATCH('HCC Detail w Diag'!$B273,'HCC Data Entry'!$I$4:$I$22,0)),"")</f>
        <v/>
      </c>
      <c r="N273" s="516" t="str">
        <f t="shared" si="17"/>
        <v/>
      </c>
      <c r="O273" s="518" t="str">
        <f t="shared" si="19"/>
        <v/>
      </c>
      <c r="P273" s="519" t="str">
        <f t="shared" si="20"/>
        <v/>
      </c>
      <c r="Q273" s="246"/>
      <c r="R273" s="246" t="str">
        <f t="shared" si="21"/>
        <v/>
      </c>
      <c r="S273" s="244"/>
    </row>
    <row r="274" spans="2:19" ht="18.5" x14ac:dyDescent="0.45">
      <c r="B274" s="244"/>
      <c r="C274" s="502"/>
      <c r="D274" s="502"/>
      <c r="E274" s="502"/>
      <c r="F274" s="502"/>
      <c r="G274" s="502"/>
      <c r="H274" s="502"/>
      <c r="I274" s="244"/>
      <c r="J274" s="516"/>
      <c r="K274" s="516"/>
      <c r="L274" s="517"/>
      <c r="M274" s="516" t="str">
        <f>IFERROR(INDEX('HCC Data Entry'!$J$4:$J$22, MATCH('HCC Detail w Diag'!$B274,'HCC Data Entry'!$I$4:$I$22,0)),"")</f>
        <v/>
      </c>
      <c r="N274" s="516" t="str">
        <f t="shared" si="17"/>
        <v/>
      </c>
      <c r="O274" s="518" t="str">
        <f t="shared" si="19"/>
        <v/>
      </c>
      <c r="P274" s="519" t="str">
        <f t="shared" si="20"/>
        <v/>
      </c>
      <c r="Q274" s="246"/>
      <c r="R274" s="246" t="str">
        <f t="shared" si="21"/>
        <v/>
      </c>
      <c r="S274" s="244"/>
    </row>
    <row r="275" spans="2:19" ht="18.5" x14ac:dyDescent="0.45">
      <c r="B275" s="244"/>
      <c r="C275" s="502"/>
      <c r="D275" s="502"/>
      <c r="E275" s="502"/>
      <c r="F275" s="502"/>
      <c r="G275" s="502"/>
      <c r="H275" s="502"/>
      <c r="I275" s="244"/>
      <c r="J275" s="516"/>
      <c r="K275" s="516"/>
      <c r="L275" s="517"/>
      <c r="M275" s="516" t="str">
        <f>IFERROR(INDEX('HCC Data Entry'!$J$4:$J$22, MATCH('HCC Detail w Diag'!$B275,'HCC Data Entry'!$I$4:$I$22,0)),"")</f>
        <v/>
      </c>
      <c r="N275" s="516" t="str">
        <f t="shared" si="17"/>
        <v/>
      </c>
      <c r="O275" s="518" t="str">
        <f t="shared" si="19"/>
        <v/>
      </c>
      <c r="P275" s="519" t="str">
        <f t="shared" si="20"/>
        <v/>
      </c>
      <c r="Q275" s="246"/>
      <c r="R275" s="246" t="str">
        <f t="shared" si="21"/>
        <v/>
      </c>
      <c r="S275" s="244"/>
    </row>
    <row r="276" spans="2:19" ht="18.5" x14ac:dyDescent="0.45">
      <c r="B276" s="244"/>
      <c r="C276" s="502"/>
      <c r="D276" s="502"/>
      <c r="E276" s="502"/>
      <c r="F276" s="502"/>
      <c r="G276" s="502"/>
      <c r="H276" s="502"/>
      <c r="I276" s="244"/>
      <c r="J276" s="516"/>
      <c r="K276" s="516"/>
      <c r="L276" s="517"/>
      <c r="M276" s="516" t="str">
        <f>IFERROR(INDEX('HCC Data Entry'!$J$4:$J$22, MATCH('HCC Detail w Diag'!$B276,'HCC Data Entry'!$I$4:$I$22,0)),"")</f>
        <v/>
      </c>
      <c r="N276" s="516" t="str">
        <f t="shared" si="17"/>
        <v/>
      </c>
      <c r="O276" s="518" t="str">
        <f t="shared" si="19"/>
        <v/>
      </c>
      <c r="P276" s="519" t="str">
        <f t="shared" si="20"/>
        <v/>
      </c>
      <c r="Q276" s="246"/>
      <c r="R276" s="246" t="str">
        <f t="shared" si="21"/>
        <v/>
      </c>
      <c r="S276" s="244"/>
    </row>
    <row r="277" spans="2:19" ht="18.5" x14ac:dyDescent="0.45">
      <c r="B277" s="244"/>
      <c r="C277" s="502"/>
      <c r="D277" s="502"/>
      <c r="E277" s="502"/>
      <c r="F277" s="502"/>
      <c r="G277" s="502"/>
      <c r="H277" s="502"/>
      <c r="I277" s="244"/>
      <c r="J277" s="516"/>
      <c r="K277" s="516"/>
      <c r="L277" s="517"/>
      <c r="M277" s="516" t="str">
        <f>IFERROR(INDEX('HCC Data Entry'!$J$4:$J$22, MATCH('HCC Detail w Diag'!$B277,'HCC Data Entry'!$I$4:$I$22,0)),"")</f>
        <v/>
      </c>
      <c r="N277" s="516" t="str">
        <f t="shared" si="17"/>
        <v/>
      </c>
      <c r="O277" s="518" t="str">
        <f t="shared" si="19"/>
        <v/>
      </c>
      <c r="P277" s="519" t="str">
        <f t="shared" si="20"/>
        <v/>
      </c>
      <c r="Q277" s="246"/>
      <c r="R277" s="246" t="str">
        <f t="shared" si="21"/>
        <v/>
      </c>
      <c r="S277" s="244"/>
    </row>
    <row r="278" spans="2:19" ht="18.5" x14ac:dyDescent="0.45">
      <c r="B278" s="244"/>
      <c r="C278" s="502"/>
      <c r="D278" s="502"/>
      <c r="E278" s="502"/>
      <c r="F278" s="502"/>
      <c r="G278" s="502"/>
      <c r="H278" s="502"/>
      <c r="I278" s="244"/>
      <c r="J278" s="516"/>
      <c r="K278" s="516"/>
      <c r="L278" s="517"/>
      <c r="M278" s="516" t="str">
        <f>IFERROR(INDEX('HCC Data Entry'!$J$4:$J$22, MATCH('HCC Detail w Diag'!$B278,'HCC Data Entry'!$I$4:$I$22,0)),"")</f>
        <v/>
      </c>
      <c r="N278" s="516" t="str">
        <f t="shared" si="17"/>
        <v/>
      </c>
      <c r="O278" s="518" t="str">
        <f t="shared" si="19"/>
        <v/>
      </c>
      <c r="P278" s="519" t="str">
        <f t="shared" si="20"/>
        <v/>
      </c>
      <c r="Q278" s="246"/>
      <c r="R278" s="246" t="str">
        <f t="shared" si="21"/>
        <v/>
      </c>
      <c r="S278" s="244"/>
    </row>
    <row r="279" spans="2:19" ht="18.5" x14ac:dyDescent="0.45">
      <c r="B279" s="244"/>
      <c r="C279" s="502"/>
      <c r="D279" s="502"/>
      <c r="E279" s="502"/>
      <c r="F279" s="502"/>
      <c r="G279" s="502"/>
      <c r="H279" s="502"/>
      <c r="I279" s="244"/>
      <c r="J279" s="516"/>
      <c r="K279" s="516"/>
      <c r="L279" s="517"/>
      <c r="M279" s="516" t="str">
        <f>IFERROR(INDEX('HCC Data Entry'!$J$4:$J$22, MATCH('HCC Detail w Diag'!$B279,'HCC Data Entry'!$I$4:$I$22,0)),"")</f>
        <v/>
      </c>
      <c r="N279" s="516" t="str">
        <f t="shared" si="17"/>
        <v/>
      </c>
      <c r="O279" s="518" t="str">
        <f t="shared" si="19"/>
        <v/>
      </c>
      <c r="P279" s="519" t="str">
        <f t="shared" si="20"/>
        <v/>
      </c>
      <c r="Q279" s="246"/>
      <c r="R279" s="246" t="str">
        <f t="shared" si="21"/>
        <v/>
      </c>
      <c r="S279" s="244"/>
    </row>
    <row r="280" spans="2:19" ht="18.5" x14ac:dyDescent="0.45">
      <c r="B280" s="244"/>
      <c r="C280" s="502"/>
      <c r="D280" s="502"/>
      <c r="E280" s="502"/>
      <c r="F280" s="502"/>
      <c r="G280" s="502"/>
      <c r="H280" s="502"/>
      <c r="I280" s="244"/>
      <c r="J280" s="516"/>
      <c r="K280" s="516"/>
      <c r="L280" s="517"/>
      <c r="M280" s="516" t="str">
        <f>IFERROR(INDEX('HCC Data Entry'!$J$4:$J$22, MATCH('HCC Detail w Diag'!$B280,'HCC Data Entry'!$I$4:$I$22,0)),"")</f>
        <v/>
      </c>
      <c r="N280" s="516" t="str">
        <f t="shared" si="17"/>
        <v/>
      </c>
      <c r="O280" s="518" t="str">
        <f t="shared" si="19"/>
        <v/>
      </c>
      <c r="P280" s="519" t="str">
        <f t="shared" si="20"/>
        <v/>
      </c>
      <c r="Q280" s="246"/>
      <c r="R280" s="246" t="str">
        <f t="shared" si="21"/>
        <v/>
      </c>
      <c r="S280" s="244"/>
    </row>
    <row r="281" spans="2:19" ht="18.5" x14ac:dyDescent="0.45">
      <c r="B281" s="244"/>
      <c r="C281" s="502"/>
      <c r="D281" s="502"/>
      <c r="E281" s="502"/>
      <c r="F281" s="502"/>
      <c r="G281" s="502"/>
      <c r="H281" s="502"/>
      <c r="I281" s="244"/>
      <c r="J281" s="516"/>
      <c r="K281" s="516"/>
      <c r="L281" s="517"/>
      <c r="M281" s="516" t="str">
        <f>IFERROR(INDEX('HCC Data Entry'!$J$4:$J$22, MATCH('HCC Detail w Diag'!$B281,'HCC Data Entry'!$I$4:$I$22,0)),"")</f>
        <v/>
      </c>
      <c r="N281" s="516" t="str">
        <f t="shared" si="17"/>
        <v/>
      </c>
      <c r="O281" s="518" t="str">
        <f t="shared" si="19"/>
        <v/>
      </c>
      <c r="P281" s="519" t="str">
        <f t="shared" si="20"/>
        <v/>
      </c>
      <c r="Q281" s="246"/>
      <c r="R281" s="246" t="str">
        <f t="shared" si="21"/>
        <v/>
      </c>
      <c r="S281" s="244"/>
    </row>
    <row r="282" spans="2:19" ht="18.5" x14ac:dyDescent="0.45">
      <c r="B282" s="244"/>
      <c r="C282" s="502"/>
      <c r="D282" s="502"/>
      <c r="E282" s="502"/>
      <c r="F282" s="502"/>
      <c r="G282" s="502"/>
      <c r="H282" s="502"/>
      <c r="I282" s="244"/>
      <c r="J282" s="516"/>
      <c r="K282" s="516"/>
      <c r="L282" s="517"/>
      <c r="M282" s="516" t="str">
        <f>IFERROR(INDEX('HCC Data Entry'!$J$4:$J$22, MATCH('HCC Detail w Diag'!$B282,'HCC Data Entry'!$I$4:$I$22,0)),"")</f>
        <v/>
      </c>
      <c r="N282" s="516" t="str">
        <f t="shared" si="17"/>
        <v/>
      </c>
      <c r="O282" s="518" t="str">
        <f t="shared" si="19"/>
        <v/>
      </c>
      <c r="P282" s="519" t="str">
        <f t="shared" si="20"/>
        <v/>
      </c>
      <c r="Q282" s="246"/>
      <c r="R282" s="246" t="str">
        <f t="shared" si="21"/>
        <v/>
      </c>
      <c r="S282" s="244"/>
    </row>
    <row r="283" spans="2:19" ht="18.5" x14ac:dyDescent="0.45">
      <c r="B283" s="244"/>
      <c r="C283" s="502"/>
      <c r="D283" s="502"/>
      <c r="E283" s="502"/>
      <c r="F283" s="502"/>
      <c r="G283" s="502"/>
      <c r="H283" s="502"/>
      <c r="I283" s="244"/>
      <c r="J283" s="516"/>
      <c r="K283" s="516"/>
      <c r="L283" s="517"/>
      <c r="M283" s="516" t="str">
        <f>IFERROR(INDEX('HCC Data Entry'!$J$4:$J$22, MATCH('HCC Detail w Diag'!$B283,'HCC Data Entry'!$I$4:$I$22,0)),"")</f>
        <v/>
      </c>
      <c r="N283" s="516" t="str">
        <f t="shared" si="17"/>
        <v/>
      </c>
      <c r="O283" s="518" t="str">
        <f t="shared" si="19"/>
        <v/>
      </c>
      <c r="P283" s="519" t="str">
        <f t="shared" si="20"/>
        <v/>
      </c>
      <c r="Q283" s="246"/>
      <c r="R283" s="246" t="str">
        <f t="shared" si="21"/>
        <v/>
      </c>
      <c r="S283" s="244"/>
    </row>
    <row r="284" spans="2:19" ht="18.5" x14ac:dyDescent="0.45">
      <c r="B284" s="244"/>
      <c r="C284" s="502"/>
      <c r="D284" s="502"/>
      <c r="E284" s="502"/>
      <c r="F284" s="502"/>
      <c r="G284" s="502"/>
      <c r="H284" s="502"/>
      <c r="I284" s="244"/>
      <c r="J284" s="516"/>
      <c r="K284" s="516"/>
      <c r="L284" s="517"/>
      <c r="M284" s="516" t="str">
        <f>IFERROR(INDEX('HCC Data Entry'!$J$4:$J$22, MATCH('HCC Detail w Diag'!$B284,'HCC Data Entry'!$I$4:$I$22,0)),"")</f>
        <v/>
      </c>
      <c r="N284" s="516" t="str">
        <f t="shared" si="17"/>
        <v/>
      </c>
      <c r="O284" s="518" t="str">
        <f t="shared" si="19"/>
        <v/>
      </c>
      <c r="P284" s="519" t="str">
        <f t="shared" si="20"/>
        <v/>
      </c>
      <c r="Q284" s="246"/>
      <c r="R284" s="246" t="str">
        <f t="shared" si="21"/>
        <v/>
      </c>
      <c r="S284" s="244"/>
    </row>
    <row r="285" spans="2:19" ht="18.5" x14ac:dyDescent="0.45">
      <c r="B285" s="244"/>
      <c r="C285" s="502"/>
      <c r="D285" s="502"/>
      <c r="E285" s="502"/>
      <c r="F285" s="502"/>
      <c r="G285" s="502"/>
      <c r="H285" s="502"/>
      <c r="I285" s="244"/>
      <c r="J285" s="516"/>
      <c r="K285" s="516"/>
      <c r="L285" s="517"/>
      <c r="M285" s="516" t="str">
        <f>IFERROR(INDEX('HCC Data Entry'!$J$4:$J$22, MATCH('HCC Detail w Diag'!$B285,'HCC Data Entry'!$I$4:$I$22,0)),"")</f>
        <v/>
      </c>
      <c r="N285" s="516" t="str">
        <f t="shared" si="17"/>
        <v/>
      </c>
      <c r="O285" s="518" t="str">
        <f t="shared" si="19"/>
        <v/>
      </c>
      <c r="P285" s="519" t="str">
        <f t="shared" si="20"/>
        <v/>
      </c>
      <c r="Q285" s="246"/>
      <c r="R285" s="246" t="str">
        <f t="shared" si="21"/>
        <v/>
      </c>
      <c r="S285" s="244"/>
    </row>
    <row r="286" spans="2:19" ht="18.5" x14ac:dyDescent="0.45">
      <c r="B286" s="244"/>
      <c r="C286" s="502"/>
      <c r="D286" s="502"/>
      <c r="E286" s="502"/>
      <c r="F286" s="502"/>
      <c r="G286" s="502"/>
      <c r="H286" s="502"/>
      <c r="I286" s="244"/>
      <c r="J286" s="516"/>
      <c r="K286" s="516"/>
      <c r="L286" s="517"/>
      <c r="M286" s="516" t="str">
        <f>IFERROR(INDEX('HCC Data Entry'!$J$4:$J$22, MATCH('HCC Detail w Diag'!$B286,'HCC Data Entry'!$I$4:$I$22,0)),"")</f>
        <v/>
      </c>
      <c r="N286" s="516" t="str">
        <f t="shared" si="17"/>
        <v/>
      </c>
      <c r="O286" s="518" t="str">
        <f t="shared" si="19"/>
        <v/>
      </c>
      <c r="P286" s="519" t="str">
        <f t="shared" si="20"/>
        <v/>
      </c>
      <c r="Q286" s="246"/>
      <c r="R286" s="246" t="str">
        <f t="shared" si="21"/>
        <v/>
      </c>
      <c r="S286" s="244"/>
    </row>
    <row r="287" spans="2:19" ht="18.5" x14ac:dyDescent="0.45">
      <c r="B287" s="244"/>
      <c r="C287" s="502"/>
      <c r="D287" s="502"/>
      <c r="E287" s="502"/>
      <c r="F287" s="502"/>
      <c r="G287" s="502"/>
      <c r="H287" s="502"/>
      <c r="I287" s="244"/>
      <c r="J287" s="516"/>
      <c r="K287" s="516"/>
      <c r="L287" s="517"/>
      <c r="M287" s="516" t="str">
        <f>IFERROR(INDEX('HCC Data Entry'!$J$4:$J$22, MATCH('HCC Detail w Diag'!$B287,'HCC Data Entry'!$I$4:$I$22,0)),"")</f>
        <v/>
      </c>
      <c r="N287" s="516" t="str">
        <f t="shared" si="17"/>
        <v/>
      </c>
      <c r="O287" s="518" t="str">
        <f t="shared" si="19"/>
        <v/>
      </c>
      <c r="P287" s="519" t="str">
        <f t="shared" si="20"/>
        <v/>
      </c>
      <c r="Q287" s="246"/>
      <c r="R287" s="246" t="str">
        <f t="shared" si="21"/>
        <v/>
      </c>
      <c r="S287" s="244"/>
    </row>
    <row r="288" spans="2:19" ht="18.5" x14ac:dyDescent="0.45">
      <c r="B288" s="244"/>
      <c r="C288" s="502"/>
      <c r="D288" s="502"/>
      <c r="E288" s="502"/>
      <c r="F288" s="502"/>
      <c r="G288" s="502"/>
      <c r="H288" s="502"/>
      <c r="I288" s="244"/>
      <c r="J288" s="516"/>
      <c r="K288" s="516"/>
      <c r="L288" s="517"/>
      <c r="M288" s="516" t="str">
        <f>IFERROR(INDEX('HCC Data Entry'!$J$4:$J$22, MATCH('HCC Detail w Diag'!$B288,'HCC Data Entry'!$I$4:$I$22,0)),"")</f>
        <v/>
      </c>
      <c r="N288" s="516" t="str">
        <f t="shared" si="17"/>
        <v/>
      </c>
      <c r="O288" s="518" t="str">
        <f t="shared" si="19"/>
        <v/>
      </c>
      <c r="P288" s="519" t="str">
        <f t="shared" si="20"/>
        <v/>
      </c>
      <c r="Q288" s="246"/>
      <c r="R288" s="246" t="str">
        <f t="shared" si="21"/>
        <v/>
      </c>
      <c r="S288" s="244"/>
    </row>
    <row r="289" spans="2:16" ht="18.5" x14ac:dyDescent="0.45">
      <c r="B289" s="244"/>
      <c r="C289" s="502"/>
      <c r="D289" s="502"/>
      <c r="E289" s="502"/>
      <c r="F289" s="502"/>
      <c r="G289" s="502"/>
      <c r="H289" s="502"/>
      <c r="I289" s="244"/>
      <c r="J289" s="516"/>
      <c r="K289" s="516"/>
      <c r="L289" s="517"/>
      <c r="M289" s="516" t="str">
        <f>IFERROR(INDEX('HCC Data Entry'!$J$4:$J$22, MATCH('HCC Detail w Diag'!$B289,'HCC Data Entry'!$I$4:$I$22,0)),"")</f>
        <v/>
      </c>
      <c r="N289" s="516" t="str">
        <f t="shared" si="17"/>
        <v/>
      </c>
      <c r="O289" s="518" t="str">
        <f t="shared" si="19"/>
        <v/>
      </c>
      <c r="P289" s="519" t="str">
        <f t="shared" si="20"/>
        <v/>
      </c>
    </row>
    <row r="290" spans="2:16" ht="18.5" x14ac:dyDescent="0.45">
      <c r="B290" s="244"/>
      <c r="C290" s="502"/>
      <c r="D290" s="502"/>
      <c r="E290" s="502"/>
      <c r="F290" s="502"/>
      <c r="G290" s="502"/>
      <c r="H290" s="502"/>
      <c r="I290" s="244"/>
      <c r="J290" s="516"/>
      <c r="K290" s="516"/>
      <c r="L290" s="517"/>
      <c r="M290" s="516" t="str">
        <f>IFERROR(INDEX('HCC Data Entry'!$J$4:$J$22, MATCH('HCC Detail w Diag'!$B290,'HCC Data Entry'!$I$4:$I$22,0)),"")</f>
        <v/>
      </c>
      <c r="N290" s="516" t="str">
        <f t="shared" si="17"/>
        <v/>
      </c>
      <c r="O290" s="518" t="str">
        <f t="shared" si="19"/>
        <v/>
      </c>
      <c r="P290" s="519" t="str">
        <f t="shared" si="20"/>
        <v/>
      </c>
    </row>
    <row r="291" spans="2:16" ht="18.5" x14ac:dyDescent="0.45">
      <c r="B291" s="244"/>
      <c r="C291" s="502"/>
      <c r="D291" s="502"/>
      <c r="E291" s="502"/>
      <c r="F291" s="502"/>
      <c r="G291" s="502"/>
      <c r="H291" s="502"/>
      <c r="I291" s="244"/>
      <c r="J291" s="516"/>
      <c r="K291" s="516"/>
      <c r="L291" s="517"/>
      <c r="M291" s="516" t="str">
        <f>IFERROR(INDEX('HCC Data Entry'!$J$4:$J$22, MATCH('HCC Detail w Diag'!$B291,'HCC Data Entry'!$I$4:$I$22,0)),"")</f>
        <v/>
      </c>
      <c r="N291" s="516" t="str">
        <f t="shared" si="17"/>
        <v/>
      </c>
      <c r="O291" s="518" t="str">
        <f t="shared" si="19"/>
        <v/>
      </c>
      <c r="P291" s="519" t="str">
        <f t="shared" si="20"/>
        <v/>
      </c>
    </row>
    <row r="292" spans="2:16" ht="18.5" x14ac:dyDescent="0.45">
      <c r="B292" s="244"/>
      <c r="C292" s="502"/>
      <c r="D292" s="502"/>
      <c r="E292" s="502"/>
      <c r="F292" s="502"/>
      <c r="G292" s="502"/>
      <c r="H292" s="502"/>
      <c r="I292" s="244"/>
      <c r="J292" s="516"/>
      <c r="K292" s="516"/>
      <c r="L292" s="517"/>
      <c r="M292" s="516" t="str">
        <f>IFERROR(INDEX('HCC Data Entry'!$J$4:$J$22, MATCH('HCC Detail w Diag'!$B292,'HCC Data Entry'!$I$4:$I$22,0)),"")</f>
        <v/>
      </c>
      <c r="N292" s="516" t="str">
        <f t="shared" si="17"/>
        <v/>
      </c>
      <c r="O292" s="518" t="str">
        <f t="shared" si="19"/>
        <v/>
      </c>
      <c r="P292" s="519" t="str">
        <f t="shared" si="20"/>
        <v/>
      </c>
    </row>
    <row r="293" spans="2:16" ht="18.5" x14ac:dyDescent="0.45">
      <c r="B293" s="244"/>
      <c r="C293" s="502"/>
      <c r="D293" s="502"/>
      <c r="E293" s="502"/>
      <c r="F293" s="502"/>
      <c r="G293" s="502"/>
      <c r="H293" s="502"/>
      <c r="I293" s="244"/>
      <c r="J293" s="516"/>
      <c r="K293" s="516"/>
      <c r="L293" s="517"/>
      <c r="M293" s="516" t="str">
        <f>IFERROR(INDEX('HCC Data Entry'!$J$4:$J$22, MATCH('HCC Detail w Diag'!$B293,'HCC Data Entry'!$I$4:$I$22,0)),"")</f>
        <v/>
      </c>
      <c r="N293" s="516" t="str">
        <f t="shared" si="17"/>
        <v/>
      </c>
      <c r="O293" s="518" t="str">
        <f t="shared" si="19"/>
        <v/>
      </c>
      <c r="P293" s="519" t="str">
        <f t="shared" si="20"/>
        <v/>
      </c>
    </row>
    <row r="294" spans="2:16" ht="18.5" x14ac:dyDescent="0.45">
      <c r="B294" s="244"/>
      <c r="C294" s="502"/>
      <c r="D294" s="502"/>
      <c r="E294" s="502"/>
      <c r="F294" s="502"/>
      <c r="G294" s="502"/>
      <c r="H294" s="502"/>
      <c r="I294" s="244"/>
      <c r="J294" s="516"/>
      <c r="K294" s="516"/>
      <c r="L294" s="517"/>
      <c r="M294" s="516" t="str">
        <f>IFERROR(INDEX('HCC Data Entry'!$J$4:$J$22, MATCH('HCC Detail w Diag'!$B294,'HCC Data Entry'!$I$4:$I$22,0)),"")</f>
        <v/>
      </c>
      <c r="N294" s="516" t="str">
        <f t="shared" si="17"/>
        <v/>
      </c>
      <c r="O294" s="518" t="str">
        <f t="shared" si="19"/>
        <v/>
      </c>
      <c r="P294" s="519" t="str">
        <f t="shared" si="20"/>
        <v/>
      </c>
    </row>
    <row r="295" spans="2:16" ht="18.5" x14ac:dyDescent="0.45">
      <c r="B295" s="244"/>
      <c r="C295" s="502"/>
      <c r="D295" s="502"/>
      <c r="E295" s="502"/>
      <c r="F295" s="502"/>
      <c r="G295" s="502"/>
      <c r="H295" s="502"/>
      <c r="I295" s="244"/>
      <c r="J295" s="516"/>
      <c r="K295" s="516"/>
      <c r="L295" s="517"/>
      <c r="M295" s="516" t="str">
        <f>IFERROR(INDEX('HCC Data Entry'!$J$4:$J$22, MATCH('HCC Detail w Diag'!$B295,'HCC Data Entry'!$I$4:$I$22,0)),"")</f>
        <v/>
      </c>
      <c r="N295" s="516" t="str">
        <f t="shared" ref="N295:N358" si="22">IF(B295="","",IF(M295="Unknown", "", IF(L295&gt;M295,L295-M295,0)))</f>
        <v/>
      </c>
      <c r="O295" s="518" t="str">
        <f t="shared" si="19"/>
        <v/>
      </c>
      <c r="P295" s="519" t="str">
        <f t="shared" si="20"/>
        <v/>
      </c>
    </row>
    <row r="296" spans="2:16" ht="18.5" x14ac:dyDescent="0.45">
      <c r="B296" s="244"/>
      <c r="C296" s="502"/>
      <c r="D296" s="502"/>
      <c r="E296" s="502"/>
      <c r="F296" s="502"/>
      <c r="G296" s="502"/>
      <c r="H296" s="502"/>
      <c r="I296" s="244"/>
      <c r="J296" s="516"/>
      <c r="K296" s="516"/>
      <c r="L296" s="517"/>
      <c r="M296" s="516" t="str">
        <f>IFERROR(INDEX('HCC Data Entry'!$J$4:$J$22, MATCH('HCC Detail w Diag'!$B296,'HCC Data Entry'!$I$4:$I$22,0)),"")</f>
        <v/>
      </c>
      <c r="N296" s="516" t="str">
        <f t="shared" si="22"/>
        <v/>
      </c>
      <c r="O296" s="518" t="str">
        <f t="shared" si="19"/>
        <v/>
      </c>
      <c r="P296" s="519" t="str">
        <f t="shared" si="20"/>
        <v/>
      </c>
    </row>
    <row r="297" spans="2:16" ht="18.5" x14ac:dyDescent="0.45">
      <c r="B297" s="244"/>
      <c r="C297" s="502"/>
      <c r="D297" s="502"/>
      <c r="E297" s="502"/>
      <c r="F297" s="502"/>
      <c r="G297" s="502"/>
      <c r="H297" s="502"/>
      <c r="I297" s="244"/>
      <c r="J297" s="516"/>
      <c r="K297" s="516"/>
      <c r="L297" s="517"/>
      <c r="M297" s="516" t="str">
        <f>IFERROR(INDEX('HCC Data Entry'!$J$4:$J$22, MATCH('HCC Detail w Diag'!$B297,'HCC Data Entry'!$I$4:$I$22,0)),"")</f>
        <v/>
      </c>
      <c r="N297" s="516" t="str">
        <f t="shared" si="22"/>
        <v/>
      </c>
      <c r="O297" s="518" t="str">
        <f t="shared" si="19"/>
        <v/>
      </c>
      <c r="P297" s="519" t="str">
        <f t="shared" si="20"/>
        <v/>
      </c>
    </row>
    <row r="298" spans="2:16" ht="18.5" x14ac:dyDescent="0.45">
      <c r="B298" s="244"/>
      <c r="C298" s="502"/>
      <c r="D298" s="502"/>
      <c r="E298" s="502"/>
      <c r="F298" s="502"/>
      <c r="G298" s="502"/>
      <c r="H298" s="502"/>
      <c r="I298" s="244"/>
      <c r="J298" s="516"/>
      <c r="K298" s="516"/>
      <c r="L298" s="517"/>
      <c r="M298" s="516" t="str">
        <f>IFERROR(INDEX('HCC Data Entry'!$J$4:$J$22, MATCH('HCC Detail w Diag'!$B298,'HCC Data Entry'!$I$4:$I$22,0)),"")</f>
        <v/>
      </c>
      <c r="N298" s="516" t="str">
        <f t="shared" si="22"/>
        <v/>
      </c>
      <c r="O298" s="518" t="str">
        <f t="shared" si="19"/>
        <v/>
      </c>
      <c r="P298" s="519" t="str">
        <f t="shared" si="20"/>
        <v/>
      </c>
    </row>
    <row r="299" spans="2:16" ht="18.5" x14ac:dyDescent="0.45">
      <c r="B299" s="244"/>
      <c r="C299" s="502"/>
      <c r="D299" s="502"/>
      <c r="E299" s="502"/>
      <c r="F299" s="502"/>
      <c r="G299" s="502"/>
      <c r="H299" s="502"/>
      <c r="I299" s="244"/>
      <c r="J299" s="516"/>
      <c r="K299" s="516"/>
      <c r="L299" s="517"/>
      <c r="M299" s="516" t="str">
        <f>IFERROR(INDEX('HCC Data Entry'!$J$4:$J$22, MATCH('HCC Detail w Diag'!$B299,'HCC Data Entry'!$I$4:$I$22,0)),"")</f>
        <v/>
      </c>
      <c r="N299" s="516" t="str">
        <f t="shared" si="22"/>
        <v/>
      </c>
      <c r="O299" s="518" t="str">
        <f t="shared" si="19"/>
        <v/>
      </c>
      <c r="P299" s="519" t="str">
        <f t="shared" si="20"/>
        <v/>
      </c>
    </row>
    <row r="300" spans="2:16" ht="18.5" x14ac:dyDescent="0.45">
      <c r="B300" s="244"/>
      <c r="C300" s="502"/>
      <c r="D300" s="502"/>
      <c r="E300" s="502"/>
      <c r="F300" s="502"/>
      <c r="G300" s="502"/>
      <c r="H300" s="502"/>
      <c r="I300" s="244"/>
      <c r="J300" s="516"/>
      <c r="K300" s="516"/>
      <c r="L300" s="517"/>
      <c r="M300" s="516" t="str">
        <f>IFERROR(INDEX('HCC Data Entry'!$J$4:$J$22, MATCH('HCC Detail w Diag'!$B300,'HCC Data Entry'!$I$4:$I$22,0)),"")</f>
        <v/>
      </c>
      <c r="N300" s="516" t="str">
        <f t="shared" si="22"/>
        <v/>
      </c>
      <c r="O300" s="518" t="str">
        <f t="shared" si="19"/>
        <v/>
      </c>
      <c r="P300" s="519" t="str">
        <f t="shared" si="20"/>
        <v/>
      </c>
    </row>
    <row r="301" spans="2:16" ht="18.5" x14ac:dyDescent="0.45">
      <c r="B301" s="244"/>
      <c r="C301" s="502"/>
      <c r="D301" s="502"/>
      <c r="E301" s="502"/>
      <c r="F301" s="502"/>
      <c r="G301" s="502"/>
      <c r="H301" s="502"/>
      <c r="I301" s="244"/>
      <c r="J301" s="516"/>
      <c r="K301" s="516"/>
      <c r="L301" s="517"/>
      <c r="M301" s="516" t="str">
        <f>IFERROR(INDEX('HCC Data Entry'!$J$4:$J$22, MATCH('HCC Detail w Diag'!$B301,'HCC Data Entry'!$I$4:$I$22,0)),"")</f>
        <v/>
      </c>
      <c r="N301" s="516" t="str">
        <f t="shared" si="22"/>
        <v/>
      </c>
      <c r="O301" s="518" t="str">
        <f t="shared" si="19"/>
        <v/>
      </c>
      <c r="P301" s="519" t="str">
        <f t="shared" si="20"/>
        <v/>
      </c>
    </row>
    <row r="302" spans="2:16" ht="18.5" x14ac:dyDescent="0.45">
      <c r="B302" s="244"/>
      <c r="C302" s="502"/>
      <c r="D302" s="502"/>
      <c r="E302" s="502"/>
      <c r="F302" s="502"/>
      <c r="G302" s="502"/>
      <c r="H302" s="502"/>
      <c r="I302" s="244"/>
      <c r="J302" s="516"/>
      <c r="K302" s="516"/>
      <c r="L302" s="517"/>
      <c r="M302" s="516" t="str">
        <f>IFERROR(INDEX('HCC Data Entry'!$J$4:$J$22, MATCH('HCC Detail w Diag'!$B302,'HCC Data Entry'!$I$4:$I$22,0)),"")</f>
        <v/>
      </c>
      <c r="N302" s="516" t="str">
        <f t="shared" si="22"/>
        <v/>
      </c>
      <c r="O302" s="518" t="str">
        <f t="shared" si="19"/>
        <v/>
      </c>
      <c r="P302" s="519" t="str">
        <f t="shared" si="20"/>
        <v/>
      </c>
    </row>
    <row r="303" spans="2:16" ht="18.5" x14ac:dyDescent="0.45">
      <c r="B303" s="244"/>
      <c r="C303" s="502"/>
      <c r="D303" s="502"/>
      <c r="E303" s="502"/>
      <c r="F303" s="502"/>
      <c r="G303" s="502"/>
      <c r="H303" s="502"/>
      <c r="I303" s="244"/>
      <c r="J303" s="516"/>
      <c r="K303" s="516"/>
      <c r="L303" s="517"/>
      <c r="M303" s="516" t="str">
        <f>IFERROR(INDEX('HCC Data Entry'!$J$4:$J$22, MATCH('HCC Detail w Diag'!$B303,'HCC Data Entry'!$I$4:$I$22,0)),"")</f>
        <v/>
      </c>
      <c r="N303" s="516" t="str">
        <f t="shared" si="22"/>
        <v/>
      </c>
      <c r="O303" s="518" t="str">
        <f t="shared" si="19"/>
        <v/>
      </c>
      <c r="P303" s="519" t="str">
        <f t="shared" si="20"/>
        <v/>
      </c>
    </row>
    <row r="304" spans="2:16" ht="18.5" x14ac:dyDescent="0.45">
      <c r="B304" s="244"/>
      <c r="C304" s="502"/>
      <c r="D304" s="502"/>
      <c r="E304" s="502"/>
      <c r="F304" s="502"/>
      <c r="G304" s="502"/>
      <c r="H304" s="502"/>
      <c r="I304" s="244"/>
      <c r="J304" s="516"/>
      <c r="K304" s="516"/>
      <c r="L304" s="517"/>
      <c r="M304" s="516" t="str">
        <f>IFERROR(INDEX('HCC Data Entry'!$J$4:$J$22, MATCH('HCC Detail w Diag'!$B304,'HCC Data Entry'!$I$4:$I$22,0)),"")</f>
        <v/>
      </c>
      <c r="N304" s="516" t="str">
        <f t="shared" si="22"/>
        <v/>
      </c>
      <c r="O304" s="518" t="str">
        <f t="shared" si="19"/>
        <v/>
      </c>
      <c r="P304" s="519" t="str">
        <f t="shared" si="20"/>
        <v/>
      </c>
    </row>
    <row r="305" spans="2:16" ht="18.5" x14ac:dyDescent="0.45">
      <c r="B305" s="244"/>
      <c r="C305" s="502"/>
      <c r="D305" s="502"/>
      <c r="E305" s="502"/>
      <c r="F305" s="502"/>
      <c r="G305" s="502"/>
      <c r="H305" s="502"/>
      <c r="I305" s="244"/>
      <c r="J305" s="516"/>
      <c r="K305" s="516"/>
      <c r="L305" s="517"/>
      <c r="M305" s="516" t="str">
        <f>IFERROR(INDEX('HCC Data Entry'!$J$4:$J$22, MATCH('HCC Detail w Diag'!$B305,'HCC Data Entry'!$I$4:$I$22,0)),"")</f>
        <v/>
      </c>
      <c r="N305" s="516" t="str">
        <f t="shared" si="22"/>
        <v/>
      </c>
      <c r="O305" s="518" t="str">
        <f t="shared" si="19"/>
        <v/>
      </c>
      <c r="P305" s="519" t="str">
        <f t="shared" si="20"/>
        <v/>
      </c>
    </row>
    <row r="306" spans="2:16" ht="18.5" x14ac:dyDescent="0.45">
      <c r="B306" s="244"/>
      <c r="C306" s="502"/>
      <c r="D306" s="502"/>
      <c r="E306" s="502"/>
      <c r="F306" s="502"/>
      <c r="G306" s="502"/>
      <c r="H306" s="502"/>
      <c r="I306" s="244"/>
      <c r="J306" s="516"/>
      <c r="K306" s="516"/>
      <c r="L306" s="517"/>
      <c r="M306" s="516" t="str">
        <f>IFERROR(INDEX('HCC Data Entry'!$J$4:$J$22, MATCH('HCC Detail w Diag'!$B306,'HCC Data Entry'!$I$4:$I$22,0)),"")</f>
        <v/>
      </c>
      <c r="N306" s="516" t="str">
        <f t="shared" si="22"/>
        <v/>
      </c>
      <c r="O306" s="518" t="str">
        <f t="shared" si="19"/>
        <v/>
      </c>
      <c r="P306" s="519" t="str">
        <f t="shared" si="20"/>
        <v/>
      </c>
    </row>
    <row r="307" spans="2:16" ht="18.5" x14ac:dyDescent="0.45">
      <c r="B307" s="244"/>
      <c r="C307" s="502"/>
      <c r="D307" s="502"/>
      <c r="E307" s="502"/>
      <c r="F307" s="502"/>
      <c r="G307" s="502"/>
      <c r="H307" s="502"/>
      <c r="I307" s="244"/>
      <c r="J307" s="516"/>
      <c r="K307" s="516"/>
      <c r="L307" s="517"/>
      <c r="M307" s="516" t="str">
        <f>IFERROR(INDEX('HCC Data Entry'!$J$4:$J$22, MATCH('HCC Detail w Diag'!$B307,'HCC Data Entry'!$I$4:$I$22,0)),"")</f>
        <v/>
      </c>
      <c r="N307" s="516" t="str">
        <f t="shared" si="22"/>
        <v/>
      </c>
      <c r="O307" s="518" t="str">
        <f t="shared" si="19"/>
        <v/>
      </c>
      <c r="P307" s="519" t="str">
        <f t="shared" si="20"/>
        <v/>
      </c>
    </row>
    <row r="308" spans="2:16" ht="18.5" x14ac:dyDescent="0.45">
      <c r="B308" s="244"/>
      <c r="C308" s="502"/>
      <c r="D308" s="502"/>
      <c r="E308" s="502"/>
      <c r="F308" s="502"/>
      <c r="G308" s="502"/>
      <c r="H308" s="502"/>
      <c r="I308" s="244"/>
      <c r="J308" s="516"/>
      <c r="K308" s="516"/>
      <c r="L308" s="517"/>
      <c r="M308" s="516" t="str">
        <f>IFERROR(INDEX('HCC Data Entry'!$J$4:$J$22, MATCH('HCC Detail w Diag'!$B308,'HCC Data Entry'!$I$4:$I$22,0)),"")</f>
        <v/>
      </c>
      <c r="N308" s="516" t="str">
        <f t="shared" si="22"/>
        <v/>
      </c>
      <c r="O308" s="518" t="str">
        <f t="shared" si="19"/>
        <v/>
      </c>
      <c r="P308" s="519" t="str">
        <f t="shared" si="20"/>
        <v/>
      </c>
    </row>
    <row r="309" spans="2:16" ht="18.5" x14ac:dyDescent="0.45">
      <c r="B309" s="244"/>
      <c r="C309" s="502"/>
      <c r="D309" s="502"/>
      <c r="E309" s="502"/>
      <c r="F309" s="502"/>
      <c r="G309" s="502"/>
      <c r="H309" s="502"/>
      <c r="I309" s="244"/>
      <c r="J309" s="516"/>
      <c r="K309" s="516"/>
      <c r="L309" s="517"/>
      <c r="M309" s="516" t="str">
        <f>IFERROR(INDEX('HCC Data Entry'!$J$4:$J$22, MATCH('HCC Detail w Diag'!$B309,'HCC Data Entry'!$I$4:$I$22,0)),"")</f>
        <v/>
      </c>
      <c r="N309" s="516" t="str">
        <f t="shared" si="22"/>
        <v/>
      </c>
      <c r="O309" s="518" t="str">
        <f t="shared" si="19"/>
        <v/>
      </c>
      <c r="P309" s="519" t="str">
        <f t="shared" si="20"/>
        <v/>
      </c>
    </row>
    <row r="310" spans="2:16" ht="18.5" x14ac:dyDescent="0.45">
      <c r="B310" s="244"/>
      <c r="C310" s="502"/>
      <c r="D310" s="502"/>
      <c r="E310" s="502"/>
      <c r="F310" s="502"/>
      <c r="G310" s="502"/>
      <c r="H310" s="502"/>
      <c r="I310" s="244"/>
      <c r="J310" s="516"/>
      <c r="K310" s="516"/>
      <c r="L310" s="517"/>
      <c r="M310" s="516" t="str">
        <f>IFERROR(INDEX('HCC Data Entry'!$J$4:$J$22, MATCH('HCC Detail w Diag'!$B310,'HCC Data Entry'!$I$4:$I$22,0)),"")</f>
        <v/>
      </c>
      <c r="N310" s="516" t="str">
        <f t="shared" si="22"/>
        <v/>
      </c>
      <c r="O310" s="518" t="str">
        <f t="shared" si="19"/>
        <v/>
      </c>
      <c r="P310" s="519" t="str">
        <f t="shared" si="20"/>
        <v/>
      </c>
    </row>
    <row r="311" spans="2:16" ht="18.5" x14ac:dyDescent="0.45">
      <c r="B311" s="244"/>
      <c r="C311" s="502"/>
      <c r="D311" s="502"/>
      <c r="E311" s="502"/>
      <c r="F311" s="502"/>
      <c r="G311" s="502"/>
      <c r="H311" s="502"/>
      <c r="I311" s="244"/>
      <c r="J311" s="516"/>
      <c r="K311" s="516"/>
      <c r="L311" s="517"/>
      <c r="M311" s="516" t="str">
        <f>IFERROR(INDEX('HCC Data Entry'!$J$4:$J$22, MATCH('HCC Detail w Diag'!$B311,'HCC Data Entry'!$I$4:$I$22,0)),"")</f>
        <v/>
      </c>
      <c r="N311" s="516" t="str">
        <f t="shared" si="22"/>
        <v/>
      </c>
      <c r="O311" s="518" t="str">
        <f t="shared" si="19"/>
        <v/>
      </c>
      <c r="P311" s="519" t="str">
        <f t="shared" si="20"/>
        <v/>
      </c>
    </row>
    <row r="312" spans="2:16" ht="18.5" x14ac:dyDescent="0.45">
      <c r="B312" s="244"/>
      <c r="C312" s="502"/>
      <c r="D312" s="502"/>
      <c r="E312" s="502"/>
      <c r="F312" s="502"/>
      <c r="G312" s="502"/>
      <c r="H312" s="502"/>
      <c r="I312" s="244"/>
      <c r="J312" s="516"/>
      <c r="K312" s="516"/>
      <c r="L312" s="517"/>
      <c r="M312" s="516" t="str">
        <f>IFERROR(INDEX('HCC Data Entry'!$J$4:$J$22, MATCH('HCC Detail w Diag'!$B312,'HCC Data Entry'!$I$4:$I$22,0)),"")</f>
        <v/>
      </c>
      <c r="N312" s="516" t="str">
        <f t="shared" si="22"/>
        <v/>
      </c>
      <c r="O312" s="518" t="str">
        <f t="shared" si="19"/>
        <v/>
      </c>
      <c r="P312" s="519" t="str">
        <f t="shared" si="20"/>
        <v/>
      </c>
    </row>
    <row r="313" spans="2:16" ht="18.5" x14ac:dyDescent="0.45">
      <c r="B313" s="244"/>
      <c r="C313" s="502"/>
      <c r="D313" s="502"/>
      <c r="E313" s="502"/>
      <c r="F313" s="502"/>
      <c r="G313" s="502"/>
      <c r="H313" s="502"/>
      <c r="I313" s="244"/>
      <c r="J313" s="516"/>
      <c r="K313" s="516"/>
      <c r="L313" s="517"/>
      <c r="M313" s="516" t="str">
        <f>IFERROR(INDEX('HCC Data Entry'!$J$4:$J$22, MATCH('HCC Detail w Diag'!$B313,'HCC Data Entry'!$I$4:$I$22,0)),"")</f>
        <v/>
      </c>
      <c r="N313" s="516" t="str">
        <f t="shared" si="22"/>
        <v/>
      </c>
      <c r="O313" s="518" t="str">
        <f t="shared" si="19"/>
        <v/>
      </c>
      <c r="P313" s="519" t="str">
        <f t="shared" si="20"/>
        <v/>
      </c>
    </row>
    <row r="314" spans="2:16" ht="18.5" x14ac:dyDescent="0.45">
      <c r="B314" s="244"/>
      <c r="C314" s="502"/>
      <c r="D314" s="502"/>
      <c r="E314" s="502"/>
      <c r="F314" s="502"/>
      <c r="G314" s="502"/>
      <c r="H314" s="502"/>
      <c r="I314" s="244"/>
      <c r="J314" s="516"/>
      <c r="K314" s="516"/>
      <c r="L314" s="517"/>
      <c r="M314" s="516" t="str">
        <f>IFERROR(INDEX('HCC Data Entry'!$J$4:$J$22, MATCH('HCC Detail w Diag'!$B314,'HCC Data Entry'!$I$4:$I$22,0)),"")</f>
        <v/>
      </c>
      <c r="N314" s="516" t="str">
        <f t="shared" si="22"/>
        <v/>
      </c>
      <c r="O314" s="518" t="str">
        <f t="shared" si="19"/>
        <v/>
      </c>
      <c r="P314" s="519" t="str">
        <f t="shared" si="20"/>
        <v/>
      </c>
    </row>
    <row r="315" spans="2:16" ht="18.5" x14ac:dyDescent="0.45">
      <c r="B315" s="244"/>
      <c r="C315" s="502"/>
      <c r="D315" s="502"/>
      <c r="E315" s="502"/>
      <c r="F315" s="502"/>
      <c r="G315" s="502"/>
      <c r="H315" s="502"/>
      <c r="I315" s="244"/>
      <c r="J315" s="516"/>
      <c r="K315" s="516"/>
      <c r="L315" s="517"/>
      <c r="M315" s="516" t="str">
        <f>IFERROR(INDEX('HCC Data Entry'!$J$4:$J$22, MATCH('HCC Detail w Diag'!$B315,'HCC Data Entry'!$I$4:$I$22,0)),"")</f>
        <v/>
      </c>
      <c r="N315" s="516" t="str">
        <f t="shared" si="22"/>
        <v/>
      </c>
      <c r="O315" s="518" t="str">
        <f t="shared" si="19"/>
        <v/>
      </c>
      <c r="P315" s="519" t="str">
        <f t="shared" si="20"/>
        <v/>
      </c>
    </row>
    <row r="316" spans="2:16" ht="18.5" x14ac:dyDescent="0.45">
      <c r="B316" s="244"/>
      <c r="C316" s="502"/>
      <c r="D316" s="502"/>
      <c r="E316" s="502"/>
      <c r="F316" s="502"/>
      <c r="G316" s="502"/>
      <c r="H316" s="502"/>
      <c r="I316" s="244"/>
      <c r="J316" s="516"/>
      <c r="K316" s="516"/>
      <c r="L316" s="517"/>
      <c r="M316" s="516" t="str">
        <f>IFERROR(INDEX('HCC Data Entry'!$J$4:$J$22, MATCH('HCC Detail w Diag'!$B316,'HCC Data Entry'!$I$4:$I$22,0)),"")</f>
        <v/>
      </c>
      <c r="N316" s="516" t="str">
        <f t="shared" si="22"/>
        <v/>
      </c>
      <c r="O316" s="518" t="str">
        <f t="shared" si="19"/>
        <v/>
      </c>
      <c r="P316" s="519" t="str">
        <f t="shared" si="20"/>
        <v/>
      </c>
    </row>
    <row r="317" spans="2:16" ht="18.5" x14ac:dyDescent="0.45">
      <c r="B317" s="244"/>
      <c r="C317" s="502"/>
      <c r="D317" s="502"/>
      <c r="E317" s="502"/>
      <c r="F317" s="502"/>
      <c r="G317" s="502"/>
      <c r="H317" s="502"/>
      <c r="I317" s="244"/>
      <c r="J317" s="516"/>
      <c r="K317" s="516"/>
      <c r="L317" s="517"/>
      <c r="M317" s="516" t="str">
        <f>IFERROR(INDEX('HCC Data Entry'!$J$4:$J$22, MATCH('HCC Detail w Diag'!$B317,'HCC Data Entry'!$I$4:$I$22,0)),"")</f>
        <v/>
      </c>
      <c r="N317" s="516" t="str">
        <f t="shared" si="22"/>
        <v/>
      </c>
      <c r="O317" s="518" t="str">
        <f t="shared" si="19"/>
        <v/>
      </c>
      <c r="P317" s="519" t="str">
        <f t="shared" si="20"/>
        <v/>
      </c>
    </row>
    <row r="318" spans="2:16" ht="18.5" x14ac:dyDescent="0.45">
      <c r="B318" s="244"/>
      <c r="C318" s="502"/>
      <c r="D318" s="502"/>
      <c r="E318" s="502"/>
      <c r="F318" s="502"/>
      <c r="G318" s="502"/>
      <c r="H318" s="502"/>
      <c r="I318" s="244"/>
      <c r="J318" s="516"/>
      <c r="K318" s="516"/>
      <c r="L318" s="517"/>
      <c r="M318" s="516" t="str">
        <f>IFERROR(INDEX('HCC Data Entry'!$J$4:$J$22, MATCH('HCC Detail w Diag'!$B318,'HCC Data Entry'!$I$4:$I$22,0)),"")</f>
        <v/>
      </c>
      <c r="N318" s="516" t="str">
        <f t="shared" si="22"/>
        <v/>
      </c>
      <c r="O318" s="518" t="str">
        <f t="shared" si="19"/>
        <v/>
      </c>
      <c r="P318" s="519" t="str">
        <f t="shared" si="20"/>
        <v/>
      </c>
    </row>
    <row r="319" spans="2:16" ht="18.5" x14ac:dyDescent="0.45">
      <c r="B319" s="244"/>
      <c r="C319" s="502"/>
      <c r="D319" s="502"/>
      <c r="E319" s="502"/>
      <c r="F319" s="502"/>
      <c r="G319" s="502"/>
      <c r="H319" s="502"/>
      <c r="I319" s="244"/>
      <c r="J319" s="516"/>
      <c r="K319" s="516"/>
      <c r="L319" s="517"/>
      <c r="M319" s="516" t="str">
        <f>IFERROR(INDEX('HCC Data Entry'!$J$4:$J$22, MATCH('HCC Detail w Diag'!$B319,'HCC Data Entry'!$I$4:$I$22,0)),"")</f>
        <v/>
      </c>
      <c r="N319" s="516" t="str">
        <f t="shared" si="22"/>
        <v/>
      </c>
      <c r="O319" s="518" t="str">
        <f t="shared" si="19"/>
        <v/>
      </c>
      <c r="P319" s="519" t="str">
        <f t="shared" si="20"/>
        <v/>
      </c>
    </row>
    <row r="320" spans="2:16" ht="18.5" x14ac:dyDescent="0.45">
      <c r="B320" s="244"/>
      <c r="C320" s="502"/>
      <c r="D320" s="502"/>
      <c r="E320" s="502"/>
      <c r="F320" s="502"/>
      <c r="G320" s="502"/>
      <c r="H320" s="502"/>
      <c r="I320" s="244"/>
      <c r="J320" s="516"/>
      <c r="K320" s="516"/>
      <c r="L320" s="517"/>
      <c r="M320" s="516" t="str">
        <f>IFERROR(INDEX('HCC Data Entry'!$J$4:$J$22, MATCH('HCC Detail w Diag'!$B320,'HCC Data Entry'!$I$4:$I$22,0)),"")</f>
        <v/>
      </c>
      <c r="N320" s="516" t="str">
        <f t="shared" si="22"/>
        <v/>
      </c>
      <c r="O320" s="518" t="str">
        <f t="shared" si="19"/>
        <v/>
      </c>
      <c r="P320" s="519" t="str">
        <f t="shared" si="20"/>
        <v/>
      </c>
    </row>
    <row r="321" spans="2:16" ht="18.5" x14ac:dyDescent="0.45">
      <c r="B321" s="244"/>
      <c r="C321" s="502"/>
      <c r="D321" s="502"/>
      <c r="E321" s="502"/>
      <c r="F321" s="502"/>
      <c r="G321" s="502"/>
      <c r="H321" s="502"/>
      <c r="I321" s="244"/>
      <c r="J321" s="516"/>
      <c r="K321" s="516"/>
      <c r="L321" s="517"/>
      <c r="M321" s="516" t="str">
        <f>IFERROR(INDEX('HCC Data Entry'!$J$4:$J$22, MATCH('HCC Detail w Diag'!$B321,'HCC Data Entry'!$I$4:$I$22,0)),"")</f>
        <v/>
      </c>
      <c r="N321" s="516" t="str">
        <f t="shared" si="22"/>
        <v/>
      </c>
      <c r="O321" s="518" t="str">
        <f t="shared" si="19"/>
        <v/>
      </c>
      <c r="P321" s="519" t="str">
        <f t="shared" si="20"/>
        <v/>
      </c>
    </row>
    <row r="322" spans="2:16" ht="18.5" x14ac:dyDescent="0.45">
      <c r="B322" s="244"/>
      <c r="C322" s="502"/>
      <c r="D322" s="502"/>
      <c r="E322" s="502"/>
      <c r="F322" s="502"/>
      <c r="G322" s="502"/>
      <c r="H322" s="502"/>
      <c r="I322" s="244"/>
      <c r="J322" s="516"/>
      <c r="K322" s="516"/>
      <c r="L322" s="517"/>
      <c r="M322" s="516" t="str">
        <f>IFERROR(INDEX('HCC Data Entry'!$J$4:$J$22, MATCH('HCC Detail w Diag'!$B322,'HCC Data Entry'!$I$4:$I$22,0)),"")</f>
        <v/>
      </c>
      <c r="N322" s="516" t="str">
        <f t="shared" si="22"/>
        <v/>
      </c>
      <c r="O322" s="518" t="str">
        <f t="shared" si="19"/>
        <v/>
      </c>
      <c r="P322" s="519" t="str">
        <f t="shared" si="20"/>
        <v/>
      </c>
    </row>
    <row r="323" spans="2:16" ht="18.5" x14ac:dyDescent="0.45">
      <c r="B323" s="244"/>
      <c r="C323" s="502"/>
      <c r="D323" s="502"/>
      <c r="E323" s="502"/>
      <c r="F323" s="502"/>
      <c r="G323" s="502"/>
      <c r="H323" s="502"/>
      <c r="I323" s="244"/>
      <c r="J323" s="516"/>
      <c r="K323" s="516"/>
      <c r="L323" s="517"/>
      <c r="M323" s="516" t="str">
        <f>IFERROR(INDEX('HCC Data Entry'!$J$4:$J$22, MATCH('HCC Detail w Diag'!$B323,'HCC Data Entry'!$I$4:$I$22,0)),"")</f>
        <v/>
      </c>
      <c r="N323" s="516" t="str">
        <f t="shared" si="22"/>
        <v/>
      </c>
      <c r="O323" s="518" t="str">
        <f t="shared" si="19"/>
        <v/>
      </c>
      <c r="P323" s="519" t="str">
        <f t="shared" si="20"/>
        <v/>
      </c>
    </row>
    <row r="324" spans="2:16" ht="18.5" x14ac:dyDescent="0.45">
      <c r="B324" s="244"/>
      <c r="C324" s="502"/>
      <c r="D324" s="502"/>
      <c r="E324" s="502"/>
      <c r="F324" s="502"/>
      <c r="G324" s="502"/>
      <c r="H324" s="502"/>
      <c r="I324" s="244"/>
      <c r="J324" s="516"/>
      <c r="K324" s="516"/>
      <c r="L324" s="517"/>
      <c r="M324" s="516" t="str">
        <f>IFERROR(INDEX('HCC Data Entry'!$J$4:$J$22, MATCH('HCC Detail w Diag'!$B324,'HCC Data Entry'!$I$4:$I$22,0)),"")</f>
        <v/>
      </c>
      <c r="N324" s="516" t="str">
        <f t="shared" si="22"/>
        <v/>
      </c>
      <c r="O324" s="518" t="str">
        <f t="shared" si="19"/>
        <v/>
      </c>
      <c r="P324" s="519" t="str">
        <f t="shared" si="20"/>
        <v/>
      </c>
    </row>
    <row r="325" spans="2:16" ht="18.5" x14ac:dyDescent="0.45">
      <c r="B325" s="244"/>
      <c r="C325" s="502"/>
      <c r="D325" s="502"/>
      <c r="E325" s="502"/>
      <c r="F325" s="502"/>
      <c r="G325" s="502"/>
      <c r="H325" s="502"/>
      <c r="I325" s="244"/>
      <c r="J325" s="516"/>
      <c r="K325" s="516"/>
      <c r="L325" s="517"/>
      <c r="M325" s="516" t="str">
        <f>IFERROR(INDEX('HCC Data Entry'!$J$4:$J$22, MATCH('HCC Detail w Diag'!$B325,'HCC Data Entry'!$I$4:$I$22,0)),"")</f>
        <v/>
      </c>
      <c r="N325" s="516" t="str">
        <f t="shared" si="22"/>
        <v/>
      </c>
      <c r="O325" s="518" t="str">
        <f t="shared" ref="O325:O388" si="23">IF(N325="","",IF(N325=0,0, IF(L325&gt;$U$4,($U$4-M325),N325)))</f>
        <v/>
      </c>
      <c r="P325" s="519" t="str">
        <f t="shared" ref="P325:P388" si="24">IF(O325="","",IF(O325=0,0,IF(L325&gt;$U$4,L325-$U$4,0)))</f>
        <v/>
      </c>
    </row>
    <row r="326" spans="2:16" ht="18.5" x14ac:dyDescent="0.45">
      <c r="B326" s="244"/>
      <c r="C326" s="502"/>
      <c r="D326" s="502"/>
      <c r="E326" s="502"/>
      <c r="F326" s="502"/>
      <c r="G326" s="502"/>
      <c r="H326" s="502"/>
      <c r="I326" s="244"/>
      <c r="J326" s="516"/>
      <c r="K326" s="516"/>
      <c r="L326" s="517"/>
      <c r="M326" s="516" t="str">
        <f>IFERROR(INDEX('HCC Data Entry'!$J$4:$J$22, MATCH('HCC Detail w Diag'!$B326,'HCC Data Entry'!$I$4:$I$22,0)),"")</f>
        <v/>
      </c>
      <c r="N326" s="516" t="str">
        <f t="shared" si="22"/>
        <v/>
      </c>
      <c r="O326" s="518" t="str">
        <f t="shared" si="23"/>
        <v/>
      </c>
      <c r="P326" s="519" t="str">
        <f t="shared" si="24"/>
        <v/>
      </c>
    </row>
    <row r="327" spans="2:16" ht="18.5" x14ac:dyDescent="0.45">
      <c r="B327" s="244"/>
      <c r="C327" s="502"/>
      <c r="D327" s="502"/>
      <c r="E327" s="502"/>
      <c r="F327" s="502"/>
      <c r="G327" s="502"/>
      <c r="H327" s="502"/>
      <c r="I327" s="244"/>
      <c r="J327" s="516"/>
      <c r="K327" s="516"/>
      <c r="L327" s="517"/>
      <c r="M327" s="516" t="str">
        <f>IFERROR(INDEX('HCC Data Entry'!$J$4:$J$22, MATCH('HCC Detail w Diag'!$B327,'HCC Data Entry'!$I$4:$I$22,0)),"")</f>
        <v/>
      </c>
      <c r="N327" s="516" t="str">
        <f t="shared" si="22"/>
        <v/>
      </c>
      <c r="O327" s="518" t="str">
        <f t="shared" si="23"/>
        <v/>
      </c>
      <c r="P327" s="519" t="str">
        <f t="shared" si="24"/>
        <v/>
      </c>
    </row>
    <row r="328" spans="2:16" ht="18.5" x14ac:dyDescent="0.45">
      <c r="B328" s="244"/>
      <c r="C328" s="502"/>
      <c r="D328" s="502"/>
      <c r="E328" s="502"/>
      <c r="F328" s="502"/>
      <c r="G328" s="502"/>
      <c r="H328" s="502"/>
      <c r="I328" s="244"/>
      <c r="J328" s="516"/>
      <c r="K328" s="516"/>
      <c r="L328" s="517"/>
      <c r="M328" s="516" t="str">
        <f>IFERROR(INDEX('HCC Data Entry'!$J$4:$J$22, MATCH('HCC Detail w Diag'!$B328,'HCC Data Entry'!$I$4:$I$22,0)),"")</f>
        <v/>
      </c>
      <c r="N328" s="516" t="str">
        <f t="shared" si="22"/>
        <v/>
      </c>
      <c r="O328" s="518" t="str">
        <f t="shared" si="23"/>
        <v/>
      </c>
      <c r="P328" s="519" t="str">
        <f t="shared" si="24"/>
        <v/>
      </c>
    </row>
    <row r="329" spans="2:16" ht="18.5" x14ac:dyDescent="0.45">
      <c r="B329" s="244"/>
      <c r="C329" s="502"/>
      <c r="D329" s="502"/>
      <c r="E329" s="502"/>
      <c r="F329" s="502"/>
      <c r="G329" s="502"/>
      <c r="H329" s="502"/>
      <c r="I329" s="244"/>
      <c r="J329" s="516"/>
      <c r="K329" s="516"/>
      <c r="L329" s="517"/>
      <c r="M329" s="516" t="str">
        <f>IFERROR(INDEX('HCC Data Entry'!$J$4:$J$22, MATCH('HCC Detail w Diag'!$B329,'HCC Data Entry'!$I$4:$I$22,0)),"")</f>
        <v/>
      </c>
      <c r="N329" s="516" t="str">
        <f t="shared" si="22"/>
        <v/>
      </c>
      <c r="O329" s="518" t="str">
        <f t="shared" si="23"/>
        <v/>
      </c>
      <c r="P329" s="519" t="str">
        <f t="shared" si="24"/>
        <v/>
      </c>
    </row>
    <row r="330" spans="2:16" ht="18.5" x14ac:dyDescent="0.45">
      <c r="B330" s="244"/>
      <c r="C330" s="502"/>
      <c r="D330" s="502"/>
      <c r="E330" s="502"/>
      <c r="F330" s="502"/>
      <c r="G330" s="502"/>
      <c r="H330" s="502"/>
      <c r="I330" s="244"/>
      <c r="J330" s="516"/>
      <c r="K330" s="516"/>
      <c r="L330" s="517"/>
      <c r="M330" s="516" t="str">
        <f>IFERROR(INDEX('HCC Data Entry'!$J$4:$J$22, MATCH('HCC Detail w Diag'!$B330,'HCC Data Entry'!$I$4:$I$22,0)),"")</f>
        <v/>
      </c>
      <c r="N330" s="516" t="str">
        <f t="shared" si="22"/>
        <v/>
      </c>
      <c r="O330" s="518" t="str">
        <f t="shared" si="23"/>
        <v/>
      </c>
      <c r="P330" s="519" t="str">
        <f t="shared" si="24"/>
        <v/>
      </c>
    </row>
    <row r="331" spans="2:16" ht="18.5" x14ac:dyDescent="0.45">
      <c r="B331" s="244"/>
      <c r="C331" s="502"/>
      <c r="D331" s="502"/>
      <c r="E331" s="502"/>
      <c r="F331" s="502"/>
      <c r="G331" s="502"/>
      <c r="H331" s="502"/>
      <c r="I331" s="244"/>
      <c r="J331" s="516"/>
      <c r="K331" s="516"/>
      <c r="L331" s="517"/>
      <c r="M331" s="516" t="str">
        <f>IFERROR(INDEX('HCC Data Entry'!$J$4:$J$22, MATCH('HCC Detail w Diag'!$B331,'HCC Data Entry'!$I$4:$I$22,0)),"")</f>
        <v/>
      </c>
      <c r="N331" s="516" t="str">
        <f t="shared" si="22"/>
        <v/>
      </c>
      <c r="O331" s="518" t="str">
        <f t="shared" si="23"/>
        <v/>
      </c>
      <c r="P331" s="519" t="str">
        <f t="shared" si="24"/>
        <v/>
      </c>
    </row>
    <row r="332" spans="2:16" ht="18.5" x14ac:dyDescent="0.45">
      <c r="B332" s="244"/>
      <c r="C332" s="502"/>
      <c r="D332" s="502"/>
      <c r="E332" s="502"/>
      <c r="F332" s="502"/>
      <c r="G332" s="502"/>
      <c r="H332" s="502"/>
      <c r="I332" s="244"/>
      <c r="J332" s="516"/>
      <c r="K332" s="516"/>
      <c r="L332" s="517"/>
      <c r="M332" s="516" t="str">
        <f>IFERROR(INDEX('HCC Data Entry'!$J$4:$J$22, MATCH('HCC Detail w Diag'!$B332,'HCC Data Entry'!$I$4:$I$22,0)),"")</f>
        <v/>
      </c>
      <c r="N332" s="516" t="str">
        <f t="shared" si="22"/>
        <v/>
      </c>
      <c r="O332" s="518" t="str">
        <f t="shared" si="23"/>
        <v/>
      </c>
      <c r="P332" s="519" t="str">
        <f t="shared" si="24"/>
        <v/>
      </c>
    </row>
    <row r="333" spans="2:16" ht="18.5" x14ac:dyDescent="0.45">
      <c r="B333" s="244"/>
      <c r="C333" s="502"/>
      <c r="D333" s="502"/>
      <c r="E333" s="502"/>
      <c r="F333" s="502"/>
      <c r="G333" s="502"/>
      <c r="H333" s="502"/>
      <c r="I333" s="244"/>
      <c r="J333" s="516"/>
      <c r="K333" s="516"/>
      <c r="L333" s="517"/>
      <c r="M333" s="516" t="str">
        <f>IFERROR(INDEX('HCC Data Entry'!$J$4:$J$22, MATCH('HCC Detail w Diag'!$B333,'HCC Data Entry'!$I$4:$I$22,0)),"")</f>
        <v/>
      </c>
      <c r="N333" s="516" t="str">
        <f t="shared" si="22"/>
        <v/>
      </c>
      <c r="O333" s="518" t="str">
        <f t="shared" si="23"/>
        <v/>
      </c>
      <c r="P333" s="519" t="str">
        <f t="shared" si="24"/>
        <v/>
      </c>
    </row>
    <row r="334" spans="2:16" ht="18.5" x14ac:dyDescent="0.45">
      <c r="B334" s="244"/>
      <c r="C334" s="502"/>
      <c r="D334" s="502"/>
      <c r="E334" s="502"/>
      <c r="F334" s="502"/>
      <c r="G334" s="502"/>
      <c r="H334" s="502"/>
      <c r="I334" s="244"/>
      <c r="J334" s="516"/>
      <c r="K334" s="516"/>
      <c r="L334" s="517"/>
      <c r="M334" s="516" t="str">
        <f>IFERROR(INDEX('HCC Data Entry'!$J$4:$J$22, MATCH('HCC Detail w Diag'!$B334,'HCC Data Entry'!$I$4:$I$22,0)),"")</f>
        <v/>
      </c>
      <c r="N334" s="516" t="str">
        <f t="shared" si="22"/>
        <v/>
      </c>
      <c r="O334" s="518" t="str">
        <f t="shared" si="23"/>
        <v/>
      </c>
      <c r="P334" s="519" t="str">
        <f t="shared" si="24"/>
        <v/>
      </c>
    </row>
    <row r="335" spans="2:16" ht="18.5" x14ac:dyDescent="0.45">
      <c r="B335" s="244"/>
      <c r="C335" s="502"/>
      <c r="D335" s="502"/>
      <c r="E335" s="502"/>
      <c r="F335" s="502"/>
      <c r="G335" s="502"/>
      <c r="H335" s="502"/>
      <c r="I335" s="244"/>
      <c r="J335" s="516"/>
      <c r="K335" s="516"/>
      <c r="L335" s="517"/>
      <c r="M335" s="516" t="str">
        <f>IFERROR(INDEX('HCC Data Entry'!$J$4:$J$22, MATCH('HCC Detail w Diag'!$B335,'HCC Data Entry'!$I$4:$I$22,0)),"")</f>
        <v/>
      </c>
      <c r="N335" s="516" t="str">
        <f t="shared" si="22"/>
        <v/>
      </c>
      <c r="O335" s="518" t="str">
        <f t="shared" si="23"/>
        <v/>
      </c>
      <c r="P335" s="519" t="str">
        <f t="shared" si="24"/>
        <v/>
      </c>
    </row>
    <row r="336" spans="2:16" ht="18.5" x14ac:dyDescent="0.45">
      <c r="B336" s="244"/>
      <c r="C336" s="502"/>
      <c r="D336" s="502"/>
      <c r="E336" s="502"/>
      <c r="F336" s="502"/>
      <c r="G336" s="502"/>
      <c r="H336" s="502"/>
      <c r="I336" s="244"/>
      <c r="J336" s="516"/>
      <c r="K336" s="516"/>
      <c r="L336" s="517"/>
      <c r="M336" s="516" t="str">
        <f>IFERROR(INDEX('HCC Data Entry'!$J$4:$J$22, MATCH('HCC Detail w Diag'!$B336,'HCC Data Entry'!$I$4:$I$22,0)),"")</f>
        <v/>
      </c>
      <c r="N336" s="516" t="str">
        <f t="shared" si="22"/>
        <v/>
      </c>
      <c r="O336" s="518" t="str">
        <f t="shared" si="23"/>
        <v/>
      </c>
      <c r="P336" s="519" t="str">
        <f t="shared" si="24"/>
        <v/>
      </c>
    </row>
    <row r="337" spans="2:16" ht="18.5" x14ac:dyDescent="0.45">
      <c r="B337" s="244"/>
      <c r="C337" s="502"/>
      <c r="D337" s="502"/>
      <c r="E337" s="502"/>
      <c r="F337" s="502"/>
      <c r="G337" s="502"/>
      <c r="H337" s="502"/>
      <c r="I337" s="244"/>
      <c r="J337" s="516"/>
      <c r="K337" s="516"/>
      <c r="L337" s="517"/>
      <c r="M337" s="516" t="str">
        <f>IFERROR(INDEX('HCC Data Entry'!$J$4:$J$22, MATCH('HCC Detail w Diag'!$B337,'HCC Data Entry'!$I$4:$I$22,0)),"")</f>
        <v/>
      </c>
      <c r="N337" s="516" t="str">
        <f t="shared" si="22"/>
        <v/>
      </c>
      <c r="O337" s="518" t="str">
        <f t="shared" si="23"/>
        <v/>
      </c>
      <c r="P337" s="519" t="str">
        <f t="shared" si="24"/>
        <v/>
      </c>
    </row>
    <row r="338" spans="2:16" ht="18.5" x14ac:dyDescent="0.45">
      <c r="B338" s="244"/>
      <c r="C338" s="502"/>
      <c r="D338" s="502"/>
      <c r="E338" s="502"/>
      <c r="F338" s="502"/>
      <c r="G338" s="502"/>
      <c r="H338" s="502"/>
      <c r="I338" s="244"/>
      <c r="J338" s="516"/>
      <c r="K338" s="516"/>
      <c r="L338" s="517"/>
      <c r="M338" s="516" t="str">
        <f>IFERROR(INDEX('HCC Data Entry'!$J$4:$J$22, MATCH('HCC Detail w Diag'!$B338,'HCC Data Entry'!$I$4:$I$22,0)),"")</f>
        <v/>
      </c>
      <c r="N338" s="516" t="str">
        <f t="shared" si="22"/>
        <v/>
      </c>
      <c r="O338" s="518" t="str">
        <f t="shared" si="23"/>
        <v/>
      </c>
      <c r="P338" s="519" t="str">
        <f t="shared" si="24"/>
        <v/>
      </c>
    </row>
    <row r="339" spans="2:16" ht="18.5" x14ac:dyDescent="0.45">
      <c r="B339" s="244"/>
      <c r="C339" s="502"/>
      <c r="D339" s="502"/>
      <c r="E339" s="502"/>
      <c r="F339" s="502"/>
      <c r="G339" s="502"/>
      <c r="H339" s="502"/>
      <c r="I339" s="244"/>
      <c r="J339" s="516"/>
      <c r="K339" s="516"/>
      <c r="L339" s="517"/>
      <c r="M339" s="516" t="str">
        <f>IFERROR(INDEX('HCC Data Entry'!$J$4:$J$22, MATCH('HCC Detail w Diag'!$B339,'HCC Data Entry'!$I$4:$I$22,0)),"")</f>
        <v/>
      </c>
      <c r="N339" s="516" t="str">
        <f t="shared" si="22"/>
        <v/>
      </c>
      <c r="O339" s="518" t="str">
        <f t="shared" si="23"/>
        <v/>
      </c>
      <c r="P339" s="519" t="str">
        <f t="shared" si="24"/>
        <v/>
      </c>
    </row>
    <row r="340" spans="2:16" ht="18.5" x14ac:dyDescent="0.45">
      <c r="B340" s="244"/>
      <c r="C340" s="502"/>
      <c r="D340" s="502"/>
      <c r="E340" s="502"/>
      <c r="F340" s="502"/>
      <c r="G340" s="502"/>
      <c r="H340" s="502"/>
      <c r="I340" s="244"/>
      <c r="J340" s="516"/>
      <c r="K340" s="516"/>
      <c r="L340" s="517"/>
      <c r="M340" s="516" t="str">
        <f>IFERROR(INDEX('HCC Data Entry'!$J$4:$J$22, MATCH('HCC Detail w Diag'!$B340,'HCC Data Entry'!$I$4:$I$22,0)),"")</f>
        <v/>
      </c>
      <c r="N340" s="516" t="str">
        <f t="shared" si="22"/>
        <v/>
      </c>
      <c r="O340" s="518" t="str">
        <f t="shared" si="23"/>
        <v/>
      </c>
      <c r="P340" s="519" t="str">
        <f t="shared" si="24"/>
        <v/>
      </c>
    </row>
    <row r="341" spans="2:16" ht="18.5" x14ac:dyDescent="0.45">
      <c r="B341" s="244"/>
      <c r="C341" s="502"/>
      <c r="D341" s="502"/>
      <c r="E341" s="502"/>
      <c r="F341" s="502"/>
      <c r="G341" s="502"/>
      <c r="H341" s="502"/>
      <c r="I341" s="244"/>
      <c r="J341" s="516"/>
      <c r="K341" s="516"/>
      <c r="L341" s="517"/>
      <c r="M341" s="516" t="str">
        <f>IFERROR(INDEX('HCC Data Entry'!$J$4:$J$22, MATCH('HCC Detail w Diag'!$B341,'HCC Data Entry'!$I$4:$I$22,0)),"")</f>
        <v/>
      </c>
      <c r="N341" s="516" t="str">
        <f t="shared" si="22"/>
        <v/>
      </c>
      <c r="O341" s="518" t="str">
        <f t="shared" si="23"/>
        <v/>
      </c>
      <c r="P341" s="519" t="str">
        <f t="shared" si="24"/>
        <v/>
      </c>
    </row>
    <row r="342" spans="2:16" ht="18.5" x14ac:dyDescent="0.45">
      <c r="B342" s="244"/>
      <c r="C342" s="502"/>
      <c r="D342" s="502"/>
      <c r="E342" s="502"/>
      <c r="F342" s="502"/>
      <c r="G342" s="502"/>
      <c r="H342" s="502"/>
      <c r="I342" s="244"/>
      <c r="J342" s="516"/>
      <c r="K342" s="516"/>
      <c r="L342" s="517"/>
      <c r="M342" s="516" t="str">
        <f>IFERROR(INDEX('HCC Data Entry'!$J$4:$J$22, MATCH('HCC Detail w Diag'!$B342,'HCC Data Entry'!$I$4:$I$22,0)),"")</f>
        <v/>
      </c>
      <c r="N342" s="516" t="str">
        <f t="shared" si="22"/>
        <v/>
      </c>
      <c r="O342" s="518" t="str">
        <f t="shared" si="23"/>
        <v/>
      </c>
      <c r="P342" s="519" t="str">
        <f t="shared" si="24"/>
        <v/>
      </c>
    </row>
    <row r="343" spans="2:16" ht="18.5" x14ac:dyDescent="0.45">
      <c r="B343" s="244"/>
      <c r="C343" s="502"/>
      <c r="D343" s="502"/>
      <c r="E343" s="502"/>
      <c r="F343" s="502"/>
      <c r="G343" s="502"/>
      <c r="H343" s="502"/>
      <c r="I343" s="244"/>
      <c r="J343" s="516"/>
      <c r="K343" s="516"/>
      <c r="L343" s="517"/>
      <c r="M343" s="516" t="str">
        <f>IFERROR(INDEX('HCC Data Entry'!$J$4:$J$22, MATCH('HCC Detail w Diag'!$B343,'HCC Data Entry'!$I$4:$I$22,0)),"")</f>
        <v/>
      </c>
      <c r="N343" s="516" t="str">
        <f t="shared" si="22"/>
        <v/>
      </c>
      <c r="O343" s="518" t="str">
        <f t="shared" si="23"/>
        <v/>
      </c>
      <c r="P343" s="519" t="str">
        <f t="shared" si="24"/>
        <v/>
      </c>
    </row>
    <row r="344" spans="2:16" ht="18.5" x14ac:dyDescent="0.45">
      <c r="B344" s="244"/>
      <c r="C344" s="502"/>
      <c r="D344" s="502"/>
      <c r="E344" s="502"/>
      <c r="F344" s="502"/>
      <c r="G344" s="502"/>
      <c r="H344" s="502"/>
      <c r="I344" s="244"/>
      <c r="J344" s="516"/>
      <c r="K344" s="516"/>
      <c r="L344" s="517"/>
      <c r="M344" s="516" t="str">
        <f>IFERROR(INDEX('HCC Data Entry'!$J$4:$J$22, MATCH('HCC Detail w Diag'!$B344,'HCC Data Entry'!$I$4:$I$22,0)),"")</f>
        <v/>
      </c>
      <c r="N344" s="516" t="str">
        <f t="shared" si="22"/>
        <v/>
      </c>
      <c r="O344" s="518" t="str">
        <f t="shared" si="23"/>
        <v/>
      </c>
      <c r="P344" s="519" t="str">
        <f t="shared" si="24"/>
        <v/>
      </c>
    </row>
    <row r="345" spans="2:16" ht="18.5" x14ac:dyDescent="0.45">
      <c r="B345" s="244"/>
      <c r="C345" s="502"/>
      <c r="D345" s="502"/>
      <c r="E345" s="502"/>
      <c r="F345" s="502"/>
      <c r="G345" s="502"/>
      <c r="H345" s="502"/>
      <c r="I345" s="244"/>
      <c r="J345" s="516"/>
      <c r="K345" s="516"/>
      <c r="L345" s="517"/>
      <c r="M345" s="516" t="str">
        <f>IFERROR(INDEX('HCC Data Entry'!$J$4:$J$22, MATCH('HCC Detail w Diag'!$B345,'HCC Data Entry'!$I$4:$I$22,0)),"")</f>
        <v/>
      </c>
      <c r="N345" s="516" t="str">
        <f t="shared" si="22"/>
        <v/>
      </c>
      <c r="O345" s="518" t="str">
        <f t="shared" si="23"/>
        <v/>
      </c>
      <c r="P345" s="519" t="str">
        <f t="shared" si="24"/>
        <v/>
      </c>
    </row>
    <row r="346" spans="2:16" ht="18.5" x14ac:dyDescent="0.45">
      <c r="B346" s="244"/>
      <c r="C346" s="502"/>
      <c r="D346" s="502"/>
      <c r="E346" s="502"/>
      <c r="F346" s="502"/>
      <c r="G346" s="502"/>
      <c r="H346" s="502"/>
      <c r="I346" s="244"/>
      <c r="J346" s="516"/>
      <c r="K346" s="516"/>
      <c r="L346" s="517"/>
      <c r="M346" s="516" t="str">
        <f>IFERROR(INDEX('HCC Data Entry'!$J$4:$J$22, MATCH('HCC Detail w Diag'!$B346,'HCC Data Entry'!$I$4:$I$22,0)),"")</f>
        <v/>
      </c>
      <c r="N346" s="516" t="str">
        <f t="shared" si="22"/>
        <v/>
      </c>
      <c r="O346" s="518" t="str">
        <f t="shared" si="23"/>
        <v/>
      </c>
      <c r="P346" s="519" t="str">
        <f t="shared" si="24"/>
        <v/>
      </c>
    </row>
    <row r="347" spans="2:16" ht="18.5" x14ac:dyDescent="0.45">
      <c r="B347" s="244"/>
      <c r="C347" s="502"/>
      <c r="D347" s="502"/>
      <c r="E347" s="502"/>
      <c r="F347" s="502"/>
      <c r="G347" s="502"/>
      <c r="H347" s="502"/>
      <c r="I347" s="244"/>
      <c r="J347" s="516"/>
      <c r="K347" s="516"/>
      <c r="L347" s="517"/>
      <c r="M347" s="516" t="str">
        <f>IFERROR(INDEX('HCC Data Entry'!$J$4:$J$22, MATCH('HCC Detail w Diag'!$B347,'HCC Data Entry'!$I$4:$I$22,0)),"")</f>
        <v/>
      </c>
      <c r="N347" s="516" t="str">
        <f t="shared" si="22"/>
        <v/>
      </c>
      <c r="O347" s="518" t="str">
        <f t="shared" si="23"/>
        <v/>
      </c>
      <c r="P347" s="519" t="str">
        <f t="shared" si="24"/>
        <v/>
      </c>
    </row>
    <row r="348" spans="2:16" ht="18.5" x14ac:dyDescent="0.45">
      <c r="B348" s="244"/>
      <c r="C348" s="502"/>
      <c r="D348" s="502"/>
      <c r="E348" s="502"/>
      <c r="F348" s="502"/>
      <c r="G348" s="502"/>
      <c r="H348" s="502"/>
      <c r="I348" s="244"/>
      <c r="J348" s="516"/>
      <c r="K348" s="516"/>
      <c r="L348" s="517"/>
      <c r="M348" s="516" t="str">
        <f>IFERROR(INDEX('HCC Data Entry'!$J$4:$J$22, MATCH('HCC Detail w Diag'!$B348,'HCC Data Entry'!$I$4:$I$22,0)),"")</f>
        <v/>
      </c>
      <c r="N348" s="516" t="str">
        <f t="shared" si="22"/>
        <v/>
      </c>
      <c r="O348" s="518" t="str">
        <f t="shared" si="23"/>
        <v/>
      </c>
      <c r="P348" s="519" t="str">
        <f t="shared" si="24"/>
        <v/>
      </c>
    </row>
    <row r="349" spans="2:16" ht="18.5" x14ac:dyDescent="0.45">
      <c r="B349" s="244"/>
      <c r="C349" s="502"/>
      <c r="D349" s="502"/>
      <c r="E349" s="502"/>
      <c r="F349" s="502"/>
      <c r="G349" s="502"/>
      <c r="H349" s="502"/>
      <c r="I349" s="244"/>
      <c r="J349" s="516"/>
      <c r="K349" s="516"/>
      <c r="L349" s="517"/>
      <c r="M349" s="516" t="str">
        <f>IFERROR(INDEX('HCC Data Entry'!$J$4:$J$22, MATCH('HCC Detail w Diag'!$B349,'HCC Data Entry'!$I$4:$I$22,0)),"")</f>
        <v/>
      </c>
      <c r="N349" s="516" t="str">
        <f t="shared" si="22"/>
        <v/>
      </c>
      <c r="O349" s="518" t="str">
        <f t="shared" si="23"/>
        <v/>
      </c>
      <c r="P349" s="519" t="str">
        <f t="shared" si="24"/>
        <v/>
      </c>
    </row>
    <row r="350" spans="2:16" ht="18.5" x14ac:dyDescent="0.45">
      <c r="B350" s="244"/>
      <c r="C350" s="502"/>
      <c r="D350" s="502"/>
      <c r="E350" s="502"/>
      <c r="F350" s="502"/>
      <c r="G350" s="502"/>
      <c r="H350" s="502"/>
      <c r="I350" s="244"/>
      <c r="J350" s="516"/>
      <c r="K350" s="516"/>
      <c r="L350" s="517"/>
      <c r="M350" s="516" t="str">
        <f>IFERROR(INDEX('HCC Data Entry'!$J$4:$J$22, MATCH('HCC Detail w Diag'!$B350,'HCC Data Entry'!$I$4:$I$22,0)),"")</f>
        <v/>
      </c>
      <c r="N350" s="516" t="str">
        <f t="shared" si="22"/>
        <v/>
      </c>
      <c r="O350" s="518" t="str">
        <f t="shared" si="23"/>
        <v/>
      </c>
      <c r="P350" s="519" t="str">
        <f t="shared" si="24"/>
        <v/>
      </c>
    </row>
    <row r="351" spans="2:16" ht="18.5" x14ac:dyDescent="0.45">
      <c r="B351" s="244"/>
      <c r="C351" s="502"/>
      <c r="D351" s="502"/>
      <c r="E351" s="502"/>
      <c r="F351" s="502"/>
      <c r="G351" s="502"/>
      <c r="H351" s="502"/>
      <c r="I351" s="244"/>
      <c r="J351" s="516"/>
      <c r="K351" s="516"/>
      <c r="L351" s="517"/>
      <c r="M351" s="516" t="str">
        <f>IFERROR(INDEX('HCC Data Entry'!$J$4:$J$22, MATCH('HCC Detail w Diag'!$B351,'HCC Data Entry'!$I$4:$I$22,0)),"")</f>
        <v/>
      </c>
      <c r="N351" s="516" t="str">
        <f t="shared" si="22"/>
        <v/>
      </c>
      <c r="O351" s="518" t="str">
        <f t="shared" si="23"/>
        <v/>
      </c>
      <c r="P351" s="519" t="str">
        <f t="shared" si="24"/>
        <v/>
      </c>
    </row>
    <row r="352" spans="2:16" ht="18.5" x14ac:dyDescent="0.45">
      <c r="B352" s="244"/>
      <c r="C352" s="502"/>
      <c r="D352" s="502"/>
      <c r="E352" s="502"/>
      <c r="F352" s="502"/>
      <c r="G352" s="502"/>
      <c r="H352" s="502"/>
      <c r="I352" s="244"/>
      <c r="J352" s="516"/>
      <c r="K352" s="516"/>
      <c r="L352" s="517"/>
      <c r="M352" s="516" t="str">
        <f>IFERROR(INDEX('HCC Data Entry'!$J$4:$J$22, MATCH('HCC Detail w Diag'!$B352,'HCC Data Entry'!$I$4:$I$22,0)),"")</f>
        <v/>
      </c>
      <c r="N352" s="516" t="str">
        <f t="shared" si="22"/>
        <v/>
      </c>
      <c r="O352" s="518" t="str">
        <f t="shared" si="23"/>
        <v/>
      </c>
      <c r="P352" s="519" t="str">
        <f t="shared" si="24"/>
        <v/>
      </c>
    </row>
    <row r="353" spans="2:16" ht="18.5" x14ac:dyDescent="0.45">
      <c r="B353" s="244"/>
      <c r="C353" s="502"/>
      <c r="D353" s="502"/>
      <c r="E353" s="502"/>
      <c r="F353" s="502"/>
      <c r="G353" s="502"/>
      <c r="H353" s="502"/>
      <c r="I353" s="244"/>
      <c r="J353" s="516"/>
      <c r="K353" s="516"/>
      <c r="L353" s="517"/>
      <c r="M353" s="516" t="str">
        <f>IFERROR(INDEX('HCC Data Entry'!$J$4:$J$22, MATCH('HCC Detail w Diag'!$B353,'HCC Data Entry'!$I$4:$I$22,0)),"")</f>
        <v/>
      </c>
      <c r="N353" s="516" t="str">
        <f t="shared" si="22"/>
        <v/>
      </c>
      <c r="O353" s="518" t="str">
        <f t="shared" si="23"/>
        <v/>
      </c>
      <c r="P353" s="519" t="str">
        <f t="shared" si="24"/>
        <v/>
      </c>
    </row>
    <row r="354" spans="2:16" ht="18.5" x14ac:dyDescent="0.45">
      <c r="B354" s="244"/>
      <c r="C354" s="502"/>
      <c r="D354" s="502"/>
      <c r="E354" s="502"/>
      <c r="F354" s="502"/>
      <c r="G354" s="502"/>
      <c r="H354" s="502"/>
      <c r="I354" s="244"/>
      <c r="J354" s="516"/>
      <c r="K354" s="516"/>
      <c r="L354" s="517"/>
      <c r="M354" s="516" t="str">
        <f>IFERROR(INDEX('HCC Data Entry'!$J$4:$J$22, MATCH('HCC Detail w Diag'!$B354,'HCC Data Entry'!$I$4:$I$22,0)),"")</f>
        <v/>
      </c>
      <c r="N354" s="516" t="str">
        <f t="shared" si="22"/>
        <v/>
      </c>
      <c r="O354" s="518" t="str">
        <f t="shared" si="23"/>
        <v/>
      </c>
      <c r="P354" s="519" t="str">
        <f t="shared" si="24"/>
        <v/>
      </c>
    </row>
    <row r="355" spans="2:16" ht="18.5" x14ac:dyDescent="0.45">
      <c r="B355" s="244"/>
      <c r="C355" s="502"/>
      <c r="D355" s="502"/>
      <c r="E355" s="502"/>
      <c r="F355" s="502"/>
      <c r="G355" s="502"/>
      <c r="H355" s="502"/>
      <c r="I355" s="244"/>
      <c r="J355" s="516"/>
      <c r="K355" s="516"/>
      <c r="L355" s="517"/>
      <c r="M355" s="516" t="str">
        <f>IFERROR(INDEX('HCC Data Entry'!$J$4:$J$22, MATCH('HCC Detail w Diag'!$B355,'HCC Data Entry'!$I$4:$I$22,0)),"")</f>
        <v/>
      </c>
      <c r="N355" s="516" t="str">
        <f t="shared" si="22"/>
        <v/>
      </c>
      <c r="O355" s="518" t="str">
        <f t="shared" si="23"/>
        <v/>
      </c>
      <c r="P355" s="519" t="str">
        <f t="shared" si="24"/>
        <v/>
      </c>
    </row>
    <row r="356" spans="2:16" ht="18.5" x14ac:dyDescent="0.45">
      <c r="B356" s="244"/>
      <c r="C356" s="502"/>
      <c r="D356" s="502"/>
      <c r="E356" s="502"/>
      <c r="F356" s="502"/>
      <c r="G356" s="502"/>
      <c r="H356" s="502"/>
      <c r="I356" s="244"/>
      <c r="J356" s="516"/>
      <c r="K356" s="516"/>
      <c r="L356" s="517"/>
      <c r="M356" s="516" t="str">
        <f>IFERROR(INDEX('HCC Data Entry'!$J$4:$J$22, MATCH('HCC Detail w Diag'!$B356,'HCC Data Entry'!$I$4:$I$22,0)),"")</f>
        <v/>
      </c>
      <c r="N356" s="516" t="str">
        <f t="shared" si="22"/>
        <v/>
      </c>
      <c r="O356" s="518" t="str">
        <f t="shared" si="23"/>
        <v/>
      </c>
      <c r="P356" s="519" t="str">
        <f t="shared" si="24"/>
        <v/>
      </c>
    </row>
    <row r="357" spans="2:16" ht="18.5" x14ac:dyDescent="0.45">
      <c r="B357" s="244"/>
      <c r="C357" s="502"/>
      <c r="D357" s="502"/>
      <c r="E357" s="502"/>
      <c r="F357" s="502"/>
      <c r="G357" s="502"/>
      <c r="H357" s="502"/>
      <c r="I357" s="244"/>
      <c r="J357" s="516"/>
      <c r="K357" s="516"/>
      <c r="L357" s="517"/>
      <c r="M357" s="516" t="str">
        <f>IFERROR(INDEX('HCC Data Entry'!$J$4:$J$22, MATCH('HCC Detail w Diag'!$B357,'HCC Data Entry'!$I$4:$I$22,0)),"")</f>
        <v/>
      </c>
      <c r="N357" s="516" t="str">
        <f t="shared" si="22"/>
        <v/>
      </c>
      <c r="O357" s="518" t="str">
        <f t="shared" si="23"/>
        <v/>
      </c>
      <c r="P357" s="519" t="str">
        <f t="shared" si="24"/>
        <v/>
      </c>
    </row>
    <row r="358" spans="2:16" ht="18.5" x14ac:dyDescent="0.45">
      <c r="B358" s="244"/>
      <c r="C358" s="502"/>
      <c r="D358" s="502"/>
      <c r="E358" s="502"/>
      <c r="F358" s="502"/>
      <c r="G358" s="502"/>
      <c r="H358" s="502"/>
      <c r="I358" s="244"/>
      <c r="J358" s="516"/>
      <c r="K358" s="516"/>
      <c r="L358" s="517"/>
      <c r="M358" s="516" t="str">
        <f>IFERROR(INDEX('HCC Data Entry'!$J$4:$J$22, MATCH('HCC Detail w Diag'!$B358,'HCC Data Entry'!$I$4:$I$22,0)),"")</f>
        <v/>
      </c>
      <c r="N358" s="516" t="str">
        <f t="shared" si="22"/>
        <v/>
      </c>
      <c r="O358" s="518" t="str">
        <f t="shared" si="23"/>
        <v/>
      </c>
      <c r="P358" s="519" t="str">
        <f t="shared" si="24"/>
        <v/>
      </c>
    </row>
    <row r="359" spans="2:16" ht="18.5" x14ac:dyDescent="0.45">
      <c r="B359" s="244"/>
      <c r="C359" s="502"/>
      <c r="D359" s="502"/>
      <c r="E359" s="502"/>
      <c r="F359" s="502"/>
      <c r="G359" s="502"/>
      <c r="H359" s="502"/>
      <c r="I359" s="244"/>
      <c r="J359" s="516"/>
      <c r="K359" s="516"/>
      <c r="L359" s="517"/>
      <c r="M359" s="516" t="str">
        <f>IFERROR(INDEX('HCC Data Entry'!$J$4:$J$22, MATCH('HCC Detail w Diag'!$B359,'HCC Data Entry'!$I$4:$I$22,0)),"")</f>
        <v/>
      </c>
      <c r="N359" s="516" t="str">
        <f t="shared" ref="N359:N422" si="25">IF(B359="","",IF(M359="Unknown", "", IF(L359&gt;M359,L359-M359,0)))</f>
        <v/>
      </c>
      <c r="O359" s="518" t="str">
        <f t="shared" si="23"/>
        <v/>
      </c>
      <c r="P359" s="519" t="str">
        <f t="shared" si="24"/>
        <v/>
      </c>
    </row>
    <row r="360" spans="2:16" ht="18.5" x14ac:dyDescent="0.45">
      <c r="B360" s="244"/>
      <c r="C360" s="502"/>
      <c r="D360" s="502"/>
      <c r="E360" s="502"/>
      <c r="F360" s="502"/>
      <c r="G360" s="502"/>
      <c r="H360" s="502"/>
      <c r="I360" s="244"/>
      <c r="J360" s="516"/>
      <c r="K360" s="516"/>
      <c r="L360" s="517"/>
      <c r="M360" s="516" t="str">
        <f>IFERROR(INDEX('HCC Data Entry'!$J$4:$J$22, MATCH('HCC Detail w Diag'!$B360,'HCC Data Entry'!$I$4:$I$22,0)),"")</f>
        <v/>
      </c>
      <c r="N360" s="516" t="str">
        <f t="shared" si="25"/>
        <v/>
      </c>
      <c r="O360" s="518" t="str">
        <f t="shared" si="23"/>
        <v/>
      </c>
      <c r="P360" s="519" t="str">
        <f t="shared" si="24"/>
        <v/>
      </c>
    </row>
    <row r="361" spans="2:16" ht="18.5" x14ac:dyDescent="0.45">
      <c r="B361" s="244"/>
      <c r="C361" s="502"/>
      <c r="D361" s="502"/>
      <c r="E361" s="502"/>
      <c r="F361" s="502"/>
      <c r="G361" s="502"/>
      <c r="H361" s="502"/>
      <c r="I361" s="244"/>
      <c r="J361" s="516"/>
      <c r="K361" s="516"/>
      <c r="L361" s="517"/>
      <c r="M361" s="516" t="str">
        <f>IFERROR(INDEX('HCC Data Entry'!$J$4:$J$22, MATCH('HCC Detail w Diag'!$B361,'HCC Data Entry'!$I$4:$I$22,0)),"")</f>
        <v/>
      </c>
      <c r="N361" s="516" t="str">
        <f t="shared" si="25"/>
        <v/>
      </c>
      <c r="O361" s="518" t="str">
        <f t="shared" si="23"/>
        <v/>
      </c>
      <c r="P361" s="519" t="str">
        <f t="shared" si="24"/>
        <v/>
      </c>
    </row>
    <row r="362" spans="2:16" ht="18.5" x14ac:dyDescent="0.45">
      <c r="B362" s="244"/>
      <c r="C362" s="502"/>
      <c r="D362" s="502"/>
      <c r="E362" s="502"/>
      <c r="F362" s="502"/>
      <c r="G362" s="502"/>
      <c r="H362" s="502"/>
      <c r="I362" s="244"/>
      <c r="J362" s="516"/>
      <c r="K362" s="516"/>
      <c r="L362" s="517"/>
      <c r="M362" s="516" t="str">
        <f>IFERROR(INDEX('HCC Data Entry'!$J$4:$J$22, MATCH('HCC Detail w Diag'!$B362,'HCC Data Entry'!$I$4:$I$22,0)),"")</f>
        <v/>
      </c>
      <c r="N362" s="516" t="str">
        <f t="shared" si="25"/>
        <v/>
      </c>
      <c r="O362" s="518" t="str">
        <f t="shared" si="23"/>
        <v/>
      </c>
      <c r="P362" s="519" t="str">
        <f t="shared" si="24"/>
        <v/>
      </c>
    </row>
    <row r="363" spans="2:16" ht="18.5" x14ac:dyDescent="0.45">
      <c r="B363" s="244"/>
      <c r="C363" s="502"/>
      <c r="D363" s="502"/>
      <c r="E363" s="502"/>
      <c r="F363" s="502"/>
      <c r="G363" s="502"/>
      <c r="H363" s="502"/>
      <c r="I363" s="244"/>
      <c r="J363" s="516"/>
      <c r="K363" s="516"/>
      <c r="L363" s="517"/>
      <c r="M363" s="516" t="str">
        <f>IFERROR(INDEX('HCC Data Entry'!$J$4:$J$22, MATCH('HCC Detail w Diag'!$B363,'HCC Data Entry'!$I$4:$I$22,0)),"")</f>
        <v/>
      </c>
      <c r="N363" s="516" t="str">
        <f t="shared" si="25"/>
        <v/>
      </c>
      <c r="O363" s="518" t="str">
        <f t="shared" si="23"/>
        <v/>
      </c>
      <c r="P363" s="519" t="str">
        <f t="shared" si="24"/>
        <v/>
      </c>
    </row>
    <row r="364" spans="2:16" ht="18.5" x14ac:dyDescent="0.45">
      <c r="B364" s="244"/>
      <c r="C364" s="502"/>
      <c r="D364" s="502"/>
      <c r="E364" s="502"/>
      <c r="F364" s="502"/>
      <c r="G364" s="502"/>
      <c r="H364" s="502"/>
      <c r="I364" s="244"/>
      <c r="J364" s="516"/>
      <c r="K364" s="516"/>
      <c r="L364" s="517"/>
      <c r="M364" s="516" t="str">
        <f>IFERROR(INDEX('HCC Data Entry'!$J$4:$J$22, MATCH('HCC Detail w Diag'!$B364,'HCC Data Entry'!$I$4:$I$22,0)),"")</f>
        <v/>
      </c>
      <c r="N364" s="516" t="str">
        <f t="shared" si="25"/>
        <v/>
      </c>
      <c r="O364" s="518" t="str">
        <f t="shared" si="23"/>
        <v/>
      </c>
      <c r="P364" s="519" t="str">
        <f t="shared" si="24"/>
        <v/>
      </c>
    </row>
    <row r="365" spans="2:16" ht="18.5" x14ac:dyDescent="0.45">
      <c r="B365" s="244"/>
      <c r="C365" s="502"/>
      <c r="D365" s="502"/>
      <c r="E365" s="502"/>
      <c r="F365" s="502"/>
      <c r="G365" s="502"/>
      <c r="H365" s="502"/>
      <c r="I365" s="244"/>
      <c r="J365" s="516"/>
      <c r="K365" s="516"/>
      <c r="L365" s="517"/>
      <c r="M365" s="516" t="str">
        <f>IFERROR(INDEX('HCC Data Entry'!$J$4:$J$22, MATCH('HCC Detail w Diag'!$B365,'HCC Data Entry'!$I$4:$I$22,0)),"")</f>
        <v/>
      </c>
      <c r="N365" s="516" t="str">
        <f t="shared" si="25"/>
        <v/>
      </c>
      <c r="O365" s="518" t="str">
        <f t="shared" si="23"/>
        <v/>
      </c>
      <c r="P365" s="519" t="str">
        <f t="shared" si="24"/>
        <v/>
      </c>
    </row>
    <row r="366" spans="2:16" ht="18.5" x14ac:dyDescent="0.45">
      <c r="B366" s="244"/>
      <c r="C366" s="502"/>
      <c r="D366" s="502"/>
      <c r="E366" s="502"/>
      <c r="F366" s="502"/>
      <c r="G366" s="502"/>
      <c r="H366" s="502"/>
      <c r="I366" s="244"/>
      <c r="J366" s="516"/>
      <c r="K366" s="516"/>
      <c r="L366" s="517"/>
      <c r="M366" s="516" t="str">
        <f>IFERROR(INDEX('HCC Data Entry'!$J$4:$J$22, MATCH('HCC Detail w Diag'!$B366,'HCC Data Entry'!$I$4:$I$22,0)),"")</f>
        <v/>
      </c>
      <c r="N366" s="516" t="str">
        <f t="shared" si="25"/>
        <v/>
      </c>
      <c r="O366" s="518" t="str">
        <f t="shared" si="23"/>
        <v/>
      </c>
      <c r="P366" s="519" t="str">
        <f t="shared" si="24"/>
        <v/>
      </c>
    </row>
    <row r="367" spans="2:16" ht="18.5" x14ac:dyDescent="0.45">
      <c r="B367" s="244"/>
      <c r="C367" s="502"/>
      <c r="D367" s="502"/>
      <c r="E367" s="502"/>
      <c r="F367" s="502"/>
      <c r="G367" s="502"/>
      <c r="H367" s="502"/>
      <c r="I367" s="244"/>
      <c r="J367" s="516"/>
      <c r="K367" s="516"/>
      <c r="L367" s="517"/>
      <c r="M367" s="516" t="str">
        <f>IFERROR(INDEX('HCC Data Entry'!$J$4:$J$22, MATCH('HCC Detail w Diag'!$B367,'HCC Data Entry'!$I$4:$I$22,0)),"")</f>
        <v/>
      </c>
      <c r="N367" s="516" t="str">
        <f t="shared" si="25"/>
        <v/>
      </c>
      <c r="O367" s="518" t="str">
        <f t="shared" si="23"/>
        <v/>
      </c>
      <c r="P367" s="519" t="str">
        <f t="shared" si="24"/>
        <v/>
      </c>
    </row>
    <row r="368" spans="2:16" ht="18.5" x14ac:dyDescent="0.45">
      <c r="B368" s="244"/>
      <c r="C368" s="502"/>
      <c r="D368" s="502"/>
      <c r="E368" s="502"/>
      <c r="F368" s="502"/>
      <c r="G368" s="502"/>
      <c r="H368" s="502"/>
      <c r="I368" s="244"/>
      <c r="J368" s="516"/>
      <c r="K368" s="516"/>
      <c r="L368" s="517"/>
      <c r="M368" s="516" t="str">
        <f>IFERROR(INDEX('HCC Data Entry'!$J$4:$J$22, MATCH('HCC Detail w Diag'!$B368,'HCC Data Entry'!$I$4:$I$22,0)),"")</f>
        <v/>
      </c>
      <c r="N368" s="516" t="str">
        <f t="shared" si="25"/>
        <v/>
      </c>
      <c r="O368" s="518" t="str">
        <f t="shared" si="23"/>
        <v/>
      </c>
      <c r="P368" s="519" t="str">
        <f t="shared" si="24"/>
        <v/>
      </c>
    </row>
    <row r="369" spans="2:16" ht="18.5" x14ac:dyDescent="0.45">
      <c r="B369" s="244"/>
      <c r="C369" s="502"/>
      <c r="D369" s="502"/>
      <c r="E369" s="502"/>
      <c r="F369" s="502"/>
      <c r="G369" s="502"/>
      <c r="H369" s="502"/>
      <c r="I369" s="244"/>
      <c r="J369" s="516"/>
      <c r="K369" s="516"/>
      <c r="L369" s="517"/>
      <c r="M369" s="516" t="str">
        <f>IFERROR(INDEX('HCC Data Entry'!$J$4:$J$22, MATCH('HCC Detail w Diag'!$B369,'HCC Data Entry'!$I$4:$I$22,0)),"")</f>
        <v/>
      </c>
      <c r="N369" s="516" t="str">
        <f t="shared" si="25"/>
        <v/>
      </c>
      <c r="O369" s="518" t="str">
        <f t="shared" si="23"/>
        <v/>
      </c>
      <c r="P369" s="519" t="str">
        <f t="shared" si="24"/>
        <v/>
      </c>
    </row>
    <row r="370" spans="2:16" ht="18.5" x14ac:dyDescent="0.45">
      <c r="B370" s="244"/>
      <c r="C370" s="502"/>
      <c r="D370" s="502"/>
      <c r="E370" s="502"/>
      <c r="F370" s="502"/>
      <c r="G370" s="502"/>
      <c r="H370" s="502"/>
      <c r="I370" s="244"/>
      <c r="J370" s="516"/>
      <c r="K370" s="516"/>
      <c r="L370" s="517"/>
      <c r="M370" s="516" t="str">
        <f>IFERROR(INDEX('HCC Data Entry'!$J$4:$J$22, MATCH('HCC Detail w Diag'!$B370,'HCC Data Entry'!$I$4:$I$22,0)),"")</f>
        <v/>
      </c>
      <c r="N370" s="516" t="str">
        <f t="shared" si="25"/>
        <v/>
      </c>
      <c r="O370" s="518" t="str">
        <f t="shared" si="23"/>
        <v/>
      </c>
      <c r="P370" s="519" t="str">
        <f t="shared" si="24"/>
        <v/>
      </c>
    </row>
    <row r="371" spans="2:16" ht="18.5" x14ac:dyDescent="0.45">
      <c r="B371" s="244"/>
      <c r="C371" s="502"/>
      <c r="D371" s="502"/>
      <c r="E371" s="502"/>
      <c r="F371" s="502"/>
      <c r="G371" s="502"/>
      <c r="H371" s="502"/>
      <c r="I371" s="244"/>
      <c r="J371" s="516"/>
      <c r="K371" s="516"/>
      <c r="L371" s="517"/>
      <c r="M371" s="516" t="str">
        <f>IFERROR(INDEX('HCC Data Entry'!$J$4:$J$22, MATCH('HCC Detail w Diag'!$B371,'HCC Data Entry'!$I$4:$I$22,0)),"")</f>
        <v/>
      </c>
      <c r="N371" s="516" t="str">
        <f t="shared" si="25"/>
        <v/>
      </c>
      <c r="O371" s="518" t="str">
        <f t="shared" si="23"/>
        <v/>
      </c>
      <c r="P371" s="519" t="str">
        <f t="shared" si="24"/>
        <v/>
      </c>
    </row>
    <row r="372" spans="2:16" ht="18.5" x14ac:dyDescent="0.45">
      <c r="B372" s="244"/>
      <c r="C372" s="502"/>
      <c r="D372" s="502"/>
      <c r="E372" s="502"/>
      <c r="F372" s="502"/>
      <c r="G372" s="502"/>
      <c r="H372" s="502"/>
      <c r="I372" s="244"/>
      <c r="J372" s="516"/>
      <c r="K372" s="516"/>
      <c r="L372" s="517"/>
      <c r="M372" s="516" t="str">
        <f>IFERROR(INDEX('HCC Data Entry'!$J$4:$J$22, MATCH('HCC Detail w Diag'!$B372,'HCC Data Entry'!$I$4:$I$22,0)),"")</f>
        <v/>
      </c>
      <c r="N372" s="516" t="str">
        <f t="shared" si="25"/>
        <v/>
      </c>
      <c r="O372" s="518" t="str">
        <f t="shared" si="23"/>
        <v/>
      </c>
      <c r="P372" s="519" t="str">
        <f t="shared" si="24"/>
        <v/>
      </c>
    </row>
    <row r="373" spans="2:16" ht="18.5" x14ac:dyDescent="0.45">
      <c r="B373" s="244"/>
      <c r="C373" s="502"/>
      <c r="D373" s="502"/>
      <c r="E373" s="502"/>
      <c r="F373" s="502"/>
      <c r="G373" s="502"/>
      <c r="H373" s="502"/>
      <c r="I373" s="244"/>
      <c r="J373" s="516"/>
      <c r="K373" s="516"/>
      <c r="L373" s="517"/>
      <c r="M373" s="516" t="str">
        <f>IFERROR(INDEX('HCC Data Entry'!$J$4:$J$22, MATCH('HCC Detail w Diag'!$B373,'HCC Data Entry'!$I$4:$I$22,0)),"")</f>
        <v/>
      </c>
      <c r="N373" s="516" t="str">
        <f t="shared" si="25"/>
        <v/>
      </c>
      <c r="O373" s="518" t="str">
        <f t="shared" si="23"/>
        <v/>
      </c>
      <c r="P373" s="519" t="str">
        <f t="shared" si="24"/>
        <v/>
      </c>
    </row>
    <row r="374" spans="2:16" ht="18.5" x14ac:dyDescent="0.45">
      <c r="B374" s="244"/>
      <c r="C374" s="502"/>
      <c r="D374" s="502"/>
      <c r="E374" s="502"/>
      <c r="F374" s="502"/>
      <c r="G374" s="502"/>
      <c r="H374" s="502"/>
      <c r="I374" s="244"/>
      <c r="J374" s="516"/>
      <c r="K374" s="516"/>
      <c r="L374" s="517"/>
      <c r="M374" s="516" t="str">
        <f>IFERROR(INDEX('HCC Data Entry'!$J$4:$J$22, MATCH('HCC Detail w Diag'!$B374,'HCC Data Entry'!$I$4:$I$22,0)),"")</f>
        <v/>
      </c>
      <c r="N374" s="516" t="str">
        <f t="shared" si="25"/>
        <v/>
      </c>
      <c r="O374" s="518" t="str">
        <f t="shared" si="23"/>
        <v/>
      </c>
      <c r="P374" s="519" t="str">
        <f t="shared" si="24"/>
        <v/>
      </c>
    </row>
    <row r="375" spans="2:16" ht="18.5" x14ac:dyDescent="0.45">
      <c r="B375" s="244"/>
      <c r="C375" s="502"/>
      <c r="D375" s="502"/>
      <c r="E375" s="502"/>
      <c r="F375" s="502"/>
      <c r="G375" s="502"/>
      <c r="H375" s="502"/>
      <c r="I375" s="244"/>
      <c r="J375" s="516"/>
      <c r="K375" s="516"/>
      <c r="L375" s="517"/>
      <c r="M375" s="516" t="str">
        <f>IFERROR(INDEX('HCC Data Entry'!$J$4:$J$22, MATCH('HCC Detail w Diag'!$B375,'HCC Data Entry'!$I$4:$I$22,0)),"")</f>
        <v/>
      </c>
      <c r="N375" s="516" t="str">
        <f t="shared" si="25"/>
        <v/>
      </c>
      <c r="O375" s="518" t="str">
        <f t="shared" si="23"/>
        <v/>
      </c>
      <c r="P375" s="519" t="str">
        <f t="shared" si="24"/>
        <v/>
      </c>
    </row>
    <row r="376" spans="2:16" ht="18.5" x14ac:dyDescent="0.45">
      <c r="B376" s="244"/>
      <c r="C376" s="502"/>
      <c r="D376" s="502"/>
      <c r="E376" s="502"/>
      <c r="F376" s="502"/>
      <c r="G376" s="502"/>
      <c r="H376" s="502"/>
      <c r="I376" s="244"/>
      <c r="J376" s="516"/>
      <c r="K376" s="516"/>
      <c r="L376" s="517"/>
      <c r="M376" s="516" t="str">
        <f>IFERROR(INDEX('HCC Data Entry'!$J$4:$J$22, MATCH('HCC Detail w Diag'!$B376,'HCC Data Entry'!$I$4:$I$22,0)),"")</f>
        <v/>
      </c>
      <c r="N376" s="516" t="str">
        <f t="shared" si="25"/>
        <v/>
      </c>
      <c r="O376" s="518" t="str">
        <f t="shared" si="23"/>
        <v/>
      </c>
      <c r="P376" s="519" t="str">
        <f t="shared" si="24"/>
        <v/>
      </c>
    </row>
    <row r="377" spans="2:16" ht="18.5" x14ac:dyDescent="0.45">
      <c r="B377" s="244"/>
      <c r="C377" s="502"/>
      <c r="D377" s="502"/>
      <c r="E377" s="502"/>
      <c r="F377" s="502"/>
      <c r="G377" s="502"/>
      <c r="H377" s="502"/>
      <c r="I377" s="244"/>
      <c r="J377" s="516"/>
      <c r="K377" s="516"/>
      <c r="L377" s="517"/>
      <c r="M377" s="516" t="str">
        <f>IFERROR(INDEX('HCC Data Entry'!$J$4:$J$22, MATCH('HCC Detail w Diag'!$B377,'HCC Data Entry'!$I$4:$I$22,0)),"")</f>
        <v/>
      </c>
      <c r="N377" s="516" t="str">
        <f t="shared" si="25"/>
        <v/>
      </c>
      <c r="O377" s="518" t="str">
        <f t="shared" si="23"/>
        <v/>
      </c>
      <c r="P377" s="519" t="str">
        <f t="shared" si="24"/>
        <v/>
      </c>
    </row>
    <row r="378" spans="2:16" ht="18.5" x14ac:dyDescent="0.45">
      <c r="B378" s="244"/>
      <c r="C378" s="502"/>
      <c r="D378" s="502"/>
      <c r="E378" s="502"/>
      <c r="F378" s="502"/>
      <c r="G378" s="502"/>
      <c r="H378" s="502"/>
      <c r="I378" s="244"/>
      <c r="J378" s="516"/>
      <c r="K378" s="516"/>
      <c r="L378" s="517"/>
      <c r="M378" s="516" t="str">
        <f>IFERROR(INDEX('HCC Data Entry'!$J$4:$J$22, MATCH('HCC Detail w Diag'!$B378,'HCC Data Entry'!$I$4:$I$22,0)),"")</f>
        <v/>
      </c>
      <c r="N378" s="516" t="str">
        <f t="shared" si="25"/>
        <v/>
      </c>
      <c r="O378" s="518" t="str">
        <f t="shared" si="23"/>
        <v/>
      </c>
      <c r="P378" s="519" t="str">
        <f t="shared" si="24"/>
        <v/>
      </c>
    </row>
    <row r="379" spans="2:16" ht="18.5" x14ac:dyDescent="0.45">
      <c r="B379" s="244"/>
      <c r="C379" s="502"/>
      <c r="D379" s="502"/>
      <c r="E379" s="502"/>
      <c r="F379" s="502"/>
      <c r="G379" s="502"/>
      <c r="H379" s="502"/>
      <c r="I379" s="244"/>
      <c r="J379" s="516"/>
      <c r="K379" s="516"/>
      <c r="L379" s="517"/>
      <c r="M379" s="516" t="str">
        <f>IFERROR(INDEX('HCC Data Entry'!$J$4:$J$22, MATCH('HCC Detail w Diag'!$B379,'HCC Data Entry'!$I$4:$I$22,0)),"")</f>
        <v/>
      </c>
      <c r="N379" s="516" t="str">
        <f t="shared" si="25"/>
        <v/>
      </c>
      <c r="O379" s="518" t="str">
        <f t="shared" si="23"/>
        <v/>
      </c>
      <c r="P379" s="519" t="str">
        <f t="shared" si="24"/>
        <v/>
      </c>
    </row>
    <row r="380" spans="2:16" ht="18.5" x14ac:dyDescent="0.45">
      <c r="B380" s="244"/>
      <c r="C380" s="502"/>
      <c r="D380" s="502"/>
      <c r="E380" s="502"/>
      <c r="F380" s="502"/>
      <c r="G380" s="502"/>
      <c r="H380" s="502"/>
      <c r="I380" s="244"/>
      <c r="J380" s="516"/>
      <c r="K380" s="516"/>
      <c r="L380" s="517"/>
      <c r="M380" s="516" t="str">
        <f>IFERROR(INDEX('HCC Data Entry'!$J$4:$J$22, MATCH('HCC Detail w Diag'!$B380,'HCC Data Entry'!$I$4:$I$22,0)),"")</f>
        <v/>
      </c>
      <c r="N380" s="516" t="str">
        <f t="shared" si="25"/>
        <v/>
      </c>
      <c r="O380" s="518" t="str">
        <f t="shared" si="23"/>
        <v/>
      </c>
      <c r="P380" s="519" t="str">
        <f t="shared" si="24"/>
        <v/>
      </c>
    </row>
    <row r="381" spans="2:16" ht="18.5" x14ac:dyDescent="0.45">
      <c r="B381" s="244" t="str">
        <f>IF('HCC Data Entry'!B381="","",'HCC Data Entry'!B381)</f>
        <v/>
      </c>
      <c r="C381" s="502" t="str">
        <f>IF('HCC Data Entry'!C381="","",'HCC Data Entry'!C381)</f>
        <v/>
      </c>
      <c r="D381" s="502"/>
      <c r="E381" s="502"/>
      <c r="F381" s="502" t="str">
        <f>IF('HCC Data Entry'!E381="","",'HCC Data Entry'!E381)</f>
        <v/>
      </c>
      <c r="G381" s="502"/>
      <c r="H381" s="502"/>
      <c r="I381" s="244"/>
      <c r="J381" s="516"/>
      <c r="K381" s="516"/>
      <c r="L381" s="517" t="str">
        <f>IF('HCC Data Entry'!F381="","",'HCC Data Entry'!F381)</f>
        <v/>
      </c>
      <c r="M381" s="516" t="str">
        <f>IFERROR(INDEX('HCC Data Entry'!$J$4:$J$22, MATCH('HCC Detail w Diag'!$B381,'HCC Data Entry'!$I$4:$I$22,0)),"")</f>
        <v/>
      </c>
      <c r="N381" s="516" t="str">
        <f t="shared" si="25"/>
        <v/>
      </c>
      <c r="O381" s="518" t="str">
        <f t="shared" si="23"/>
        <v/>
      </c>
      <c r="P381" s="519" t="str">
        <f t="shared" si="24"/>
        <v/>
      </c>
    </row>
    <row r="382" spans="2:16" ht="18.5" x14ac:dyDescent="0.45">
      <c r="B382" s="244" t="str">
        <f>IF('HCC Data Entry'!B382="","",'HCC Data Entry'!B382)</f>
        <v/>
      </c>
      <c r="C382" s="502" t="str">
        <f>IF('HCC Data Entry'!C382="","",'HCC Data Entry'!C382)</f>
        <v/>
      </c>
      <c r="D382" s="502"/>
      <c r="E382" s="502"/>
      <c r="F382" s="502" t="str">
        <f>IF('HCC Data Entry'!E382="","",'HCC Data Entry'!E382)</f>
        <v/>
      </c>
      <c r="G382" s="502"/>
      <c r="H382" s="502"/>
      <c r="I382" s="244"/>
      <c r="J382" s="516"/>
      <c r="K382" s="516"/>
      <c r="L382" s="517" t="str">
        <f>IF('HCC Data Entry'!F382="","",'HCC Data Entry'!F382)</f>
        <v/>
      </c>
      <c r="M382" s="516" t="str">
        <f>IFERROR(INDEX('HCC Data Entry'!$J$4:$J$22, MATCH('HCC Detail w Diag'!$B382,'HCC Data Entry'!$I$4:$I$22,0)),"")</f>
        <v/>
      </c>
      <c r="N382" s="516" t="str">
        <f t="shared" si="25"/>
        <v/>
      </c>
      <c r="O382" s="518" t="str">
        <f t="shared" si="23"/>
        <v/>
      </c>
      <c r="P382" s="519" t="str">
        <f t="shared" si="24"/>
        <v/>
      </c>
    </row>
    <row r="383" spans="2:16" ht="18.5" x14ac:dyDescent="0.45">
      <c r="B383" s="244" t="str">
        <f>IF('HCC Data Entry'!B383="","",'HCC Data Entry'!B383)</f>
        <v/>
      </c>
      <c r="C383" s="502" t="str">
        <f>IF('HCC Data Entry'!C383="","",'HCC Data Entry'!C383)</f>
        <v/>
      </c>
      <c r="D383" s="502"/>
      <c r="E383" s="502"/>
      <c r="F383" s="502" t="str">
        <f>IF('HCC Data Entry'!E383="","",'HCC Data Entry'!E383)</f>
        <v/>
      </c>
      <c r="G383" s="502"/>
      <c r="H383" s="502"/>
      <c r="I383" s="244"/>
      <c r="J383" s="516"/>
      <c r="K383" s="516"/>
      <c r="L383" s="517" t="str">
        <f>IF('HCC Data Entry'!F383="","",'HCC Data Entry'!F383)</f>
        <v/>
      </c>
      <c r="M383" s="516" t="str">
        <f>IFERROR(INDEX('HCC Data Entry'!$J$4:$J$22, MATCH('HCC Detail w Diag'!$B383,'HCC Data Entry'!$I$4:$I$22,0)),"")</f>
        <v/>
      </c>
      <c r="N383" s="516" t="str">
        <f t="shared" si="25"/>
        <v/>
      </c>
      <c r="O383" s="518" t="str">
        <f t="shared" si="23"/>
        <v/>
      </c>
      <c r="P383" s="519" t="str">
        <f t="shared" si="24"/>
        <v/>
      </c>
    </row>
    <row r="384" spans="2:16" ht="18.5" x14ac:dyDescent="0.45">
      <c r="B384" s="244" t="str">
        <f>IF('HCC Data Entry'!B384="","",'HCC Data Entry'!B384)</f>
        <v/>
      </c>
      <c r="C384" s="502" t="str">
        <f>IF('HCC Data Entry'!C384="","",'HCC Data Entry'!C384)</f>
        <v/>
      </c>
      <c r="D384" s="502"/>
      <c r="E384" s="502"/>
      <c r="F384" s="502" t="str">
        <f>IF('HCC Data Entry'!E384="","",'HCC Data Entry'!E384)</f>
        <v/>
      </c>
      <c r="G384" s="502"/>
      <c r="H384" s="502"/>
      <c r="I384" s="244"/>
      <c r="J384" s="516"/>
      <c r="K384" s="516"/>
      <c r="L384" s="517" t="str">
        <f>IF('HCC Data Entry'!F384="","",'HCC Data Entry'!F384)</f>
        <v/>
      </c>
      <c r="M384" s="516" t="str">
        <f>IFERROR(INDEX('HCC Data Entry'!$J$4:$J$22, MATCH('HCC Detail w Diag'!$B384,'HCC Data Entry'!$I$4:$I$22,0)),"")</f>
        <v/>
      </c>
      <c r="N384" s="516" t="str">
        <f t="shared" si="25"/>
        <v/>
      </c>
      <c r="O384" s="518" t="str">
        <f t="shared" si="23"/>
        <v/>
      </c>
      <c r="P384" s="519" t="str">
        <f t="shared" si="24"/>
        <v/>
      </c>
    </row>
    <row r="385" spans="2:16" ht="18.5" x14ac:dyDescent="0.45">
      <c r="B385" s="244" t="str">
        <f>IF('HCC Data Entry'!B385="","",'HCC Data Entry'!B385)</f>
        <v/>
      </c>
      <c r="C385" s="502" t="str">
        <f>IF('HCC Data Entry'!C385="","",'HCC Data Entry'!C385)</f>
        <v/>
      </c>
      <c r="D385" s="502"/>
      <c r="E385" s="502"/>
      <c r="F385" s="502" t="str">
        <f>IF('HCC Data Entry'!E385="","",'HCC Data Entry'!E385)</f>
        <v/>
      </c>
      <c r="G385" s="502"/>
      <c r="H385" s="502"/>
      <c r="I385" s="244"/>
      <c r="J385" s="516"/>
      <c r="K385" s="516"/>
      <c r="L385" s="517" t="str">
        <f>IF('HCC Data Entry'!F385="","",'HCC Data Entry'!F385)</f>
        <v/>
      </c>
      <c r="M385" s="516" t="str">
        <f>IFERROR(INDEX('HCC Data Entry'!$J$4:$J$22, MATCH('HCC Detail w Diag'!$B385,'HCC Data Entry'!$I$4:$I$22,0)),"")</f>
        <v/>
      </c>
      <c r="N385" s="516" t="str">
        <f t="shared" si="25"/>
        <v/>
      </c>
      <c r="O385" s="518" t="str">
        <f t="shared" si="23"/>
        <v/>
      </c>
      <c r="P385" s="519" t="str">
        <f t="shared" si="24"/>
        <v/>
      </c>
    </row>
    <row r="386" spans="2:16" ht="18.5" x14ac:dyDescent="0.45">
      <c r="B386" s="244" t="str">
        <f>IF('HCC Data Entry'!B386="","",'HCC Data Entry'!B386)</f>
        <v/>
      </c>
      <c r="C386" s="502" t="str">
        <f>IF('HCC Data Entry'!C386="","",'HCC Data Entry'!C386)</f>
        <v/>
      </c>
      <c r="D386" s="502"/>
      <c r="E386" s="502"/>
      <c r="F386" s="502" t="str">
        <f>IF('HCC Data Entry'!E386="","",'HCC Data Entry'!E386)</f>
        <v/>
      </c>
      <c r="G386" s="502"/>
      <c r="H386" s="502"/>
      <c r="I386" s="244"/>
      <c r="J386" s="516"/>
      <c r="K386" s="516"/>
      <c r="L386" s="517" t="str">
        <f>IF('HCC Data Entry'!F386="","",'HCC Data Entry'!F386)</f>
        <v/>
      </c>
      <c r="M386" s="516" t="str">
        <f>IFERROR(INDEX('HCC Data Entry'!$J$4:$J$22, MATCH('HCC Detail w Diag'!$B386,'HCC Data Entry'!$I$4:$I$22,0)),"")</f>
        <v/>
      </c>
      <c r="N386" s="516" t="str">
        <f t="shared" si="25"/>
        <v/>
      </c>
      <c r="O386" s="518" t="str">
        <f t="shared" si="23"/>
        <v/>
      </c>
      <c r="P386" s="519" t="str">
        <f t="shared" si="24"/>
        <v/>
      </c>
    </row>
    <row r="387" spans="2:16" ht="18.5" x14ac:dyDescent="0.45">
      <c r="B387" s="244" t="str">
        <f>IF('HCC Data Entry'!B387="","",'HCC Data Entry'!B387)</f>
        <v/>
      </c>
      <c r="C387" s="502" t="str">
        <f>IF('HCC Data Entry'!C387="","",'HCC Data Entry'!C387)</f>
        <v/>
      </c>
      <c r="D387" s="502"/>
      <c r="E387" s="502"/>
      <c r="F387" s="502" t="str">
        <f>IF('HCC Data Entry'!E387="","",'HCC Data Entry'!E387)</f>
        <v/>
      </c>
      <c r="G387" s="502"/>
      <c r="H387" s="502"/>
      <c r="I387" s="244"/>
      <c r="J387" s="516"/>
      <c r="K387" s="516"/>
      <c r="L387" s="517" t="str">
        <f>IF('HCC Data Entry'!F387="","",'HCC Data Entry'!F387)</f>
        <v/>
      </c>
      <c r="M387" s="516" t="str">
        <f>IFERROR(INDEX('HCC Data Entry'!$J$4:$J$22, MATCH('HCC Detail w Diag'!$B387,'HCC Data Entry'!$I$4:$I$22,0)),"")</f>
        <v/>
      </c>
      <c r="N387" s="516" t="str">
        <f t="shared" si="25"/>
        <v/>
      </c>
      <c r="O387" s="518" t="str">
        <f t="shared" si="23"/>
        <v/>
      </c>
      <c r="P387" s="519" t="str">
        <f t="shared" si="24"/>
        <v/>
      </c>
    </row>
    <row r="388" spans="2:16" ht="18.5" x14ac:dyDescent="0.45">
      <c r="B388" s="244" t="str">
        <f>IF('HCC Data Entry'!B388="","",'HCC Data Entry'!B388)</f>
        <v/>
      </c>
      <c r="C388" s="502" t="str">
        <f>IF('HCC Data Entry'!C388="","",'HCC Data Entry'!C388)</f>
        <v/>
      </c>
      <c r="D388" s="502"/>
      <c r="E388" s="502"/>
      <c r="F388" s="502" t="str">
        <f>IF('HCC Data Entry'!E388="","",'HCC Data Entry'!E388)</f>
        <v/>
      </c>
      <c r="G388" s="502"/>
      <c r="H388" s="502"/>
      <c r="I388" s="244"/>
      <c r="J388" s="516"/>
      <c r="K388" s="516"/>
      <c r="L388" s="517" t="str">
        <f>IF('HCC Data Entry'!F388="","",'HCC Data Entry'!F388)</f>
        <v/>
      </c>
      <c r="M388" s="516" t="str">
        <f>IFERROR(INDEX('HCC Data Entry'!$J$4:$J$22, MATCH('HCC Detail w Diag'!$B388,'HCC Data Entry'!$I$4:$I$22,0)),"")</f>
        <v/>
      </c>
      <c r="N388" s="516" t="str">
        <f t="shared" si="25"/>
        <v/>
      </c>
      <c r="O388" s="518" t="str">
        <f t="shared" si="23"/>
        <v/>
      </c>
      <c r="P388" s="519" t="str">
        <f t="shared" si="24"/>
        <v/>
      </c>
    </row>
    <row r="389" spans="2:16" ht="18.5" x14ac:dyDescent="0.45">
      <c r="B389" s="244" t="str">
        <f>IF('HCC Data Entry'!B389="","",'HCC Data Entry'!B389)</f>
        <v/>
      </c>
      <c r="C389" s="502" t="str">
        <f>IF('HCC Data Entry'!C389="","",'HCC Data Entry'!C389)</f>
        <v/>
      </c>
      <c r="D389" s="502"/>
      <c r="E389" s="502"/>
      <c r="F389" s="502" t="str">
        <f>IF('HCC Data Entry'!E389="","",'HCC Data Entry'!E389)</f>
        <v/>
      </c>
      <c r="G389" s="502"/>
      <c r="H389" s="502"/>
      <c r="I389" s="244"/>
      <c r="J389" s="516"/>
      <c r="K389" s="516"/>
      <c r="L389" s="517" t="str">
        <f>IF('HCC Data Entry'!F389="","",'HCC Data Entry'!F389)</f>
        <v/>
      </c>
      <c r="M389" s="516" t="str">
        <f>IFERROR(INDEX('HCC Data Entry'!$J$4:$J$22, MATCH('HCC Detail w Diag'!$B389,'HCC Data Entry'!$I$4:$I$22,0)),"")</f>
        <v/>
      </c>
      <c r="N389" s="516" t="str">
        <f t="shared" si="25"/>
        <v/>
      </c>
      <c r="O389" s="518" t="str">
        <f t="shared" ref="O389:O452" si="26">IF(N389="","",IF(N389=0,0, IF(L389&gt;$U$4,($U$4-M389),N389)))</f>
        <v/>
      </c>
      <c r="P389" s="519" t="str">
        <f t="shared" ref="P389:P452" si="27">IF(O389="","",IF(O389=0,0,IF(L389&gt;$U$4,L389-$U$4,0)))</f>
        <v/>
      </c>
    </row>
    <row r="390" spans="2:16" ht="18.5" x14ac:dyDescent="0.45">
      <c r="B390" s="244" t="str">
        <f>IF('HCC Data Entry'!B390="","",'HCC Data Entry'!B390)</f>
        <v/>
      </c>
      <c r="C390" s="502" t="str">
        <f>IF('HCC Data Entry'!C390="","",'HCC Data Entry'!C390)</f>
        <v/>
      </c>
      <c r="D390" s="502"/>
      <c r="E390" s="502"/>
      <c r="F390" s="502" t="str">
        <f>IF('HCC Data Entry'!E390="","",'HCC Data Entry'!E390)</f>
        <v/>
      </c>
      <c r="G390" s="502"/>
      <c r="H390" s="502"/>
      <c r="I390" s="244"/>
      <c r="J390" s="516"/>
      <c r="K390" s="516"/>
      <c r="L390" s="517" t="str">
        <f>IF('HCC Data Entry'!F390="","",'HCC Data Entry'!F390)</f>
        <v/>
      </c>
      <c r="M390" s="516" t="str">
        <f>IFERROR(INDEX('HCC Data Entry'!$J$4:$J$22, MATCH('HCC Detail w Diag'!$B390,'HCC Data Entry'!$I$4:$I$22,0)),"")</f>
        <v/>
      </c>
      <c r="N390" s="516" t="str">
        <f t="shared" si="25"/>
        <v/>
      </c>
      <c r="O390" s="518" t="str">
        <f t="shared" si="26"/>
        <v/>
      </c>
      <c r="P390" s="519" t="str">
        <f t="shared" si="27"/>
        <v/>
      </c>
    </row>
    <row r="391" spans="2:16" ht="18.5" x14ac:dyDescent="0.45">
      <c r="B391" s="244" t="str">
        <f>IF('HCC Data Entry'!B391="","",'HCC Data Entry'!B391)</f>
        <v/>
      </c>
      <c r="C391" s="502" t="str">
        <f>IF('HCC Data Entry'!C391="","",'HCC Data Entry'!C391)</f>
        <v/>
      </c>
      <c r="D391" s="502"/>
      <c r="E391" s="502"/>
      <c r="F391" s="502" t="str">
        <f>IF('HCC Data Entry'!E391="","",'HCC Data Entry'!E391)</f>
        <v/>
      </c>
      <c r="G391" s="502"/>
      <c r="H391" s="502"/>
      <c r="I391" s="244"/>
      <c r="J391" s="516"/>
      <c r="K391" s="516"/>
      <c r="L391" s="517" t="str">
        <f>IF('HCC Data Entry'!F391="","",'HCC Data Entry'!F391)</f>
        <v/>
      </c>
      <c r="M391" s="516" t="str">
        <f>IFERROR(INDEX('HCC Data Entry'!$J$4:$J$22, MATCH('HCC Detail w Diag'!$B391,'HCC Data Entry'!$I$4:$I$22,0)),"")</f>
        <v/>
      </c>
      <c r="N391" s="516" t="str">
        <f t="shared" si="25"/>
        <v/>
      </c>
      <c r="O391" s="518" t="str">
        <f t="shared" si="26"/>
        <v/>
      </c>
      <c r="P391" s="519" t="str">
        <f t="shared" si="27"/>
        <v/>
      </c>
    </row>
    <row r="392" spans="2:16" ht="18.5" x14ac:dyDescent="0.45">
      <c r="B392" s="244" t="str">
        <f>IF('HCC Data Entry'!B392="","",'HCC Data Entry'!B392)</f>
        <v/>
      </c>
      <c r="C392" s="502" t="str">
        <f>IF('HCC Data Entry'!C392="","",'HCC Data Entry'!C392)</f>
        <v/>
      </c>
      <c r="D392" s="502"/>
      <c r="E392" s="502"/>
      <c r="F392" s="502" t="str">
        <f>IF('HCC Data Entry'!E392="","",'HCC Data Entry'!E392)</f>
        <v/>
      </c>
      <c r="G392" s="502"/>
      <c r="H392" s="502"/>
      <c r="I392" s="244"/>
      <c r="J392" s="516"/>
      <c r="K392" s="516"/>
      <c r="L392" s="517" t="str">
        <f>IF('HCC Data Entry'!F392="","",'HCC Data Entry'!F392)</f>
        <v/>
      </c>
      <c r="M392" s="516" t="str">
        <f>IFERROR(INDEX('HCC Data Entry'!$J$4:$J$22, MATCH('HCC Detail w Diag'!$B392,'HCC Data Entry'!$I$4:$I$22,0)),"")</f>
        <v/>
      </c>
      <c r="N392" s="516" t="str">
        <f t="shared" si="25"/>
        <v/>
      </c>
      <c r="O392" s="518" t="str">
        <f t="shared" si="26"/>
        <v/>
      </c>
      <c r="P392" s="519" t="str">
        <f t="shared" si="27"/>
        <v/>
      </c>
    </row>
    <row r="393" spans="2:16" ht="18.5" x14ac:dyDescent="0.45">
      <c r="B393" s="244" t="str">
        <f>IF('HCC Data Entry'!B393="","",'HCC Data Entry'!B393)</f>
        <v/>
      </c>
      <c r="C393" s="502" t="str">
        <f>IF('HCC Data Entry'!C393="","",'HCC Data Entry'!C393)</f>
        <v/>
      </c>
      <c r="D393" s="502"/>
      <c r="E393" s="502"/>
      <c r="F393" s="502" t="str">
        <f>IF('HCC Data Entry'!E393="","",'HCC Data Entry'!E393)</f>
        <v/>
      </c>
      <c r="G393" s="502"/>
      <c r="H393" s="502"/>
      <c r="I393" s="244"/>
      <c r="J393" s="516"/>
      <c r="K393" s="516"/>
      <c r="L393" s="517" t="str">
        <f>IF('HCC Data Entry'!F393="","",'HCC Data Entry'!F393)</f>
        <v/>
      </c>
      <c r="M393" s="516" t="str">
        <f>IFERROR(INDEX('HCC Data Entry'!$J$4:$J$22, MATCH('HCC Detail w Diag'!$B393,'HCC Data Entry'!$I$4:$I$22,0)),"")</f>
        <v/>
      </c>
      <c r="N393" s="516" t="str">
        <f t="shared" si="25"/>
        <v/>
      </c>
      <c r="O393" s="518" t="str">
        <f t="shared" si="26"/>
        <v/>
      </c>
      <c r="P393" s="519" t="str">
        <f t="shared" si="27"/>
        <v/>
      </c>
    </row>
    <row r="394" spans="2:16" ht="18.5" x14ac:dyDescent="0.45">
      <c r="B394" s="244" t="str">
        <f>IF('HCC Data Entry'!B394="","",'HCC Data Entry'!B394)</f>
        <v/>
      </c>
      <c r="C394" s="502" t="str">
        <f>IF('HCC Data Entry'!C394="","",'HCC Data Entry'!C394)</f>
        <v/>
      </c>
      <c r="D394" s="502"/>
      <c r="E394" s="502"/>
      <c r="F394" s="502" t="str">
        <f>IF('HCC Data Entry'!E394="","",'HCC Data Entry'!E394)</f>
        <v/>
      </c>
      <c r="G394" s="502"/>
      <c r="H394" s="502"/>
      <c r="I394" s="244"/>
      <c r="J394" s="516"/>
      <c r="K394" s="516"/>
      <c r="L394" s="517" t="str">
        <f>IF('HCC Data Entry'!F394="","",'HCC Data Entry'!F394)</f>
        <v/>
      </c>
      <c r="M394" s="516" t="str">
        <f>IFERROR(INDEX('HCC Data Entry'!$J$4:$J$22, MATCH('HCC Detail w Diag'!$B394,'HCC Data Entry'!$I$4:$I$22,0)),"")</f>
        <v/>
      </c>
      <c r="N394" s="516" t="str">
        <f t="shared" si="25"/>
        <v/>
      </c>
      <c r="O394" s="518" t="str">
        <f t="shared" si="26"/>
        <v/>
      </c>
      <c r="P394" s="519" t="str">
        <f t="shared" si="27"/>
        <v/>
      </c>
    </row>
    <row r="395" spans="2:16" ht="18.5" x14ac:dyDescent="0.45">
      <c r="B395" s="244" t="str">
        <f>IF('HCC Data Entry'!B395="","",'HCC Data Entry'!B395)</f>
        <v/>
      </c>
      <c r="C395" s="502" t="str">
        <f>IF('HCC Data Entry'!C395="","",'HCC Data Entry'!C395)</f>
        <v/>
      </c>
      <c r="D395" s="502"/>
      <c r="E395" s="502"/>
      <c r="F395" s="502" t="str">
        <f>IF('HCC Data Entry'!E395="","",'HCC Data Entry'!E395)</f>
        <v/>
      </c>
      <c r="G395" s="502"/>
      <c r="H395" s="502"/>
      <c r="I395" s="244"/>
      <c r="J395" s="516"/>
      <c r="K395" s="516"/>
      <c r="L395" s="517" t="str">
        <f>IF('HCC Data Entry'!F395="","",'HCC Data Entry'!F395)</f>
        <v/>
      </c>
      <c r="M395" s="516" t="str">
        <f>IFERROR(INDEX('HCC Data Entry'!$J$4:$J$22, MATCH('HCC Detail w Diag'!$B395,'HCC Data Entry'!$I$4:$I$22,0)),"")</f>
        <v/>
      </c>
      <c r="N395" s="516" t="str">
        <f t="shared" si="25"/>
        <v/>
      </c>
      <c r="O395" s="518" t="str">
        <f t="shared" si="26"/>
        <v/>
      </c>
      <c r="P395" s="519" t="str">
        <f t="shared" si="27"/>
        <v/>
      </c>
    </row>
    <row r="396" spans="2:16" ht="18.5" x14ac:dyDescent="0.45">
      <c r="B396" s="244" t="str">
        <f>IF('HCC Data Entry'!B396="","",'HCC Data Entry'!B396)</f>
        <v/>
      </c>
      <c r="C396" s="502" t="str">
        <f>IF('HCC Data Entry'!C396="","",'HCC Data Entry'!C396)</f>
        <v/>
      </c>
      <c r="D396" s="502"/>
      <c r="E396" s="502"/>
      <c r="F396" s="502" t="str">
        <f>IF('HCC Data Entry'!E396="","",'HCC Data Entry'!E396)</f>
        <v/>
      </c>
      <c r="G396" s="502"/>
      <c r="H396" s="502"/>
      <c r="I396" s="244"/>
      <c r="J396" s="516"/>
      <c r="K396" s="516"/>
      <c r="L396" s="517" t="str">
        <f>IF('HCC Data Entry'!F396="","",'HCC Data Entry'!F396)</f>
        <v/>
      </c>
      <c r="M396" s="516" t="str">
        <f>IFERROR(INDEX('HCC Data Entry'!$J$4:$J$22, MATCH('HCC Detail w Diag'!$B396,'HCC Data Entry'!$I$4:$I$22,0)),"")</f>
        <v/>
      </c>
      <c r="N396" s="516" t="str">
        <f t="shared" si="25"/>
        <v/>
      </c>
      <c r="O396" s="518" t="str">
        <f t="shared" si="26"/>
        <v/>
      </c>
      <c r="P396" s="519" t="str">
        <f t="shared" si="27"/>
        <v/>
      </c>
    </row>
    <row r="397" spans="2:16" ht="18.5" x14ac:dyDescent="0.45">
      <c r="B397" s="244" t="str">
        <f>IF('HCC Data Entry'!B397="","",'HCC Data Entry'!B397)</f>
        <v/>
      </c>
      <c r="C397" s="502" t="str">
        <f>IF('HCC Data Entry'!C397="","",'HCC Data Entry'!C397)</f>
        <v/>
      </c>
      <c r="D397" s="502"/>
      <c r="E397" s="502"/>
      <c r="F397" s="502" t="str">
        <f>IF('HCC Data Entry'!E397="","",'HCC Data Entry'!E397)</f>
        <v/>
      </c>
      <c r="G397" s="502"/>
      <c r="H397" s="502"/>
      <c r="I397" s="244"/>
      <c r="J397" s="516"/>
      <c r="K397" s="516"/>
      <c r="L397" s="517" t="str">
        <f>IF('HCC Data Entry'!F397="","",'HCC Data Entry'!F397)</f>
        <v/>
      </c>
      <c r="M397" s="516" t="str">
        <f>IFERROR(INDEX('HCC Data Entry'!$J$4:$J$22, MATCH('HCC Detail w Diag'!$B397,'HCC Data Entry'!$I$4:$I$22,0)),"")</f>
        <v/>
      </c>
      <c r="N397" s="516" t="str">
        <f t="shared" si="25"/>
        <v/>
      </c>
      <c r="O397" s="518" t="str">
        <f t="shared" si="26"/>
        <v/>
      </c>
      <c r="P397" s="519" t="str">
        <f t="shared" si="27"/>
        <v/>
      </c>
    </row>
    <row r="398" spans="2:16" ht="18.5" x14ac:dyDescent="0.45">
      <c r="B398" s="244" t="str">
        <f>IF('HCC Data Entry'!B398="","",'HCC Data Entry'!B398)</f>
        <v/>
      </c>
      <c r="C398" s="502" t="str">
        <f>IF('HCC Data Entry'!C398="","",'HCC Data Entry'!C398)</f>
        <v/>
      </c>
      <c r="D398" s="502"/>
      <c r="E398" s="502"/>
      <c r="F398" s="502" t="str">
        <f>IF('HCC Data Entry'!E398="","",'HCC Data Entry'!E398)</f>
        <v/>
      </c>
      <c r="G398" s="502"/>
      <c r="H398" s="502"/>
      <c r="I398" s="244"/>
      <c r="J398" s="516"/>
      <c r="K398" s="516"/>
      <c r="L398" s="517" t="str">
        <f>IF('HCC Data Entry'!F398="","",'HCC Data Entry'!F398)</f>
        <v/>
      </c>
      <c r="M398" s="516" t="str">
        <f>IFERROR(INDEX('HCC Data Entry'!$J$4:$J$22, MATCH('HCC Detail w Diag'!$B398,'HCC Data Entry'!$I$4:$I$22,0)),"")</f>
        <v/>
      </c>
      <c r="N398" s="516" t="str">
        <f t="shared" si="25"/>
        <v/>
      </c>
      <c r="O398" s="518" t="str">
        <f t="shared" si="26"/>
        <v/>
      </c>
      <c r="P398" s="519" t="str">
        <f t="shared" si="27"/>
        <v/>
      </c>
    </row>
    <row r="399" spans="2:16" ht="18.5" x14ac:dyDescent="0.45">
      <c r="B399" s="244" t="str">
        <f>IF('HCC Data Entry'!B399="","",'HCC Data Entry'!B399)</f>
        <v/>
      </c>
      <c r="C399" s="502" t="str">
        <f>IF('HCC Data Entry'!C399="","",'HCC Data Entry'!C399)</f>
        <v/>
      </c>
      <c r="D399" s="502"/>
      <c r="E399" s="502"/>
      <c r="F399" s="502" t="str">
        <f>IF('HCC Data Entry'!E399="","",'HCC Data Entry'!E399)</f>
        <v/>
      </c>
      <c r="G399" s="502"/>
      <c r="H399" s="502"/>
      <c r="I399" s="244"/>
      <c r="J399" s="516"/>
      <c r="K399" s="516"/>
      <c r="L399" s="517" t="str">
        <f>IF('HCC Data Entry'!F399="","",'HCC Data Entry'!F399)</f>
        <v/>
      </c>
      <c r="M399" s="516" t="str">
        <f>IFERROR(INDEX('HCC Data Entry'!$J$4:$J$22, MATCH('HCC Detail w Diag'!$B399,'HCC Data Entry'!$I$4:$I$22,0)),"")</f>
        <v/>
      </c>
      <c r="N399" s="516" t="str">
        <f t="shared" si="25"/>
        <v/>
      </c>
      <c r="O399" s="518" t="str">
        <f t="shared" si="26"/>
        <v/>
      </c>
      <c r="P399" s="519" t="str">
        <f t="shared" si="27"/>
        <v/>
      </c>
    </row>
    <row r="400" spans="2:16" ht="18.5" x14ac:dyDescent="0.45">
      <c r="B400" s="244" t="str">
        <f>IF('HCC Data Entry'!B400="","",'HCC Data Entry'!B400)</f>
        <v/>
      </c>
      <c r="C400" s="502" t="str">
        <f>IF('HCC Data Entry'!C400="","",'HCC Data Entry'!C400)</f>
        <v/>
      </c>
      <c r="D400" s="502"/>
      <c r="E400" s="502"/>
      <c r="F400" s="502" t="str">
        <f>IF('HCC Data Entry'!E400="","",'HCC Data Entry'!E400)</f>
        <v/>
      </c>
      <c r="G400" s="502"/>
      <c r="H400" s="502"/>
      <c r="I400" s="244"/>
      <c r="J400" s="516"/>
      <c r="K400" s="516"/>
      <c r="L400" s="517" t="str">
        <f>IF('HCC Data Entry'!F400="","",'HCC Data Entry'!F400)</f>
        <v/>
      </c>
      <c r="M400" s="516" t="str">
        <f>IFERROR(INDEX('HCC Data Entry'!$J$4:$J$22, MATCH('HCC Detail w Diag'!$B400,'HCC Data Entry'!$I$4:$I$22,0)),"")</f>
        <v/>
      </c>
      <c r="N400" s="516" t="str">
        <f t="shared" si="25"/>
        <v/>
      </c>
      <c r="O400" s="518" t="str">
        <f t="shared" si="26"/>
        <v/>
      </c>
      <c r="P400" s="519" t="str">
        <f t="shared" si="27"/>
        <v/>
      </c>
    </row>
    <row r="401" spans="2:16" ht="18.5" x14ac:dyDescent="0.45">
      <c r="B401" s="244" t="str">
        <f>IF('HCC Data Entry'!B401="","",'HCC Data Entry'!B401)</f>
        <v/>
      </c>
      <c r="C401" s="502" t="str">
        <f>IF('HCC Data Entry'!C401="","",'HCC Data Entry'!C401)</f>
        <v/>
      </c>
      <c r="D401" s="502"/>
      <c r="E401" s="502"/>
      <c r="F401" s="502" t="str">
        <f>IF('HCC Data Entry'!E401="","",'HCC Data Entry'!E401)</f>
        <v/>
      </c>
      <c r="G401" s="502"/>
      <c r="H401" s="502"/>
      <c r="I401" s="244"/>
      <c r="J401" s="516"/>
      <c r="K401" s="516"/>
      <c r="L401" s="517" t="str">
        <f>IF('HCC Data Entry'!F401="","",'HCC Data Entry'!F401)</f>
        <v/>
      </c>
      <c r="M401" s="516" t="str">
        <f>IFERROR(INDEX('HCC Data Entry'!$J$4:$J$22, MATCH('HCC Detail w Diag'!$B401,'HCC Data Entry'!$I$4:$I$22,0)),"")</f>
        <v/>
      </c>
      <c r="N401" s="516" t="str">
        <f t="shared" si="25"/>
        <v/>
      </c>
      <c r="O401" s="518" t="str">
        <f t="shared" si="26"/>
        <v/>
      </c>
      <c r="P401" s="519" t="str">
        <f t="shared" si="27"/>
        <v/>
      </c>
    </row>
    <row r="402" spans="2:16" ht="18.5" x14ac:dyDescent="0.45">
      <c r="B402" s="244" t="str">
        <f>IF('HCC Data Entry'!B402="","",'HCC Data Entry'!B402)</f>
        <v/>
      </c>
      <c r="C402" s="502" t="str">
        <f>IF('HCC Data Entry'!C402="","",'HCC Data Entry'!C402)</f>
        <v/>
      </c>
      <c r="D402" s="502"/>
      <c r="E402" s="502"/>
      <c r="F402" s="502" t="str">
        <f>IF('HCC Data Entry'!E402="","",'HCC Data Entry'!E402)</f>
        <v/>
      </c>
      <c r="G402" s="502"/>
      <c r="H402" s="502"/>
      <c r="I402" s="244"/>
      <c r="J402" s="516"/>
      <c r="K402" s="516"/>
      <c r="L402" s="517" t="str">
        <f>IF('HCC Data Entry'!F402="","",'HCC Data Entry'!F402)</f>
        <v/>
      </c>
      <c r="M402" s="516" t="str">
        <f>IFERROR(INDEX('HCC Data Entry'!$J$4:$J$22, MATCH('HCC Detail w Diag'!$B402,'HCC Data Entry'!$I$4:$I$22,0)),"")</f>
        <v/>
      </c>
      <c r="N402" s="516" t="str">
        <f t="shared" si="25"/>
        <v/>
      </c>
      <c r="O402" s="518" t="str">
        <f t="shared" si="26"/>
        <v/>
      </c>
      <c r="P402" s="519" t="str">
        <f t="shared" si="27"/>
        <v/>
      </c>
    </row>
    <row r="403" spans="2:16" ht="18.5" x14ac:dyDescent="0.45">
      <c r="B403" s="244" t="str">
        <f>IF('HCC Data Entry'!B403="","",'HCC Data Entry'!B403)</f>
        <v/>
      </c>
      <c r="C403" s="502" t="str">
        <f>IF('HCC Data Entry'!C403="","",'HCC Data Entry'!C403)</f>
        <v/>
      </c>
      <c r="D403" s="502"/>
      <c r="E403" s="502"/>
      <c r="F403" s="502" t="str">
        <f>IF('HCC Data Entry'!E403="","",'HCC Data Entry'!E403)</f>
        <v/>
      </c>
      <c r="G403" s="502"/>
      <c r="H403" s="502"/>
      <c r="I403" s="244"/>
      <c r="J403" s="516"/>
      <c r="K403" s="516"/>
      <c r="L403" s="517" t="str">
        <f>IF('HCC Data Entry'!F403="","",'HCC Data Entry'!F403)</f>
        <v/>
      </c>
      <c r="M403" s="516" t="str">
        <f>IFERROR(INDEX('HCC Data Entry'!$J$4:$J$22, MATCH('HCC Detail w Diag'!$B403,'HCC Data Entry'!$I$4:$I$22,0)),"")</f>
        <v/>
      </c>
      <c r="N403" s="516" t="str">
        <f t="shared" si="25"/>
        <v/>
      </c>
      <c r="O403" s="518" t="str">
        <f t="shared" si="26"/>
        <v/>
      </c>
      <c r="P403" s="519" t="str">
        <f t="shared" si="27"/>
        <v/>
      </c>
    </row>
    <row r="404" spans="2:16" ht="18.5" x14ac:dyDescent="0.45">
      <c r="B404" s="244" t="str">
        <f>IF('HCC Data Entry'!B404="","",'HCC Data Entry'!B404)</f>
        <v/>
      </c>
      <c r="C404" s="502" t="str">
        <f>IF('HCC Data Entry'!C404="","",'HCC Data Entry'!C404)</f>
        <v/>
      </c>
      <c r="D404" s="502"/>
      <c r="E404" s="502"/>
      <c r="F404" s="502" t="str">
        <f>IF('HCC Data Entry'!E404="","",'HCC Data Entry'!E404)</f>
        <v/>
      </c>
      <c r="G404" s="502"/>
      <c r="H404" s="502"/>
      <c r="I404" s="244"/>
      <c r="J404" s="516"/>
      <c r="K404" s="516"/>
      <c r="L404" s="517" t="str">
        <f>IF('HCC Data Entry'!F404="","",'HCC Data Entry'!F404)</f>
        <v/>
      </c>
      <c r="M404" s="516" t="str">
        <f>IFERROR(INDEX('HCC Data Entry'!$J$4:$J$22, MATCH('HCC Detail w Diag'!$B404,'HCC Data Entry'!$I$4:$I$22,0)),"")</f>
        <v/>
      </c>
      <c r="N404" s="516" t="str">
        <f t="shared" si="25"/>
        <v/>
      </c>
      <c r="O404" s="518" t="str">
        <f t="shared" si="26"/>
        <v/>
      </c>
      <c r="P404" s="519" t="str">
        <f t="shared" si="27"/>
        <v/>
      </c>
    </row>
    <row r="405" spans="2:16" ht="18.5" x14ac:dyDescent="0.45">
      <c r="B405" s="244" t="str">
        <f>IF('HCC Data Entry'!B405="","",'HCC Data Entry'!B405)</f>
        <v/>
      </c>
      <c r="C405" s="502" t="str">
        <f>IF('HCC Data Entry'!C405="","",'HCC Data Entry'!C405)</f>
        <v/>
      </c>
      <c r="D405" s="502"/>
      <c r="E405" s="502"/>
      <c r="F405" s="502" t="str">
        <f>IF('HCC Data Entry'!E405="","",'HCC Data Entry'!E405)</f>
        <v/>
      </c>
      <c r="G405" s="502"/>
      <c r="H405" s="502"/>
      <c r="I405" s="244"/>
      <c r="J405" s="516"/>
      <c r="K405" s="516"/>
      <c r="L405" s="517" t="str">
        <f>IF('HCC Data Entry'!F405="","",'HCC Data Entry'!F405)</f>
        <v/>
      </c>
      <c r="M405" s="516" t="str">
        <f>IFERROR(INDEX('HCC Data Entry'!$J$4:$J$22, MATCH('HCC Detail w Diag'!$B405,'HCC Data Entry'!$I$4:$I$22,0)),"")</f>
        <v/>
      </c>
      <c r="N405" s="516" t="str">
        <f t="shared" si="25"/>
        <v/>
      </c>
      <c r="O405" s="518" t="str">
        <f t="shared" si="26"/>
        <v/>
      </c>
      <c r="P405" s="519" t="str">
        <f t="shared" si="27"/>
        <v/>
      </c>
    </row>
    <row r="406" spans="2:16" ht="18.5" x14ac:dyDescent="0.45">
      <c r="B406" s="244" t="str">
        <f>IF('HCC Data Entry'!B406="","",'HCC Data Entry'!B406)</f>
        <v/>
      </c>
      <c r="C406" s="502" t="str">
        <f>IF('HCC Data Entry'!C406="","",'HCC Data Entry'!C406)</f>
        <v/>
      </c>
      <c r="D406" s="502"/>
      <c r="E406" s="502"/>
      <c r="F406" s="502" t="str">
        <f>IF('HCC Data Entry'!E406="","",'HCC Data Entry'!E406)</f>
        <v/>
      </c>
      <c r="G406" s="502"/>
      <c r="H406" s="502"/>
      <c r="I406" s="244"/>
      <c r="J406" s="516"/>
      <c r="K406" s="516"/>
      <c r="L406" s="517" t="str">
        <f>IF('HCC Data Entry'!F406="","",'HCC Data Entry'!F406)</f>
        <v/>
      </c>
      <c r="M406" s="516" t="str">
        <f>IFERROR(INDEX('HCC Data Entry'!$J$4:$J$22, MATCH('HCC Detail w Diag'!$B406,'HCC Data Entry'!$I$4:$I$22,0)),"")</f>
        <v/>
      </c>
      <c r="N406" s="516" t="str">
        <f t="shared" si="25"/>
        <v/>
      </c>
      <c r="O406" s="518" t="str">
        <f t="shared" si="26"/>
        <v/>
      </c>
      <c r="P406" s="519" t="str">
        <f t="shared" si="27"/>
        <v/>
      </c>
    </row>
    <row r="407" spans="2:16" ht="18.5" x14ac:dyDescent="0.45">
      <c r="B407" s="244" t="str">
        <f>IF('HCC Data Entry'!B407="","",'HCC Data Entry'!B407)</f>
        <v/>
      </c>
      <c r="C407" s="502" t="str">
        <f>IF('HCC Data Entry'!C407="","",'HCC Data Entry'!C407)</f>
        <v/>
      </c>
      <c r="D407" s="502"/>
      <c r="E407" s="502"/>
      <c r="F407" s="502" t="str">
        <f>IF('HCC Data Entry'!E407="","",'HCC Data Entry'!E407)</f>
        <v/>
      </c>
      <c r="G407" s="502"/>
      <c r="H407" s="502"/>
      <c r="I407" s="244"/>
      <c r="J407" s="516"/>
      <c r="K407" s="516"/>
      <c r="L407" s="517" t="str">
        <f>IF('HCC Data Entry'!F407="","",'HCC Data Entry'!F407)</f>
        <v/>
      </c>
      <c r="M407" s="516" t="str">
        <f>IFERROR(INDEX('HCC Data Entry'!$J$4:$J$22, MATCH('HCC Detail w Diag'!$B407,'HCC Data Entry'!$I$4:$I$22,0)),"")</f>
        <v/>
      </c>
      <c r="N407" s="516" t="str">
        <f t="shared" si="25"/>
        <v/>
      </c>
      <c r="O407" s="518" t="str">
        <f t="shared" si="26"/>
        <v/>
      </c>
      <c r="P407" s="519" t="str">
        <f t="shared" si="27"/>
        <v/>
      </c>
    </row>
    <row r="408" spans="2:16" ht="18.5" x14ac:dyDescent="0.45">
      <c r="B408" s="244" t="str">
        <f>IF('HCC Data Entry'!B408="","",'HCC Data Entry'!B408)</f>
        <v/>
      </c>
      <c r="C408" s="502" t="str">
        <f>IF('HCC Data Entry'!C408="","",'HCC Data Entry'!C408)</f>
        <v/>
      </c>
      <c r="D408" s="502"/>
      <c r="E408" s="502"/>
      <c r="F408" s="502" t="str">
        <f>IF('HCC Data Entry'!E408="","",'HCC Data Entry'!E408)</f>
        <v/>
      </c>
      <c r="G408" s="502"/>
      <c r="H408" s="502"/>
      <c r="I408" s="244"/>
      <c r="J408" s="516"/>
      <c r="K408" s="516"/>
      <c r="L408" s="517" t="str">
        <f>IF('HCC Data Entry'!F408="","",'HCC Data Entry'!F408)</f>
        <v/>
      </c>
      <c r="M408" s="516" t="str">
        <f>IFERROR(INDEX('HCC Data Entry'!$J$4:$J$22, MATCH('HCC Detail w Diag'!$B408,'HCC Data Entry'!$I$4:$I$22,0)),"")</f>
        <v/>
      </c>
      <c r="N408" s="516" t="str">
        <f t="shared" si="25"/>
        <v/>
      </c>
      <c r="O408" s="518" t="str">
        <f t="shared" si="26"/>
        <v/>
      </c>
      <c r="P408" s="519" t="str">
        <f t="shared" si="27"/>
        <v/>
      </c>
    </row>
    <row r="409" spans="2:16" ht="18.5" x14ac:dyDescent="0.45">
      <c r="B409" s="244" t="str">
        <f>IF('HCC Data Entry'!B409="","",'HCC Data Entry'!B409)</f>
        <v/>
      </c>
      <c r="C409" s="502" t="str">
        <f>IF('HCC Data Entry'!C409="","",'HCC Data Entry'!C409)</f>
        <v/>
      </c>
      <c r="D409" s="502"/>
      <c r="E409" s="502"/>
      <c r="F409" s="502" t="str">
        <f>IF('HCC Data Entry'!E409="","",'HCC Data Entry'!E409)</f>
        <v/>
      </c>
      <c r="G409" s="502"/>
      <c r="H409" s="502"/>
      <c r="I409" s="244"/>
      <c r="J409" s="516"/>
      <c r="K409" s="516"/>
      <c r="L409" s="517" t="str">
        <f>IF('HCC Data Entry'!F409="","",'HCC Data Entry'!F409)</f>
        <v/>
      </c>
      <c r="M409" s="516" t="str">
        <f>IFERROR(INDEX('HCC Data Entry'!$J$4:$J$22, MATCH('HCC Detail w Diag'!$B409,'HCC Data Entry'!$I$4:$I$22,0)),"")</f>
        <v/>
      </c>
      <c r="N409" s="516" t="str">
        <f t="shared" si="25"/>
        <v/>
      </c>
      <c r="O409" s="518" t="str">
        <f t="shared" si="26"/>
        <v/>
      </c>
      <c r="P409" s="519" t="str">
        <f t="shared" si="27"/>
        <v/>
      </c>
    </row>
    <row r="410" spans="2:16" ht="18.5" x14ac:dyDescent="0.45">
      <c r="B410" s="244" t="str">
        <f>IF('HCC Data Entry'!B410="","",'HCC Data Entry'!B410)</f>
        <v/>
      </c>
      <c r="C410" s="502" t="str">
        <f>IF('HCC Data Entry'!C410="","",'HCC Data Entry'!C410)</f>
        <v/>
      </c>
      <c r="D410" s="502"/>
      <c r="E410" s="502"/>
      <c r="F410" s="502" t="str">
        <f>IF('HCC Data Entry'!E410="","",'HCC Data Entry'!E410)</f>
        <v/>
      </c>
      <c r="G410" s="502"/>
      <c r="H410" s="502"/>
      <c r="I410" s="244"/>
      <c r="J410" s="516"/>
      <c r="K410" s="516"/>
      <c r="L410" s="517" t="str">
        <f>IF('HCC Data Entry'!F410="","",'HCC Data Entry'!F410)</f>
        <v/>
      </c>
      <c r="M410" s="516" t="str">
        <f>IFERROR(INDEX('HCC Data Entry'!$J$4:$J$22, MATCH('HCC Detail w Diag'!$B410,'HCC Data Entry'!$I$4:$I$22,0)),"")</f>
        <v/>
      </c>
      <c r="N410" s="516" t="str">
        <f t="shared" si="25"/>
        <v/>
      </c>
      <c r="O410" s="518" t="str">
        <f t="shared" si="26"/>
        <v/>
      </c>
      <c r="P410" s="519" t="str">
        <f t="shared" si="27"/>
        <v/>
      </c>
    </row>
    <row r="411" spans="2:16" ht="18.5" x14ac:dyDescent="0.45">
      <c r="B411" s="244" t="str">
        <f>IF('HCC Data Entry'!B411="","",'HCC Data Entry'!B411)</f>
        <v/>
      </c>
      <c r="C411" s="502" t="str">
        <f>IF('HCC Data Entry'!C411="","",'HCC Data Entry'!C411)</f>
        <v/>
      </c>
      <c r="D411" s="502"/>
      <c r="E411" s="502"/>
      <c r="F411" s="502" t="str">
        <f>IF('HCC Data Entry'!E411="","",'HCC Data Entry'!E411)</f>
        <v/>
      </c>
      <c r="G411" s="502"/>
      <c r="H411" s="502"/>
      <c r="I411" s="244"/>
      <c r="J411" s="516"/>
      <c r="K411" s="516"/>
      <c r="L411" s="517" t="str">
        <f>IF('HCC Data Entry'!F411="","",'HCC Data Entry'!F411)</f>
        <v/>
      </c>
      <c r="M411" s="516" t="str">
        <f>IFERROR(INDEX('HCC Data Entry'!$J$4:$J$22, MATCH('HCC Detail w Diag'!$B411,'HCC Data Entry'!$I$4:$I$22,0)),"")</f>
        <v/>
      </c>
      <c r="N411" s="516" t="str">
        <f t="shared" si="25"/>
        <v/>
      </c>
      <c r="O411" s="518" t="str">
        <f t="shared" si="26"/>
        <v/>
      </c>
      <c r="P411" s="519" t="str">
        <f t="shared" si="27"/>
        <v/>
      </c>
    </row>
    <row r="412" spans="2:16" ht="18.5" x14ac:dyDescent="0.45">
      <c r="B412" s="244" t="str">
        <f>IF('HCC Data Entry'!B412="","",'HCC Data Entry'!B412)</f>
        <v/>
      </c>
      <c r="C412" s="502" t="str">
        <f>IF('HCC Data Entry'!C412="","",'HCC Data Entry'!C412)</f>
        <v/>
      </c>
      <c r="D412" s="502"/>
      <c r="E412" s="502"/>
      <c r="F412" s="502" t="str">
        <f>IF('HCC Data Entry'!E412="","",'HCC Data Entry'!E412)</f>
        <v/>
      </c>
      <c r="G412" s="502"/>
      <c r="H412" s="502"/>
      <c r="I412" s="244"/>
      <c r="J412" s="516"/>
      <c r="K412" s="516"/>
      <c r="L412" s="517" t="str">
        <f>IF('HCC Data Entry'!F412="","",'HCC Data Entry'!F412)</f>
        <v/>
      </c>
      <c r="M412" s="516" t="str">
        <f>IFERROR(INDEX('HCC Data Entry'!$J$4:$J$22, MATCH('HCC Detail w Diag'!$B412,'HCC Data Entry'!$I$4:$I$22,0)),"")</f>
        <v/>
      </c>
      <c r="N412" s="516" t="str">
        <f t="shared" si="25"/>
        <v/>
      </c>
      <c r="O412" s="518" t="str">
        <f t="shared" si="26"/>
        <v/>
      </c>
      <c r="P412" s="519" t="str">
        <f t="shared" si="27"/>
        <v/>
      </c>
    </row>
    <row r="413" spans="2:16" ht="18.5" x14ac:dyDescent="0.45">
      <c r="B413" s="244" t="str">
        <f>IF('HCC Data Entry'!B413="","",'HCC Data Entry'!B413)</f>
        <v/>
      </c>
      <c r="C413" s="502" t="str">
        <f>IF('HCC Data Entry'!C413="","",'HCC Data Entry'!C413)</f>
        <v/>
      </c>
      <c r="D413" s="502"/>
      <c r="E413" s="502"/>
      <c r="F413" s="502" t="str">
        <f>IF('HCC Data Entry'!E413="","",'HCC Data Entry'!E413)</f>
        <v/>
      </c>
      <c r="G413" s="502"/>
      <c r="H413" s="502"/>
      <c r="I413" s="244"/>
      <c r="J413" s="516"/>
      <c r="K413" s="516"/>
      <c r="L413" s="517" t="str">
        <f>IF('HCC Data Entry'!F413="","",'HCC Data Entry'!F413)</f>
        <v/>
      </c>
      <c r="M413" s="516" t="str">
        <f>IFERROR(INDEX('HCC Data Entry'!$J$4:$J$22, MATCH('HCC Detail w Diag'!$B413,'HCC Data Entry'!$I$4:$I$22,0)),"")</f>
        <v/>
      </c>
      <c r="N413" s="516" t="str">
        <f t="shared" si="25"/>
        <v/>
      </c>
      <c r="O413" s="518" t="str">
        <f t="shared" si="26"/>
        <v/>
      </c>
      <c r="P413" s="519" t="str">
        <f t="shared" si="27"/>
        <v/>
      </c>
    </row>
    <row r="414" spans="2:16" ht="18.5" x14ac:dyDescent="0.45">
      <c r="B414" s="244" t="str">
        <f>IF('HCC Data Entry'!B414="","",'HCC Data Entry'!B414)</f>
        <v/>
      </c>
      <c r="C414" s="502" t="str">
        <f>IF('HCC Data Entry'!C414="","",'HCC Data Entry'!C414)</f>
        <v/>
      </c>
      <c r="D414" s="502"/>
      <c r="E414" s="502"/>
      <c r="F414" s="502" t="str">
        <f>IF('HCC Data Entry'!E414="","",'HCC Data Entry'!E414)</f>
        <v/>
      </c>
      <c r="G414" s="502"/>
      <c r="H414" s="502"/>
      <c r="I414" s="244"/>
      <c r="J414" s="516"/>
      <c r="K414" s="516"/>
      <c r="L414" s="517" t="str">
        <f>IF('HCC Data Entry'!F414="","",'HCC Data Entry'!F414)</f>
        <v/>
      </c>
      <c r="M414" s="516" t="str">
        <f>IFERROR(INDEX('HCC Data Entry'!$J$4:$J$22, MATCH('HCC Detail w Diag'!$B414,'HCC Data Entry'!$I$4:$I$22,0)),"")</f>
        <v/>
      </c>
      <c r="N414" s="516" t="str">
        <f t="shared" si="25"/>
        <v/>
      </c>
      <c r="O414" s="518" t="str">
        <f t="shared" si="26"/>
        <v/>
      </c>
      <c r="P414" s="519" t="str">
        <f t="shared" si="27"/>
        <v/>
      </c>
    </row>
    <row r="415" spans="2:16" ht="18.5" x14ac:dyDescent="0.45">
      <c r="B415" s="244" t="str">
        <f>IF('HCC Data Entry'!B415="","",'HCC Data Entry'!B415)</f>
        <v/>
      </c>
      <c r="C415" s="502" t="str">
        <f>IF('HCC Data Entry'!C415="","",'HCC Data Entry'!C415)</f>
        <v/>
      </c>
      <c r="D415" s="502"/>
      <c r="E415" s="502"/>
      <c r="F415" s="502" t="str">
        <f>IF('HCC Data Entry'!E415="","",'HCC Data Entry'!E415)</f>
        <v/>
      </c>
      <c r="G415" s="502"/>
      <c r="H415" s="502"/>
      <c r="I415" s="244"/>
      <c r="J415" s="516"/>
      <c r="K415" s="516"/>
      <c r="L415" s="517" t="str">
        <f>IF('HCC Data Entry'!F415="","",'HCC Data Entry'!F415)</f>
        <v/>
      </c>
      <c r="M415" s="516" t="str">
        <f>IFERROR(INDEX('HCC Data Entry'!$J$4:$J$22, MATCH('HCC Detail w Diag'!$B415,'HCC Data Entry'!$I$4:$I$22,0)),"")</f>
        <v/>
      </c>
      <c r="N415" s="516" t="str">
        <f t="shared" si="25"/>
        <v/>
      </c>
      <c r="O415" s="518" t="str">
        <f t="shared" si="26"/>
        <v/>
      </c>
      <c r="P415" s="519" t="str">
        <f t="shared" si="27"/>
        <v/>
      </c>
    </row>
    <row r="416" spans="2:16" ht="18.5" x14ac:dyDescent="0.45">
      <c r="B416" s="244" t="str">
        <f>IF('HCC Data Entry'!B416="","",'HCC Data Entry'!B416)</f>
        <v/>
      </c>
      <c r="C416" s="502" t="str">
        <f>IF('HCC Data Entry'!C416="","",'HCC Data Entry'!C416)</f>
        <v/>
      </c>
      <c r="D416" s="502"/>
      <c r="E416" s="502"/>
      <c r="F416" s="502" t="str">
        <f>IF('HCC Data Entry'!E416="","",'HCC Data Entry'!E416)</f>
        <v/>
      </c>
      <c r="G416" s="502"/>
      <c r="H416" s="502"/>
      <c r="I416" s="244"/>
      <c r="J416" s="516"/>
      <c r="K416" s="516"/>
      <c r="L416" s="517" t="str">
        <f>IF('HCC Data Entry'!F416="","",'HCC Data Entry'!F416)</f>
        <v/>
      </c>
      <c r="M416" s="516" t="str">
        <f>IFERROR(INDEX('HCC Data Entry'!$J$4:$J$22, MATCH('HCC Detail w Diag'!$B416,'HCC Data Entry'!$I$4:$I$22,0)),"")</f>
        <v/>
      </c>
      <c r="N416" s="516" t="str">
        <f t="shared" si="25"/>
        <v/>
      </c>
      <c r="O416" s="518" t="str">
        <f t="shared" si="26"/>
        <v/>
      </c>
      <c r="P416" s="519" t="str">
        <f t="shared" si="27"/>
        <v/>
      </c>
    </row>
    <row r="417" spans="2:16" ht="18.5" x14ac:dyDescent="0.45">
      <c r="B417" s="244" t="str">
        <f>IF('HCC Data Entry'!B417="","",'HCC Data Entry'!B417)</f>
        <v/>
      </c>
      <c r="C417" s="502" t="str">
        <f>IF('HCC Data Entry'!C417="","",'HCC Data Entry'!C417)</f>
        <v/>
      </c>
      <c r="D417" s="502"/>
      <c r="E417" s="502"/>
      <c r="F417" s="502" t="str">
        <f>IF('HCC Data Entry'!E417="","",'HCC Data Entry'!E417)</f>
        <v/>
      </c>
      <c r="G417" s="502"/>
      <c r="H417" s="502"/>
      <c r="I417" s="244"/>
      <c r="J417" s="516"/>
      <c r="K417" s="516"/>
      <c r="L417" s="517" t="str">
        <f>IF('HCC Data Entry'!F417="","",'HCC Data Entry'!F417)</f>
        <v/>
      </c>
      <c r="M417" s="516" t="str">
        <f>IFERROR(INDEX('HCC Data Entry'!$J$4:$J$22, MATCH('HCC Detail w Diag'!$B417,'HCC Data Entry'!$I$4:$I$22,0)),"")</f>
        <v/>
      </c>
      <c r="N417" s="516" t="str">
        <f t="shared" si="25"/>
        <v/>
      </c>
      <c r="O417" s="518" t="str">
        <f t="shared" si="26"/>
        <v/>
      </c>
      <c r="P417" s="519" t="str">
        <f t="shared" si="27"/>
        <v/>
      </c>
    </row>
    <row r="418" spans="2:16" ht="18.5" x14ac:dyDescent="0.45">
      <c r="B418" s="244" t="str">
        <f>IF('HCC Data Entry'!B418="","",'HCC Data Entry'!B418)</f>
        <v/>
      </c>
      <c r="C418" s="502" t="str">
        <f>IF('HCC Data Entry'!C418="","",'HCC Data Entry'!C418)</f>
        <v/>
      </c>
      <c r="D418" s="502"/>
      <c r="E418" s="502"/>
      <c r="F418" s="502" t="str">
        <f>IF('HCC Data Entry'!E418="","",'HCC Data Entry'!E418)</f>
        <v/>
      </c>
      <c r="G418" s="502"/>
      <c r="H418" s="502"/>
      <c r="I418" s="244"/>
      <c r="J418" s="516"/>
      <c r="K418" s="516"/>
      <c r="L418" s="517" t="str">
        <f>IF('HCC Data Entry'!F418="","",'HCC Data Entry'!F418)</f>
        <v/>
      </c>
      <c r="M418" s="516" t="str">
        <f>IFERROR(INDEX('HCC Data Entry'!$J$4:$J$22, MATCH('HCC Detail w Diag'!$B418,'HCC Data Entry'!$I$4:$I$22,0)),"")</f>
        <v/>
      </c>
      <c r="N418" s="516" t="str">
        <f t="shared" si="25"/>
        <v/>
      </c>
      <c r="O418" s="518" t="str">
        <f t="shared" si="26"/>
        <v/>
      </c>
      <c r="P418" s="519" t="str">
        <f t="shared" si="27"/>
        <v/>
      </c>
    </row>
    <row r="419" spans="2:16" ht="18.5" x14ac:dyDescent="0.45">
      <c r="B419" s="244" t="str">
        <f>IF('HCC Data Entry'!B419="","",'HCC Data Entry'!B419)</f>
        <v/>
      </c>
      <c r="C419" s="502" t="str">
        <f>IF('HCC Data Entry'!C419="","",'HCC Data Entry'!C419)</f>
        <v/>
      </c>
      <c r="D419" s="502"/>
      <c r="E419" s="502"/>
      <c r="F419" s="502" t="str">
        <f>IF('HCC Data Entry'!E419="","",'HCC Data Entry'!E419)</f>
        <v/>
      </c>
      <c r="G419" s="502"/>
      <c r="H419" s="502"/>
      <c r="I419" s="244"/>
      <c r="J419" s="516"/>
      <c r="K419" s="516"/>
      <c r="L419" s="517" t="str">
        <f>IF('HCC Data Entry'!F419="","",'HCC Data Entry'!F419)</f>
        <v/>
      </c>
      <c r="M419" s="516" t="str">
        <f>IFERROR(INDEX('HCC Data Entry'!$J$4:$J$22, MATCH('HCC Detail w Diag'!$B419,'HCC Data Entry'!$I$4:$I$22,0)),"")</f>
        <v/>
      </c>
      <c r="N419" s="516" t="str">
        <f t="shared" si="25"/>
        <v/>
      </c>
      <c r="O419" s="518" t="str">
        <f t="shared" si="26"/>
        <v/>
      </c>
      <c r="P419" s="519" t="str">
        <f t="shared" si="27"/>
        <v/>
      </c>
    </row>
    <row r="420" spans="2:16" ht="18.5" x14ac:dyDescent="0.45">
      <c r="B420" s="244" t="str">
        <f>IF('HCC Data Entry'!B420="","",'HCC Data Entry'!B420)</f>
        <v/>
      </c>
      <c r="C420" s="502" t="str">
        <f>IF('HCC Data Entry'!C420="","",'HCC Data Entry'!C420)</f>
        <v/>
      </c>
      <c r="D420" s="502"/>
      <c r="E420" s="502"/>
      <c r="F420" s="502" t="str">
        <f>IF('HCC Data Entry'!E420="","",'HCC Data Entry'!E420)</f>
        <v/>
      </c>
      <c r="G420" s="502"/>
      <c r="H420" s="502"/>
      <c r="I420" s="244"/>
      <c r="J420" s="516"/>
      <c r="K420" s="516"/>
      <c r="L420" s="517" t="str">
        <f>IF('HCC Data Entry'!F420="","",'HCC Data Entry'!F420)</f>
        <v/>
      </c>
      <c r="M420" s="516" t="str">
        <f>IFERROR(INDEX('HCC Data Entry'!$J$4:$J$22, MATCH('HCC Detail w Diag'!$B420,'HCC Data Entry'!$I$4:$I$22,0)),"")</f>
        <v/>
      </c>
      <c r="N420" s="516" t="str">
        <f t="shared" si="25"/>
        <v/>
      </c>
      <c r="O420" s="518" t="str">
        <f t="shared" si="26"/>
        <v/>
      </c>
      <c r="P420" s="519" t="str">
        <f t="shared" si="27"/>
        <v/>
      </c>
    </row>
    <row r="421" spans="2:16" ht="18.5" x14ac:dyDescent="0.45">
      <c r="B421" s="244" t="str">
        <f>IF('HCC Data Entry'!B421="","",'HCC Data Entry'!B421)</f>
        <v/>
      </c>
      <c r="C421" s="502" t="str">
        <f>IF('HCC Data Entry'!C421="","",'HCC Data Entry'!C421)</f>
        <v/>
      </c>
      <c r="D421" s="502"/>
      <c r="E421" s="502"/>
      <c r="F421" s="502" t="str">
        <f>IF('HCC Data Entry'!E421="","",'HCC Data Entry'!E421)</f>
        <v/>
      </c>
      <c r="G421" s="502"/>
      <c r="H421" s="502"/>
      <c r="I421" s="244"/>
      <c r="J421" s="516"/>
      <c r="K421" s="516"/>
      <c r="L421" s="517" t="str">
        <f>IF('HCC Data Entry'!F421="","",'HCC Data Entry'!F421)</f>
        <v/>
      </c>
      <c r="M421" s="516" t="str">
        <f>IFERROR(INDEX('HCC Data Entry'!$J$4:$J$22, MATCH('HCC Detail w Diag'!$B421,'HCC Data Entry'!$I$4:$I$22,0)),"")</f>
        <v/>
      </c>
      <c r="N421" s="516" t="str">
        <f t="shared" si="25"/>
        <v/>
      </c>
      <c r="O421" s="518" t="str">
        <f t="shared" si="26"/>
        <v/>
      </c>
      <c r="P421" s="519" t="str">
        <f t="shared" si="27"/>
        <v/>
      </c>
    </row>
    <row r="422" spans="2:16" ht="18.5" x14ac:dyDescent="0.45">
      <c r="B422" s="244" t="str">
        <f>IF('HCC Data Entry'!B422="","",'HCC Data Entry'!B422)</f>
        <v/>
      </c>
      <c r="C422" s="502" t="str">
        <f>IF('HCC Data Entry'!C422="","",'HCC Data Entry'!C422)</f>
        <v/>
      </c>
      <c r="D422" s="502"/>
      <c r="E422" s="502"/>
      <c r="F422" s="502" t="str">
        <f>IF('HCC Data Entry'!E422="","",'HCC Data Entry'!E422)</f>
        <v/>
      </c>
      <c r="G422" s="502"/>
      <c r="H422" s="502"/>
      <c r="I422" s="244"/>
      <c r="J422" s="516"/>
      <c r="K422" s="516"/>
      <c r="L422" s="517" t="str">
        <f>IF('HCC Data Entry'!F422="","",'HCC Data Entry'!F422)</f>
        <v/>
      </c>
      <c r="M422" s="516" t="str">
        <f>IFERROR(INDEX('HCC Data Entry'!$J$4:$J$22, MATCH('HCC Detail w Diag'!$B422,'HCC Data Entry'!$I$4:$I$22,0)),"")</f>
        <v/>
      </c>
      <c r="N422" s="516" t="str">
        <f t="shared" si="25"/>
        <v/>
      </c>
      <c r="O422" s="518" t="str">
        <f t="shared" si="26"/>
        <v/>
      </c>
      <c r="P422" s="519" t="str">
        <f t="shared" si="27"/>
        <v/>
      </c>
    </row>
    <row r="423" spans="2:16" ht="18.5" x14ac:dyDescent="0.45">
      <c r="B423" s="244" t="str">
        <f>IF('HCC Data Entry'!B423="","",'HCC Data Entry'!B423)</f>
        <v/>
      </c>
      <c r="C423" s="502" t="str">
        <f>IF('HCC Data Entry'!C423="","",'HCC Data Entry'!C423)</f>
        <v/>
      </c>
      <c r="D423" s="502"/>
      <c r="E423" s="502"/>
      <c r="F423" s="502" t="str">
        <f>IF('HCC Data Entry'!E423="","",'HCC Data Entry'!E423)</f>
        <v/>
      </c>
      <c r="G423" s="502"/>
      <c r="H423" s="502"/>
      <c r="I423" s="244"/>
      <c r="J423" s="516"/>
      <c r="K423" s="516"/>
      <c r="L423" s="517" t="str">
        <f>IF('HCC Data Entry'!F423="","",'HCC Data Entry'!F423)</f>
        <v/>
      </c>
      <c r="M423" s="516" t="str">
        <f>IFERROR(INDEX('HCC Data Entry'!$J$4:$J$22, MATCH('HCC Detail w Diag'!$B423,'HCC Data Entry'!$I$4:$I$22,0)),"")</f>
        <v/>
      </c>
      <c r="N423" s="516" t="str">
        <f t="shared" ref="N423:N486" si="28">IF(B423="","",IF(M423="Unknown", "", IF(L423&gt;M423,L423-M423,0)))</f>
        <v/>
      </c>
      <c r="O423" s="518" t="str">
        <f t="shared" si="26"/>
        <v/>
      </c>
      <c r="P423" s="519" t="str">
        <f t="shared" si="27"/>
        <v/>
      </c>
    </row>
    <row r="424" spans="2:16" ht="18.5" x14ac:dyDescent="0.45">
      <c r="B424" s="244" t="str">
        <f>IF('HCC Data Entry'!B424="","",'HCC Data Entry'!B424)</f>
        <v/>
      </c>
      <c r="C424" s="502" t="str">
        <f>IF('HCC Data Entry'!C424="","",'HCC Data Entry'!C424)</f>
        <v/>
      </c>
      <c r="D424" s="502"/>
      <c r="E424" s="502"/>
      <c r="F424" s="502" t="str">
        <f>IF('HCC Data Entry'!E424="","",'HCC Data Entry'!E424)</f>
        <v/>
      </c>
      <c r="G424" s="502"/>
      <c r="H424" s="502"/>
      <c r="I424" s="244"/>
      <c r="J424" s="516"/>
      <c r="K424" s="516"/>
      <c r="L424" s="517" t="str">
        <f>IF('HCC Data Entry'!F424="","",'HCC Data Entry'!F424)</f>
        <v/>
      </c>
      <c r="M424" s="516" t="str">
        <f>IFERROR(INDEX('HCC Data Entry'!$J$4:$J$22, MATCH('HCC Detail w Diag'!$B424,'HCC Data Entry'!$I$4:$I$22,0)),"")</f>
        <v/>
      </c>
      <c r="N424" s="516" t="str">
        <f t="shared" si="28"/>
        <v/>
      </c>
      <c r="O424" s="518" t="str">
        <f t="shared" si="26"/>
        <v/>
      </c>
      <c r="P424" s="519" t="str">
        <f t="shared" si="27"/>
        <v/>
      </c>
    </row>
    <row r="425" spans="2:16" ht="18.5" x14ac:dyDescent="0.45">
      <c r="B425" s="244" t="str">
        <f>IF('HCC Data Entry'!B425="","",'HCC Data Entry'!B425)</f>
        <v/>
      </c>
      <c r="C425" s="502" t="str">
        <f>IF('HCC Data Entry'!C425="","",'HCC Data Entry'!C425)</f>
        <v/>
      </c>
      <c r="D425" s="502"/>
      <c r="E425" s="502"/>
      <c r="F425" s="502" t="str">
        <f>IF('HCC Data Entry'!E425="","",'HCC Data Entry'!E425)</f>
        <v/>
      </c>
      <c r="G425" s="502"/>
      <c r="H425" s="502"/>
      <c r="I425" s="244"/>
      <c r="J425" s="516"/>
      <c r="K425" s="516"/>
      <c r="L425" s="517" t="str">
        <f>IF('HCC Data Entry'!F425="","",'HCC Data Entry'!F425)</f>
        <v/>
      </c>
      <c r="M425" s="516" t="str">
        <f>IFERROR(INDEX('HCC Data Entry'!$J$4:$J$22, MATCH('HCC Detail w Diag'!$B425,'HCC Data Entry'!$I$4:$I$22,0)),"")</f>
        <v/>
      </c>
      <c r="N425" s="516" t="str">
        <f t="shared" si="28"/>
        <v/>
      </c>
      <c r="O425" s="518" t="str">
        <f t="shared" si="26"/>
        <v/>
      </c>
      <c r="P425" s="519" t="str">
        <f t="shared" si="27"/>
        <v/>
      </c>
    </row>
    <row r="426" spans="2:16" ht="18.5" x14ac:dyDescent="0.45">
      <c r="B426" s="244" t="str">
        <f>IF('HCC Data Entry'!B426="","",'HCC Data Entry'!B426)</f>
        <v/>
      </c>
      <c r="C426" s="502" t="str">
        <f>IF('HCC Data Entry'!C426="","",'HCC Data Entry'!C426)</f>
        <v/>
      </c>
      <c r="D426" s="502"/>
      <c r="E426" s="502"/>
      <c r="F426" s="502" t="str">
        <f>IF('HCC Data Entry'!E426="","",'HCC Data Entry'!E426)</f>
        <v/>
      </c>
      <c r="G426" s="502"/>
      <c r="H426" s="502"/>
      <c r="I426" s="244"/>
      <c r="J426" s="516"/>
      <c r="K426" s="516"/>
      <c r="L426" s="517" t="str">
        <f>IF('HCC Data Entry'!F426="","",'HCC Data Entry'!F426)</f>
        <v/>
      </c>
      <c r="M426" s="516" t="str">
        <f>IFERROR(INDEX('HCC Data Entry'!$J$4:$J$22, MATCH('HCC Detail w Diag'!$B426,'HCC Data Entry'!$I$4:$I$22,0)),"")</f>
        <v/>
      </c>
      <c r="N426" s="516" t="str">
        <f t="shared" si="28"/>
        <v/>
      </c>
      <c r="O426" s="518" t="str">
        <f t="shared" si="26"/>
        <v/>
      </c>
      <c r="P426" s="519" t="str">
        <f t="shared" si="27"/>
        <v/>
      </c>
    </row>
    <row r="427" spans="2:16" ht="18.5" x14ac:dyDescent="0.45">
      <c r="B427" s="244" t="str">
        <f>IF('HCC Data Entry'!B427="","",'HCC Data Entry'!B427)</f>
        <v/>
      </c>
      <c r="C427" s="502" t="str">
        <f>IF('HCC Data Entry'!C427="","",'HCC Data Entry'!C427)</f>
        <v/>
      </c>
      <c r="D427" s="502"/>
      <c r="E427" s="502"/>
      <c r="F427" s="502" t="str">
        <f>IF('HCC Data Entry'!E427="","",'HCC Data Entry'!E427)</f>
        <v/>
      </c>
      <c r="G427" s="502"/>
      <c r="H427" s="502"/>
      <c r="I427" s="244"/>
      <c r="J427" s="516"/>
      <c r="K427" s="516"/>
      <c r="L427" s="517" t="str">
        <f>IF('HCC Data Entry'!F427="","",'HCC Data Entry'!F427)</f>
        <v/>
      </c>
      <c r="M427" s="516" t="str">
        <f>IFERROR(INDEX('HCC Data Entry'!$J$4:$J$22, MATCH('HCC Detail w Diag'!$B427,'HCC Data Entry'!$I$4:$I$22,0)),"")</f>
        <v/>
      </c>
      <c r="N427" s="516" t="str">
        <f t="shared" si="28"/>
        <v/>
      </c>
      <c r="O427" s="518" t="str">
        <f t="shared" si="26"/>
        <v/>
      </c>
      <c r="P427" s="519" t="str">
        <f t="shared" si="27"/>
        <v/>
      </c>
    </row>
    <row r="428" spans="2:16" ht="18.5" x14ac:dyDescent="0.45">
      <c r="B428" s="244" t="str">
        <f>IF('HCC Data Entry'!B428="","",'HCC Data Entry'!B428)</f>
        <v/>
      </c>
      <c r="C428" s="502" t="str">
        <f>IF('HCC Data Entry'!C428="","",'HCC Data Entry'!C428)</f>
        <v/>
      </c>
      <c r="D428" s="502"/>
      <c r="E428" s="502"/>
      <c r="F428" s="502" t="str">
        <f>IF('HCC Data Entry'!E428="","",'HCC Data Entry'!E428)</f>
        <v/>
      </c>
      <c r="G428" s="502"/>
      <c r="H428" s="502"/>
      <c r="I428" s="244"/>
      <c r="J428" s="516"/>
      <c r="K428" s="516"/>
      <c r="L428" s="517" t="str">
        <f>IF('HCC Data Entry'!F428="","",'HCC Data Entry'!F428)</f>
        <v/>
      </c>
      <c r="M428" s="516" t="str">
        <f>IFERROR(INDEX('HCC Data Entry'!$J$4:$J$22, MATCH('HCC Detail w Diag'!$B428,'HCC Data Entry'!$I$4:$I$22,0)),"")</f>
        <v/>
      </c>
      <c r="N428" s="516" t="str">
        <f t="shared" si="28"/>
        <v/>
      </c>
      <c r="O428" s="518" t="str">
        <f t="shared" si="26"/>
        <v/>
      </c>
      <c r="P428" s="519" t="str">
        <f t="shared" si="27"/>
        <v/>
      </c>
    </row>
    <row r="429" spans="2:16" ht="18.5" x14ac:dyDescent="0.45">
      <c r="B429" s="244" t="str">
        <f>IF('HCC Data Entry'!B429="","",'HCC Data Entry'!B429)</f>
        <v/>
      </c>
      <c r="C429" s="502" t="str">
        <f>IF('HCC Data Entry'!C429="","",'HCC Data Entry'!C429)</f>
        <v/>
      </c>
      <c r="D429" s="502"/>
      <c r="E429" s="502"/>
      <c r="F429" s="502" t="str">
        <f>IF('HCC Data Entry'!E429="","",'HCC Data Entry'!E429)</f>
        <v/>
      </c>
      <c r="G429" s="502"/>
      <c r="H429" s="502"/>
      <c r="I429" s="244"/>
      <c r="J429" s="516"/>
      <c r="K429" s="516"/>
      <c r="L429" s="517" t="str">
        <f>IF('HCC Data Entry'!F429="","",'HCC Data Entry'!F429)</f>
        <v/>
      </c>
      <c r="M429" s="516" t="str">
        <f>IFERROR(INDEX('HCC Data Entry'!$J$4:$J$22, MATCH('HCC Detail w Diag'!$B429,'HCC Data Entry'!$I$4:$I$22,0)),"")</f>
        <v/>
      </c>
      <c r="N429" s="516" t="str">
        <f t="shared" si="28"/>
        <v/>
      </c>
      <c r="O429" s="518" t="str">
        <f t="shared" si="26"/>
        <v/>
      </c>
      <c r="P429" s="519" t="str">
        <f t="shared" si="27"/>
        <v/>
      </c>
    </row>
    <row r="430" spans="2:16" ht="18.5" x14ac:dyDescent="0.45">
      <c r="B430" s="244" t="str">
        <f>IF('HCC Data Entry'!B430="","",'HCC Data Entry'!B430)</f>
        <v/>
      </c>
      <c r="C430" s="502" t="str">
        <f>IF('HCC Data Entry'!C430="","",'HCC Data Entry'!C430)</f>
        <v/>
      </c>
      <c r="D430" s="502"/>
      <c r="E430" s="502"/>
      <c r="F430" s="502" t="str">
        <f>IF('HCC Data Entry'!E430="","",'HCC Data Entry'!E430)</f>
        <v/>
      </c>
      <c r="G430" s="502"/>
      <c r="H430" s="502"/>
      <c r="I430" s="244"/>
      <c r="J430" s="516"/>
      <c r="K430" s="516"/>
      <c r="L430" s="517" t="str">
        <f>IF('HCC Data Entry'!F430="","",'HCC Data Entry'!F430)</f>
        <v/>
      </c>
      <c r="M430" s="516" t="str">
        <f>IFERROR(INDEX('HCC Data Entry'!$J$4:$J$22, MATCH('HCC Detail w Diag'!$B430,'HCC Data Entry'!$I$4:$I$22,0)),"")</f>
        <v/>
      </c>
      <c r="N430" s="516" t="str">
        <f t="shared" si="28"/>
        <v/>
      </c>
      <c r="O430" s="518" t="str">
        <f t="shared" si="26"/>
        <v/>
      </c>
      <c r="P430" s="519" t="str">
        <f t="shared" si="27"/>
        <v/>
      </c>
    </row>
    <row r="431" spans="2:16" ht="18.5" x14ac:dyDescent="0.45">
      <c r="B431" s="244" t="str">
        <f>IF('HCC Data Entry'!B431="","",'HCC Data Entry'!B431)</f>
        <v/>
      </c>
      <c r="C431" s="502" t="str">
        <f>IF('HCC Data Entry'!C431="","",'HCC Data Entry'!C431)</f>
        <v/>
      </c>
      <c r="D431" s="502"/>
      <c r="E431" s="502"/>
      <c r="F431" s="502" t="str">
        <f>IF('HCC Data Entry'!E431="","",'HCC Data Entry'!E431)</f>
        <v/>
      </c>
      <c r="G431" s="502"/>
      <c r="H431" s="502"/>
      <c r="I431" s="244"/>
      <c r="J431" s="516"/>
      <c r="K431" s="516"/>
      <c r="L431" s="517" t="str">
        <f>IF('HCC Data Entry'!F431="","",'HCC Data Entry'!F431)</f>
        <v/>
      </c>
      <c r="M431" s="516" t="str">
        <f>IFERROR(INDEX('HCC Data Entry'!$J$4:$J$22, MATCH('HCC Detail w Diag'!$B431,'HCC Data Entry'!$I$4:$I$22,0)),"")</f>
        <v/>
      </c>
      <c r="N431" s="516" t="str">
        <f t="shared" si="28"/>
        <v/>
      </c>
      <c r="O431" s="518" t="str">
        <f t="shared" si="26"/>
        <v/>
      </c>
      <c r="P431" s="519" t="str">
        <f t="shared" si="27"/>
        <v/>
      </c>
    </row>
    <row r="432" spans="2:16" ht="18.5" x14ac:dyDescent="0.45">
      <c r="B432" s="244" t="str">
        <f>IF('HCC Data Entry'!B432="","",'HCC Data Entry'!B432)</f>
        <v/>
      </c>
      <c r="C432" s="502" t="str">
        <f>IF('HCC Data Entry'!C432="","",'HCC Data Entry'!C432)</f>
        <v/>
      </c>
      <c r="D432" s="502"/>
      <c r="E432" s="502"/>
      <c r="F432" s="502" t="str">
        <f>IF('HCC Data Entry'!E432="","",'HCC Data Entry'!E432)</f>
        <v/>
      </c>
      <c r="G432" s="502"/>
      <c r="H432" s="502"/>
      <c r="I432" s="244"/>
      <c r="J432" s="516"/>
      <c r="K432" s="516"/>
      <c r="L432" s="517" t="str">
        <f>IF('HCC Data Entry'!F432="","",'HCC Data Entry'!F432)</f>
        <v/>
      </c>
      <c r="M432" s="516" t="str">
        <f>IFERROR(INDEX('HCC Data Entry'!$J$4:$J$22, MATCH('HCC Detail w Diag'!$B432,'HCC Data Entry'!$I$4:$I$22,0)),"")</f>
        <v/>
      </c>
      <c r="N432" s="516" t="str">
        <f t="shared" si="28"/>
        <v/>
      </c>
      <c r="O432" s="518" t="str">
        <f t="shared" si="26"/>
        <v/>
      </c>
      <c r="P432" s="519" t="str">
        <f t="shared" si="27"/>
        <v/>
      </c>
    </row>
    <row r="433" spans="2:16" ht="18.5" x14ac:dyDescent="0.45">
      <c r="B433" s="244" t="str">
        <f>IF('HCC Data Entry'!B433="","",'HCC Data Entry'!B433)</f>
        <v/>
      </c>
      <c r="C433" s="502" t="str">
        <f>IF('HCC Data Entry'!C433="","",'HCC Data Entry'!C433)</f>
        <v/>
      </c>
      <c r="D433" s="502"/>
      <c r="E433" s="502"/>
      <c r="F433" s="502" t="str">
        <f>IF('HCC Data Entry'!E433="","",'HCC Data Entry'!E433)</f>
        <v/>
      </c>
      <c r="G433" s="502"/>
      <c r="H433" s="502"/>
      <c r="I433" s="244"/>
      <c r="J433" s="516"/>
      <c r="K433" s="516"/>
      <c r="L433" s="517" t="str">
        <f>IF('HCC Data Entry'!F433="","",'HCC Data Entry'!F433)</f>
        <v/>
      </c>
      <c r="M433" s="516" t="str">
        <f>IFERROR(INDEX('HCC Data Entry'!$J$4:$J$22, MATCH('HCC Detail w Diag'!$B433,'HCC Data Entry'!$I$4:$I$22,0)),"")</f>
        <v/>
      </c>
      <c r="N433" s="516" t="str">
        <f t="shared" si="28"/>
        <v/>
      </c>
      <c r="O433" s="518" t="str">
        <f t="shared" si="26"/>
        <v/>
      </c>
      <c r="P433" s="519" t="str">
        <f t="shared" si="27"/>
        <v/>
      </c>
    </row>
    <row r="434" spans="2:16" ht="18.5" x14ac:dyDescent="0.45">
      <c r="B434" s="244" t="str">
        <f>IF('HCC Data Entry'!B434="","",'HCC Data Entry'!B434)</f>
        <v/>
      </c>
      <c r="C434" s="502" t="str">
        <f>IF('HCC Data Entry'!C434="","",'HCC Data Entry'!C434)</f>
        <v/>
      </c>
      <c r="D434" s="502"/>
      <c r="E434" s="502"/>
      <c r="F434" s="502" t="str">
        <f>IF('HCC Data Entry'!E434="","",'HCC Data Entry'!E434)</f>
        <v/>
      </c>
      <c r="G434" s="502"/>
      <c r="H434" s="502"/>
      <c r="I434" s="244"/>
      <c r="J434" s="516"/>
      <c r="K434" s="516"/>
      <c r="L434" s="517" t="str">
        <f>IF('HCC Data Entry'!F434="","",'HCC Data Entry'!F434)</f>
        <v/>
      </c>
      <c r="M434" s="516" t="str">
        <f>IFERROR(INDEX('HCC Data Entry'!$J$4:$J$22, MATCH('HCC Detail w Diag'!$B434,'HCC Data Entry'!$I$4:$I$22,0)),"")</f>
        <v/>
      </c>
      <c r="N434" s="516" t="str">
        <f t="shared" si="28"/>
        <v/>
      </c>
      <c r="O434" s="518" t="str">
        <f t="shared" si="26"/>
        <v/>
      </c>
      <c r="P434" s="519" t="str">
        <f t="shared" si="27"/>
        <v/>
      </c>
    </row>
    <row r="435" spans="2:16" ht="18.5" x14ac:dyDescent="0.45">
      <c r="B435" s="244" t="str">
        <f>IF('HCC Data Entry'!B435="","",'HCC Data Entry'!B435)</f>
        <v/>
      </c>
      <c r="C435" s="502" t="str">
        <f>IF('HCC Data Entry'!C435="","",'HCC Data Entry'!C435)</f>
        <v/>
      </c>
      <c r="D435" s="502"/>
      <c r="E435" s="502"/>
      <c r="F435" s="502" t="str">
        <f>IF('HCC Data Entry'!E435="","",'HCC Data Entry'!E435)</f>
        <v/>
      </c>
      <c r="G435" s="502"/>
      <c r="H435" s="502"/>
      <c r="I435" s="244"/>
      <c r="J435" s="516"/>
      <c r="K435" s="516"/>
      <c r="L435" s="517" t="str">
        <f>IF('HCC Data Entry'!F435="","",'HCC Data Entry'!F435)</f>
        <v/>
      </c>
      <c r="M435" s="516" t="str">
        <f>IFERROR(INDEX('HCC Data Entry'!$J$4:$J$22, MATCH('HCC Detail w Diag'!$B435,'HCC Data Entry'!$I$4:$I$22,0)),"")</f>
        <v/>
      </c>
      <c r="N435" s="516" t="str">
        <f t="shared" si="28"/>
        <v/>
      </c>
      <c r="O435" s="518" t="str">
        <f t="shared" si="26"/>
        <v/>
      </c>
      <c r="P435" s="519" t="str">
        <f t="shared" si="27"/>
        <v/>
      </c>
    </row>
    <row r="436" spans="2:16" ht="18.5" x14ac:dyDescent="0.45">
      <c r="B436" s="244" t="str">
        <f>IF('HCC Data Entry'!B436="","",'HCC Data Entry'!B436)</f>
        <v/>
      </c>
      <c r="C436" s="502" t="str">
        <f>IF('HCC Data Entry'!C436="","",'HCC Data Entry'!C436)</f>
        <v/>
      </c>
      <c r="D436" s="502"/>
      <c r="E436" s="502"/>
      <c r="F436" s="502" t="str">
        <f>IF('HCC Data Entry'!E436="","",'HCC Data Entry'!E436)</f>
        <v/>
      </c>
      <c r="G436" s="502"/>
      <c r="H436" s="502"/>
      <c r="I436" s="244"/>
      <c r="J436" s="516"/>
      <c r="K436" s="516"/>
      <c r="L436" s="517" t="str">
        <f>IF('HCC Data Entry'!F436="","",'HCC Data Entry'!F436)</f>
        <v/>
      </c>
      <c r="M436" s="516" t="str">
        <f>IFERROR(INDEX('HCC Data Entry'!$J$4:$J$22, MATCH('HCC Detail w Diag'!$B436,'HCC Data Entry'!$I$4:$I$22,0)),"")</f>
        <v/>
      </c>
      <c r="N436" s="516" t="str">
        <f t="shared" si="28"/>
        <v/>
      </c>
      <c r="O436" s="518" t="str">
        <f t="shared" si="26"/>
        <v/>
      </c>
      <c r="P436" s="519" t="str">
        <f t="shared" si="27"/>
        <v/>
      </c>
    </row>
    <row r="437" spans="2:16" ht="18.5" x14ac:dyDescent="0.45">
      <c r="B437" s="244" t="str">
        <f>IF('HCC Data Entry'!B437="","",'HCC Data Entry'!B437)</f>
        <v/>
      </c>
      <c r="C437" s="502" t="str">
        <f>IF('HCC Data Entry'!C437="","",'HCC Data Entry'!C437)</f>
        <v/>
      </c>
      <c r="D437" s="502"/>
      <c r="E437" s="502"/>
      <c r="F437" s="502" t="str">
        <f>IF('HCC Data Entry'!E437="","",'HCC Data Entry'!E437)</f>
        <v/>
      </c>
      <c r="G437" s="502"/>
      <c r="H437" s="502"/>
      <c r="I437" s="244"/>
      <c r="J437" s="516"/>
      <c r="K437" s="516"/>
      <c r="L437" s="517" t="str">
        <f>IF('HCC Data Entry'!F437="","",'HCC Data Entry'!F437)</f>
        <v/>
      </c>
      <c r="M437" s="516" t="str">
        <f>IFERROR(INDEX('HCC Data Entry'!$J$4:$J$22, MATCH('HCC Detail w Diag'!$B437,'HCC Data Entry'!$I$4:$I$22,0)),"")</f>
        <v/>
      </c>
      <c r="N437" s="516" t="str">
        <f t="shared" si="28"/>
        <v/>
      </c>
      <c r="O437" s="518" t="str">
        <f t="shared" si="26"/>
        <v/>
      </c>
      <c r="P437" s="519" t="str">
        <f t="shared" si="27"/>
        <v/>
      </c>
    </row>
    <row r="438" spans="2:16" ht="18.5" x14ac:dyDescent="0.45">
      <c r="B438" s="244" t="str">
        <f>IF('HCC Data Entry'!B438="","",'HCC Data Entry'!B438)</f>
        <v/>
      </c>
      <c r="C438" s="502" t="str">
        <f>IF('HCC Data Entry'!C438="","",'HCC Data Entry'!C438)</f>
        <v/>
      </c>
      <c r="D438" s="502"/>
      <c r="E438" s="502"/>
      <c r="F438" s="502" t="str">
        <f>IF('HCC Data Entry'!E438="","",'HCC Data Entry'!E438)</f>
        <v/>
      </c>
      <c r="G438" s="502"/>
      <c r="H438" s="502"/>
      <c r="I438" s="244"/>
      <c r="J438" s="516"/>
      <c r="K438" s="516"/>
      <c r="L438" s="517" t="str">
        <f>IF('HCC Data Entry'!F438="","",'HCC Data Entry'!F438)</f>
        <v/>
      </c>
      <c r="M438" s="516" t="str">
        <f>IFERROR(INDEX('HCC Data Entry'!$J$4:$J$22, MATCH('HCC Detail w Diag'!$B438,'HCC Data Entry'!$I$4:$I$22,0)),"")</f>
        <v/>
      </c>
      <c r="N438" s="516" t="str">
        <f t="shared" si="28"/>
        <v/>
      </c>
      <c r="O438" s="518" t="str">
        <f t="shared" si="26"/>
        <v/>
      </c>
      <c r="P438" s="519" t="str">
        <f t="shared" si="27"/>
        <v/>
      </c>
    </row>
    <row r="439" spans="2:16" ht="18.5" x14ac:dyDescent="0.45">
      <c r="B439" s="244" t="str">
        <f>IF('HCC Data Entry'!B439="","",'HCC Data Entry'!B439)</f>
        <v/>
      </c>
      <c r="C439" s="502" t="str">
        <f>IF('HCC Data Entry'!C439="","",'HCC Data Entry'!C439)</f>
        <v/>
      </c>
      <c r="D439" s="502"/>
      <c r="E439" s="502"/>
      <c r="F439" s="502" t="str">
        <f>IF('HCC Data Entry'!E439="","",'HCC Data Entry'!E439)</f>
        <v/>
      </c>
      <c r="G439" s="502"/>
      <c r="H439" s="502"/>
      <c r="I439" s="244"/>
      <c r="J439" s="516"/>
      <c r="K439" s="516"/>
      <c r="L439" s="517" t="str">
        <f>IF('HCC Data Entry'!F439="","",'HCC Data Entry'!F439)</f>
        <v/>
      </c>
      <c r="M439" s="516" t="str">
        <f>IFERROR(INDEX('HCC Data Entry'!$J$4:$J$22, MATCH('HCC Detail w Diag'!$B439,'HCC Data Entry'!$I$4:$I$22,0)),"")</f>
        <v/>
      </c>
      <c r="N439" s="516" t="str">
        <f t="shared" si="28"/>
        <v/>
      </c>
      <c r="O439" s="518" t="str">
        <f t="shared" si="26"/>
        <v/>
      </c>
      <c r="P439" s="519" t="str">
        <f t="shared" si="27"/>
        <v/>
      </c>
    </row>
    <row r="440" spans="2:16" ht="18.5" x14ac:dyDescent="0.45">
      <c r="B440" s="244" t="str">
        <f>IF('HCC Data Entry'!B440="","",'HCC Data Entry'!B440)</f>
        <v/>
      </c>
      <c r="C440" s="502" t="str">
        <f>IF('HCC Data Entry'!C440="","",'HCC Data Entry'!C440)</f>
        <v/>
      </c>
      <c r="D440" s="502"/>
      <c r="E440" s="502"/>
      <c r="F440" s="502" t="str">
        <f>IF('HCC Data Entry'!E440="","",'HCC Data Entry'!E440)</f>
        <v/>
      </c>
      <c r="G440" s="502"/>
      <c r="H440" s="502"/>
      <c r="I440" s="244"/>
      <c r="J440" s="516"/>
      <c r="K440" s="516"/>
      <c r="L440" s="517" t="str">
        <f>IF('HCC Data Entry'!F440="","",'HCC Data Entry'!F440)</f>
        <v/>
      </c>
      <c r="M440" s="516" t="str">
        <f>IFERROR(INDEX('HCC Data Entry'!$J$4:$J$22, MATCH('HCC Detail w Diag'!$B440,'HCC Data Entry'!$I$4:$I$22,0)),"")</f>
        <v/>
      </c>
      <c r="N440" s="516" t="str">
        <f t="shared" si="28"/>
        <v/>
      </c>
      <c r="O440" s="518" t="str">
        <f t="shared" si="26"/>
        <v/>
      </c>
      <c r="P440" s="519" t="str">
        <f t="shared" si="27"/>
        <v/>
      </c>
    </row>
    <row r="441" spans="2:16" ht="18.5" x14ac:dyDescent="0.45">
      <c r="B441" s="244" t="str">
        <f>IF('HCC Data Entry'!B441="","",'HCC Data Entry'!B441)</f>
        <v/>
      </c>
      <c r="C441" s="502" t="str">
        <f>IF('HCC Data Entry'!C441="","",'HCC Data Entry'!C441)</f>
        <v/>
      </c>
      <c r="D441" s="502"/>
      <c r="E441" s="502"/>
      <c r="F441" s="502" t="str">
        <f>IF('HCC Data Entry'!E441="","",'HCC Data Entry'!E441)</f>
        <v/>
      </c>
      <c r="G441" s="502"/>
      <c r="H441" s="502"/>
      <c r="I441" s="244"/>
      <c r="J441" s="516"/>
      <c r="K441" s="516"/>
      <c r="L441" s="517" t="str">
        <f>IF('HCC Data Entry'!F441="","",'HCC Data Entry'!F441)</f>
        <v/>
      </c>
      <c r="M441" s="516" t="str">
        <f>IFERROR(INDEX('HCC Data Entry'!$J$4:$J$22, MATCH('HCC Detail w Diag'!$B441,'HCC Data Entry'!$I$4:$I$22,0)),"")</f>
        <v/>
      </c>
      <c r="N441" s="516" t="str">
        <f t="shared" si="28"/>
        <v/>
      </c>
      <c r="O441" s="518" t="str">
        <f t="shared" si="26"/>
        <v/>
      </c>
      <c r="P441" s="519" t="str">
        <f t="shared" si="27"/>
        <v/>
      </c>
    </row>
    <row r="442" spans="2:16" ht="18.5" x14ac:dyDescent="0.45">
      <c r="B442" s="244" t="str">
        <f>IF('HCC Data Entry'!B442="","",'HCC Data Entry'!B442)</f>
        <v/>
      </c>
      <c r="C442" s="502" t="str">
        <f>IF('HCC Data Entry'!C442="","",'HCC Data Entry'!C442)</f>
        <v/>
      </c>
      <c r="D442" s="502"/>
      <c r="E442" s="502"/>
      <c r="F442" s="502" t="str">
        <f>IF('HCC Data Entry'!E442="","",'HCC Data Entry'!E442)</f>
        <v/>
      </c>
      <c r="G442" s="502"/>
      <c r="H442" s="502"/>
      <c r="I442" s="244"/>
      <c r="J442" s="516"/>
      <c r="K442" s="516"/>
      <c r="L442" s="517" t="str">
        <f>IF('HCC Data Entry'!F442="","",'HCC Data Entry'!F442)</f>
        <v/>
      </c>
      <c r="M442" s="516" t="str">
        <f>IFERROR(INDEX('HCC Data Entry'!$J$4:$J$22, MATCH('HCC Detail w Diag'!$B442,'HCC Data Entry'!$I$4:$I$22,0)),"")</f>
        <v/>
      </c>
      <c r="N442" s="516" t="str">
        <f t="shared" si="28"/>
        <v/>
      </c>
      <c r="O442" s="518" t="str">
        <f t="shared" si="26"/>
        <v/>
      </c>
      <c r="P442" s="519" t="str">
        <f t="shared" si="27"/>
        <v/>
      </c>
    </row>
    <row r="443" spans="2:16" ht="18.5" x14ac:dyDescent="0.45">
      <c r="B443" s="244" t="str">
        <f>IF('HCC Data Entry'!B443="","",'HCC Data Entry'!B443)</f>
        <v/>
      </c>
      <c r="C443" s="502" t="str">
        <f>IF('HCC Data Entry'!C443="","",'HCC Data Entry'!C443)</f>
        <v/>
      </c>
      <c r="D443" s="502"/>
      <c r="E443" s="502"/>
      <c r="F443" s="502" t="str">
        <f>IF('HCC Data Entry'!E443="","",'HCC Data Entry'!E443)</f>
        <v/>
      </c>
      <c r="G443" s="502"/>
      <c r="H443" s="502"/>
      <c r="I443" s="244"/>
      <c r="J443" s="516"/>
      <c r="K443" s="516"/>
      <c r="L443" s="517" t="str">
        <f>IF('HCC Data Entry'!F443="","",'HCC Data Entry'!F443)</f>
        <v/>
      </c>
      <c r="M443" s="516" t="str">
        <f>IFERROR(INDEX('HCC Data Entry'!$J$4:$J$22, MATCH('HCC Detail w Diag'!$B443,'HCC Data Entry'!$I$4:$I$22,0)),"")</f>
        <v/>
      </c>
      <c r="N443" s="516" t="str">
        <f t="shared" si="28"/>
        <v/>
      </c>
      <c r="O443" s="518" t="str">
        <f t="shared" si="26"/>
        <v/>
      </c>
      <c r="P443" s="519" t="str">
        <f t="shared" si="27"/>
        <v/>
      </c>
    </row>
    <row r="444" spans="2:16" ht="18.5" x14ac:dyDescent="0.45">
      <c r="B444" s="244" t="str">
        <f>IF('HCC Data Entry'!B444="","",'HCC Data Entry'!B444)</f>
        <v/>
      </c>
      <c r="C444" s="502" t="str">
        <f>IF('HCC Data Entry'!C444="","",'HCC Data Entry'!C444)</f>
        <v/>
      </c>
      <c r="D444" s="502"/>
      <c r="E444" s="502"/>
      <c r="F444" s="502" t="str">
        <f>IF('HCC Data Entry'!E444="","",'HCC Data Entry'!E444)</f>
        <v/>
      </c>
      <c r="G444" s="502"/>
      <c r="H444" s="502"/>
      <c r="I444" s="244"/>
      <c r="J444" s="516"/>
      <c r="K444" s="516"/>
      <c r="L444" s="517" t="str">
        <f>IF('HCC Data Entry'!F444="","",'HCC Data Entry'!F444)</f>
        <v/>
      </c>
      <c r="M444" s="516" t="str">
        <f>IFERROR(INDEX('HCC Data Entry'!$J$4:$J$22, MATCH('HCC Detail w Diag'!$B444,'HCC Data Entry'!$I$4:$I$22,0)),"")</f>
        <v/>
      </c>
      <c r="N444" s="516" t="str">
        <f t="shared" si="28"/>
        <v/>
      </c>
      <c r="O444" s="518" t="str">
        <f t="shared" si="26"/>
        <v/>
      </c>
      <c r="P444" s="519" t="str">
        <f t="shared" si="27"/>
        <v/>
      </c>
    </row>
    <row r="445" spans="2:16" ht="18.5" x14ac:dyDescent="0.45">
      <c r="B445" s="244" t="str">
        <f>IF('HCC Data Entry'!B445="","",'HCC Data Entry'!B445)</f>
        <v/>
      </c>
      <c r="C445" s="502" t="str">
        <f>IF('HCC Data Entry'!C445="","",'HCC Data Entry'!C445)</f>
        <v/>
      </c>
      <c r="D445" s="502"/>
      <c r="E445" s="502"/>
      <c r="F445" s="502" t="str">
        <f>IF('HCC Data Entry'!E445="","",'HCC Data Entry'!E445)</f>
        <v/>
      </c>
      <c r="G445" s="502"/>
      <c r="H445" s="502"/>
      <c r="I445" s="244"/>
      <c r="J445" s="516"/>
      <c r="K445" s="516"/>
      <c r="L445" s="517" t="str">
        <f>IF('HCC Data Entry'!F445="","",'HCC Data Entry'!F445)</f>
        <v/>
      </c>
      <c r="M445" s="516" t="str">
        <f>IFERROR(INDEX('HCC Data Entry'!$J$4:$J$22, MATCH('HCC Detail w Diag'!$B445,'HCC Data Entry'!$I$4:$I$22,0)),"")</f>
        <v/>
      </c>
      <c r="N445" s="516" t="str">
        <f t="shared" si="28"/>
        <v/>
      </c>
      <c r="O445" s="518" t="str">
        <f t="shared" si="26"/>
        <v/>
      </c>
      <c r="P445" s="519" t="str">
        <f t="shared" si="27"/>
        <v/>
      </c>
    </row>
    <row r="446" spans="2:16" ht="18.5" x14ac:dyDescent="0.45">
      <c r="B446" s="244" t="str">
        <f>IF('HCC Data Entry'!B446="","",'HCC Data Entry'!B446)</f>
        <v/>
      </c>
      <c r="C446" s="502" t="str">
        <f>IF('HCC Data Entry'!C446="","",'HCC Data Entry'!C446)</f>
        <v/>
      </c>
      <c r="D446" s="502"/>
      <c r="E446" s="502"/>
      <c r="F446" s="502" t="str">
        <f>IF('HCC Data Entry'!E446="","",'HCC Data Entry'!E446)</f>
        <v/>
      </c>
      <c r="G446" s="502"/>
      <c r="H446" s="502"/>
      <c r="I446" s="244"/>
      <c r="J446" s="516"/>
      <c r="K446" s="516"/>
      <c r="L446" s="517" t="str">
        <f>IF('HCC Data Entry'!F446="","",'HCC Data Entry'!F446)</f>
        <v/>
      </c>
      <c r="M446" s="516" t="str">
        <f>IFERROR(INDEX('HCC Data Entry'!$J$4:$J$22, MATCH('HCC Detail w Diag'!$B446,'HCC Data Entry'!$I$4:$I$22,0)),"")</f>
        <v/>
      </c>
      <c r="N446" s="516" t="str">
        <f t="shared" si="28"/>
        <v/>
      </c>
      <c r="O446" s="518" t="str">
        <f t="shared" si="26"/>
        <v/>
      </c>
      <c r="P446" s="519" t="str">
        <f t="shared" si="27"/>
        <v/>
      </c>
    </row>
    <row r="447" spans="2:16" ht="18.5" x14ac:dyDescent="0.45">
      <c r="B447" s="244" t="str">
        <f>IF('HCC Data Entry'!B447="","",'HCC Data Entry'!B447)</f>
        <v/>
      </c>
      <c r="C447" s="502" t="str">
        <f>IF('HCC Data Entry'!C447="","",'HCC Data Entry'!C447)</f>
        <v/>
      </c>
      <c r="D447" s="502"/>
      <c r="E447" s="502"/>
      <c r="F447" s="502" t="str">
        <f>IF('HCC Data Entry'!E447="","",'HCC Data Entry'!E447)</f>
        <v/>
      </c>
      <c r="G447" s="502"/>
      <c r="H447" s="502"/>
      <c r="I447" s="244"/>
      <c r="J447" s="516"/>
      <c r="K447" s="516"/>
      <c r="L447" s="517" t="str">
        <f>IF('HCC Data Entry'!F447="","",'HCC Data Entry'!F447)</f>
        <v/>
      </c>
      <c r="M447" s="516" t="str">
        <f>IFERROR(INDEX('HCC Data Entry'!$J$4:$J$22, MATCH('HCC Detail w Diag'!$B447,'HCC Data Entry'!$I$4:$I$22,0)),"")</f>
        <v/>
      </c>
      <c r="N447" s="516" t="str">
        <f t="shared" si="28"/>
        <v/>
      </c>
      <c r="O447" s="518" t="str">
        <f t="shared" si="26"/>
        <v/>
      </c>
      <c r="P447" s="519" t="str">
        <f t="shared" si="27"/>
        <v/>
      </c>
    </row>
    <row r="448" spans="2:16" ht="18.5" x14ac:dyDescent="0.45">
      <c r="B448" s="244" t="str">
        <f>IF('HCC Data Entry'!B448="","",'HCC Data Entry'!B448)</f>
        <v/>
      </c>
      <c r="C448" s="502" t="str">
        <f>IF('HCC Data Entry'!C448="","",'HCC Data Entry'!C448)</f>
        <v/>
      </c>
      <c r="D448" s="502"/>
      <c r="E448" s="502"/>
      <c r="F448" s="502" t="str">
        <f>IF('HCC Data Entry'!E448="","",'HCC Data Entry'!E448)</f>
        <v/>
      </c>
      <c r="G448" s="502"/>
      <c r="H448" s="502"/>
      <c r="I448" s="244"/>
      <c r="J448" s="516"/>
      <c r="K448" s="516"/>
      <c r="L448" s="517" t="str">
        <f>IF('HCC Data Entry'!F448="","",'HCC Data Entry'!F448)</f>
        <v/>
      </c>
      <c r="M448" s="516" t="str">
        <f>IFERROR(INDEX('HCC Data Entry'!$J$4:$J$22, MATCH('HCC Detail w Diag'!$B448,'HCC Data Entry'!$I$4:$I$22,0)),"")</f>
        <v/>
      </c>
      <c r="N448" s="516" t="str">
        <f t="shared" si="28"/>
        <v/>
      </c>
      <c r="O448" s="518" t="str">
        <f t="shared" si="26"/>
        <v/>
      </c>
      <c r="P448" s="519" t="str">
        <f t="shared" si="27"/>
        <v/>
      </c>
    </row>
    <row r="449" spans="2:16" ht="18.5" x14ac:dyDescent="0.45">
      <c r="B449" s="244" t="str">
        <f>IF('HCC Data Entry'!B449="","",'HCC Data Entry'!B449)</f>
        <v/>
      </c>
      <c r="C449" s="502" t="str">
        <f>IF('HCC Data Entry'!C449="","",'HCC Data Entry'!C449)</f>
        <v/>
      </c>
      <c r="D449" s="502"/>
      <c r="E449" s="502"/>
      <c r="F449" s="502" t="str">
        <f>IF('HCC Data Entry'!E449="","",'HCC Data Entry'!E449)</f>
        <v/>
      </c>
      <c r="G449" s="502"/>
      <c r="H449" s="502"/>
      <c r="I449" s="244"/>
      <c r="J449" s="516"/>
      <c r="K449" s="516"/>
      <c r="L449" s="517" t="str">
        <f>IF('HCC Data Entry'!F449="","",'HCC Data Entry'!F449)</f>
        <v/>
      </c>
      <c r="M449" s="516" t="str">
        <f>IFERROR(INDEX('HCC Data Entry'!$J$4:$J$22, MATCH('HCC Detail w Diag'!$B449,'HCC Data Entry'!$I$4:$I$22,0)),"")</f>
        <v/>
      </c>
      <c r="N449" s="516" t="str">
        <f t="shared" si="28"/>
        <v/>
      </c>
      <c r="O449" s="518" t="str">
        <f t="shared" si="26"/>
        <v/>
      </c>
      <c r="P449" s="519" t="str">
        <f t="shared" si="27"/>
        <v/>
      </c>
    </row>
    <row r="450" spans="2:16" ht="18.5" x14ac:dyDescent="0.45">
      <c r="B450" s="244" t="str">
        <f>IF('HCC Data Entry'!B450="","",'HCC Data Entry'!B450)</f>
        <v/>
      </c>
      <c r="C450" s="502" t="str">
        <f>IF('HCC Data Entry'!C450="","",'HCC Data Entry'!C450)</f>
        <v/>
      </c>
      <c r="D450" s="502"/>
      <c r="E450" s="502"/>
      <c r="F450" s="502" t="str">
        <f>IF('HCC Data Entry'!E450="","",'HCC Data Entry'!E450)</f>
        <v/>
      </c>
      <c r="G450" s="502"/>
      <c r="H450" s="502"/>
      <c r="I450" s="244"/>
      <c r="J450" s="516"/>
      <c r="K450" s="516"/>
      <c r="L450" s="517" t="str">
        <f>IF('HCC Data Entry'!F450="","",'HCC Data Entry'!F450)</f>
        <v/>
      </c>
      <c r="M450" s="516" t="str">
        <f>IFERROR(INDEX('HCC Data Entry'!$J$4:$J$22, MATCH('HCC Detail w Diag'!$B450,'HCC Data Entry'!$I$4:$I$22,0)),"")</f>
        <v/>
      </c>
      <c r="N450" s="516" t="str">
        <f t="shared" si="28"/>
        <v/>
      </c>
      <c r="O450" s="518" t="str">
        <f t="shared" si="26"/>
        <v/>
      </c>
      <c r="P450" s="519" t="str">
        <f t="shared" si="27"/>
        <v/>
      </c>
    </row>
    <row r="451" spans="2:16" ht="18.5" x14ac:dyDescent="0.45">
      <c r="B451" s="244" t="str">
        <f>IF('HCC Data Entry'!B451="","",'HCC Data Entry'!B451)</f>
        <v/>
      </c>
      <c r="C451" s="502" t="str">
        <f>IF('HCC Data Entry'!C451="","",'HCC Data Entry'!C451)</f>
        <v/>
      </c>
      <c r="D451" s="502"/>
      <c r="E451" s="502"/>
      <c r="F451" s="502" t="str">
        <f>IF('HCC Data Entry'!E451="","",'HCC Data Entry'!E451)</f>
        <v/>
      </c>
      <c r="G451" s="502"/>
      <c r="H451" s="502"/>
      <c r="I451" s="244"/>
      <c r="J451" s="516"/>
      <c r="K451" s="516"/>
      <c r="L451" s="517" t="str">
        <f>IF('HCC Data Entry'!F451="","",'HCC Data Entry'!F451)</f>
        <v/>
      </c>
      <c r="M451" s="516" t="str">
        <f>IFERROR(INDEX('HCC Data Entry'!$J$4:$J$22, MATCH('HCC Detail w Diag'!$B451,'HCC Data Entry'!$I$4:$I$22,0)),"")</f>
        <v/>
      </c>
      <c r="N451" s="516" t="str">
        <f t="shared" si="28"/>
        <v/>
      </c>
      <c r="O451" s="518" t="str">
        <f t="shared" si="26"/>
        <v/>
      </c>
      <c r="P451" s="519" t="str">
        <f t="shared" si="27"/>
        <v/>
      </c>
    </row>
    <row r="452" spans="2:16" ht="18.5" x14ac:dyDescent="0.45">
      <c r="B452" s="244" t="str">
        <f>IF('HCC Data Entry'!B452="","",'HCC Data Entry'!B452)</f>
        <v/>
      </c>
      <c r="C452" s="502" t="str">
        <f>IF('HCC Data Entry'!C452="","",'HCC Data Entry'!C452)</f>
        <v/>
      </c>
      <c r="D452" s="502"/>
      <c r="E452" s="502"/>
      <c r="F452" s="502" t="str">
        <f>IF('HCC Data Entry'!E452="","",'HCC Data Entry'!E452)</f>
        <v/>
      </c>
      <c r="G452" s="502"/>
      <c r="H452" s="502"/>
      <c r="I452" s="244"/>
      <c r="J452" s="516"/>
      <c r="K452" s="516"/>
      <c r="L452" s="517" t="str">
        <f>IF('HCC Data Entry'!F452="","",'HCC Data Entry'!F452)</f>
        <v/>
      </c>
      <c r="M452" s="516" t="str">
        <f>IFERROR(INDEX('HCC Data Entry'!$J$4:$J$22, MATCH('HCC Detail w Diag'!$B452,'HCC Data Entry'!$I$4:$I$22,0)),"")</f>
        <v/>
      </c>
      <c r="N452" s="516" t="str">
        <f t="shared" si="28"/>
        <v/>
      </c>
      <c r="O452" s="518" t="str">
        <f t="shared" si="26"/>
        <v/>
      </c>
      <c r="P452" s="519" t="str">
        <f t="shared" si="27"/>
        <v/>
      </c>
    </row>
    <row r="453" spans="2:16" ht="18.5" x14ac:dyDescent="0.45">
      <c r="B453" s="244" t="str">
        <f>IF('HCC Data Entry'!B453="","",'HCC Data Entry'!B453)</f>
        <v/>
      </c>
      <c r="C453" s="502" t="str">
        <f>IF('HCC Data Entry'!C453="","",'HCC Data Entry'!C453)</f>
        <v/>
      </c>
      <c r="D453" s="502"/>
      <c r="E453" s="502"/>
      <c r="F453" s="502" t="str">
        <f>IF('HCC Data Entry'!E453="","",'HCC Data Entry'!E453)</f>
        <v/>
      </c>
      <c r="G453" s="502"/>
      <c r="H453" s="502"/>
      <c r="I453" s="244"/>
      <c r="J453" s="516"/>
      <c r="K453" s="516"/>
      <c r="L453" s="517" t="str">
        <f>IF('HCC Data Entry'!F453="","",'HCC Data Entry'!F453)</f>
        <v/>
      </c>
      <c r="M453" s="516" t="str">
        <f>IFERROR(INDEX('HCC Data Entry'!$J$4:$J$22, MATCH('HCC Detail w Diag'!$B453,'HCC Data Entry'!$I$4:$I$22,0)),"")</f>
        <v/>
      </c>
      <c r="N453" s="516" t="str">
        <f t="shared" si="28"/>
        <v/>
      </c>
      <c r="O453" s="518" t="str">
        <f t="shared" ref="O453:O495" si="29">IF(N453="","",IF(N453=0,0, IF(L453&gt;$U$4,($U$4-M453),N453)))</f>
        <v/>
      </c>
      <c r="P453" s="519" t="str">
        <f t="shared" ref="P453:P495" si="30">IF(O453="","",IF(O453=0,0,IF(L453&gt;$U$4,L453-$U$4,0)))</f>
        <v/>
      </c>
    </row>
    <row r="454" spans="2:16" ht="18.5" x14ac:dyDescent="0.45">
      <c r="B454" s="244" t="str">
        <f>IF('HCC Data Entry'!B454="","",'HCC Data Entry'!B454)</f>
        <v/>
      </c>
      <c r="C454" s="502" t="str">
        <f>IF('HCC Data Entry'!C454="","",'HCC Data Entry'!C454)</f>
        <v/>
      </c>
      <c r="D454" s="502"/>
      <c r="E454" s="502"/>
      <c r="F454" s="502" t="str">
        <f>IF('HCC Data Entry'!E454="","",'HCC Data Entry'!E454)</f>
        <v/>
      </c>
      <c r="G454" s="502"/>
      <c r="H454" s="502"/>
      <c r="I454" s="244"/>
      <c r="J454" s="516"/>
      <c r="K454" s="516"/>
      <c r="L454" s="517" t="str">
        <f>IF('HCC Data Entry'!F454="","",'HCC Data Entry'!F454)</f>
        <v/>
      </c>
      <c r="M454" s="516" t="str">
        <f>IFERROR(INDEX('HCC Data Entry'!$J$4:$J$22, MATCH('HCC Detail w Diag'!$B454,'HCC Data Entry'!$I$4:$I$22,0)),"")</f>
        <v/>
      </c>
      <c r="N454" s="516" t="str">
        <f t="shared" si="28"/>
        <v/>
      </c>
      <c r="O454" s="518" t="str">
        <f t="shared" si="29"/>
        <v/>
      </c>
      <c r="P454" s="519" t="str">
        <f t="shared" si="30"/>
        <v/>
      </c>
    </row>
    <row r="455" spans="2:16" ht="18.5" x14ac:dyDescent="0.45">
      <c r="B455" s="244" t="str">
        <f>IF('HCC Data Entry'!B455="","",'HCC Data Entry'!B455)</f>
        <v/>
      </c>
      <c r="C455" s="502" t="str">
        <f>IF('HCC Data Entry'!C455="","",'HCC Data Entry'!C455)</f>
        <v/>
      </c>
      <c r="D455" s="502"/>
      <c r="E455" s="502"/>
      <c r="F455" s="502" t="str">
        <f>IF('HCC Data Entry'!E455="","",'HCC Data Entry'!E455)</f>
        <v/>
      </c>
      <c r="G455" s="502"/>
      <c r="H455" s="502"/>
      <c r="I455" s="244"/>
      <c r="J455" s="516"/>
      <c r="K455" s="516"/>
      <c r="L455" s="517" t="str">
        <f>IF('HCC Data Entry'!F455="","",'HCC Data Entry'!F455)</f>
        <v/>
      </c>
      <c r="M455" s="516" t="str">
        <f>IFERROR(INDEX('HCC Data Entry'!$J$4:$J$22, MATCH('HCC Detail w Diag'!$B455,'HCC Data Entry'!$I$4:$I$22,0)),"")</f>
        <v/>
      </c>
      <c r="N455" s="516" t="str">
        <f t="shared" si="28"/>
        <v/>
      </c>
      <c r="O455" s="518" t="str">
        <f t="shared" si="29"/>
        <v/>
      </c>
      <c r="P455" s="519" t="str">
        <f t="shared" si="30"/>
        <v/>
      </c>
    </row>
    <row r="456" spans="2:16" ht="18.5" x14ac:dyDescent="0.45">
      <c r="B456" s="244" t="str">
        <f>IF('HCC Data Entry'!B456="","",'HCC Data Entry'!B456)</f>
        <v/>
      </c>
      <c r="C456" s="502" t="str">
        <f>IF('HCC Data Entry'!C456="","",'HCC Data Entry'!C456)</f>
        <v/>
      </c>
      <c r="D456" s="502"/>
      <c r="E456" s="502"/>
      <c r="F456" s="502" t="str">
        <f>IF('HCC Data Entry'!E456="","",'HCC Data Entry'!E456)</f>
        <v/>
      </c>
      <c r="G456" s="502"/>
      <c r="H456" s="502"/>
      <c r="I456" s="244"/>
      <c r="J456" s="516"/>
      <c r="K456" s="516"/>
      <c r="L456" s="517" t="str">
        <f>IF('HCC Data Entry'!F456="","",'HCC Data Entry'!F456)</f>
        <v/>
      </c>
      <c r="M456" s="516" t="str">
        <f>IFERROR(INDEX('HCC Data Entry'!$J$4:$J$22, MATCH('HCC Detail w Diag'!$B456,'HCC Data Entry'!$I$4:$I$22,0)),"")</f>
        <v/>
      </c>
      <c r="N456" s="516" t="str">
        <f t="shared" si="28"/>
        <v/>
      </c>
      <c r="O456" s="518" t="str">
        <f t="shared" si="29"/>
        <v/>
      </c>
      <c r="P456" s="519" t="str">
        <f t="shared" si="30"/>
        <v/>
      </c>
    </row>
    <row r="457" spans="2:16" ht="18.5" x14ac:dyDescent="0.45">
      <c r="B457" s="244" t="str">
        <f>IF('HCC Data Entry'!B457="","",'HCC Data Entry'!B457)</f>
        <v/>
      </c>
      <c r="C457" s="502" t="str">
        <f>IF('HCC Data Entry'!C457="","",'HCC Data Entry'!C457)</f>
        <v/>
      </c>
      <c r="D457" s="502"/>
      <c r="E457" s="502"/>
      <c r="F457" s="502" t="str">
        <f>IF('HCC Data Entry'!E457="","",'HCC Data Entry'!E457)</f>
        <v/>
      </c>
      <c r="G457" s="502"/>
      <c r="H457" s="502"/>
      <c r="I457" s="244"/>
      <c r="J457" s="516"/>
      <c r="K457" s="516"/>
      <c r="L457" s="517" t="str">
        <f>IF('HCC Data Entry'!F457="","",'HCC Data Entry'!F457)</f>
        <v/>
      </c>
      <c r="M457" s="516" t="str">
        <f>IFERROR(INDEX('HCC Data Entry'!$J$4:$J$22, MATCH('HCC Detail w Diag'!$B457,'HCC Data Entry'!$I$4:$I$22,0)),"")</f>
        <v/>
      </c>
      <c r="N457" s="516" t="str">
        <f t="shared" si="28"/>
        <v/>
      </c>
      <c r="O457" s="518" t="str">
        <f t="shared" si="29"/>
        <v/>
      </c>
      <c r="P457" s="519" t="str">
        <f t="shared" si="30"/>
        <v/>
      </c>
    </row>
    <row r="458" spans="2:16" ht="18.5" x14ac:dyDescent="0.45">
      <c r="B458" s="244" t="str">
        <f>IF('HCC Data Entry'!B458="","",'HCC Data Entry'!B458)</f>
        <v/>
      </c>
      <c r="C458" s="502" t="str">
        <f>IF('HCC Data Entry'!C458="","",'HCC Data Entry'!C458)</f>
        <v/>
      </c>
      <c r="D458" s="502"/>
      <c r="E458" s="502"/>
      <c r="F458" s="502" t="str">
        <f>IF('HCC Data Entry'!E458="","",'HCC Data Entry'!E458)</f>
        <v/>
      </c>
      <c r="G458" s="502"/>
      <c r="H458" s="502"/>
      <c r="I458" s="244"/>
      <c r="J458" s="516"/>
      <c r="K458" s="516"/>
      <c r="L458" s="517" t="str">
        <f>IF('HCC Data Entry'!F458="","",'HCC Data Entry'!F458)</f>
        <v/>
      </c>
      <c r="M458" s="516" t="str">
        <f>IFERROR(INDEX('HCC Data Entry'!$J$4:$J$22, MATCH('HCC Detail w Diag'!$B458,'HCC Data Entry'!$I$4:$I$22,0)),"")</f>
        <v/>
      </c>
      <c r="N458" s="516" t="str">
        <f t="shared" si="28"/>
        <v/>
      </c>
      <c r="O458" s="518" t="str">
        <f t="shared" si="29"/>
        <v/>
      </c>
      <c r="P458" s="519" t="str">
        <f t="shared" si="30"/>
        <v/>
      </c>
    </row>
    <row r="459" spans="2:16" ht="18.5" x14ac:dyDescent="0.45">
      <c r="B459" s="244" t="str">
        <f>IF('HCC Data Entry'!B459="","",'HCC Data Entry'!B459)</f>
        <v/>
      </c>
      <c r="C459" s="502" t="str">
        <f>IF('HCC Data Entry'!C459="","",'HCC Data Entry'!C459)</f>
        <v/>
      </c>
      <c r="D459" s="502"/>
      <c r="E459" s="502"/>
      <c r="F459" s="502" t="str">
        <f>IF('HCC Data Entry'!E459="","",'HCC Data Entry'!E459)</f>
        <v/>
      </c>
      <c r="G459" s="502"/>
      <c r="H459" s="502"/>
      <c r="I459" s="244"/>
      <c r="J459" s="516"/>
      <c r="K459" s="516"/>
      <c r="L459" s="517" t="str">
        <f>IF('HCC Data Entry'!F459="","",'HCC Data Entry'!F459)</f>
        <v/>
      </c>
      <c r="M459" s="516" t="str">
        <f>IFERROR(INDEX('HCC Data Entry'!$J$4:$J$22, MATCH('HCC Detail w Diag'!$B459,'HCC Data Entry'!$I$4:$I$22,0)),"")</f>
        <v/>
      </c>
      <c r="N459" s="516" t="str">
        <f t="shared" si="28"/>
        <v/>
      </c>
      <c r="O459" s="518" t="str">
        <f t="shared" si="29"/>
        <v/>
      </c>
      <c r="P459" s="519" t="str">
        <f t="shared" si="30"/>
        <v/>
      </c>
    </row>
    <row r="460" spans="2:16" ht="18.5" x14ac:dyDescent="0.45">
      <c r="B460" s="244" t="str">
        <f>IF('HCC Data Entry'!B460="","",'HCC Data Entry'!B460)</f>
        <v/>
      </c>
      <c r="C460" s="502" t="str">
        <f>IF('HCC Data Entry'!C460="","",'HCC Data Entry'!C460)</f>
        <v/>
      </c>
      <c r="D460" s="502"/>
      <c r="E460" s="502"/>
      <c r="F460" s="502" t="str">
        <f>IF('HCC Data Entry'!E460="","",'HCC Data Entry'!E460)</f>
        <v/>
      </c>
      <c r="G460" s="502"/>
      <c r="H460" s="502"/>
      <c r="I460" s="244"/>
      <c r="J460" s="516"/>
      <c r="K460" s="516"/>
      <c r="L460" s="517" t="str">
        <f>IF('HCC Data Entry'!F460="","",'HCC Data Entry'!F460)</f>
        <v/>
      </c>
      <c r="M460" s="516" t="str">
        <f>IFERROR(INDEX('HCC Data Entry'!$J$4:$J$22, MATCH('HCC Detail w Diag'!$B460,'HCC Data Entry'!$I$4:$I$22,0)),"")</f>
        <v/>
      </c>
      <c r="N460" s="516" t="str">
        <f t="shared" si="28"/>
        <v/>
      </c>
      <c r="O460" s="518" t="str">
        <f t="shared" si="29"/>
        <v/>
      </c>
      <c r="P460" s="519" t="str">
        <f t="shared" si="30"/>
        <v/>
      </c>
    </row>
    <row r="461" spans="2:16" ht="18.5" x14ac:dyDescent="0.45">
      <c r="B461" s="244" t="str">
        <f>IF('HCC Data Entry'!B461="","",'HCC Data Entry'!B461)</f>
        <v/>
      </c>
      <c r="C461" s="502" t="str">
        <f>IF('HCC Data Entry'!C461="","",'HCC Data Entry'!C461)</f>
        <v/>
      </c>
      <c r="D461" s="502"/>
      <c r="E461" s="502"/>
      <c r="F461" s="502" t="str">
        <f>IF('HCC Data Entry'!E461="","",'HCC Data Entry'!E461)</f>
        <v/>
      </c>
      <c r="G461" s="502"/>
      <c r="H461" s="502"/>
      <c r="I461" s="244"/>
      <c r="J461" s="516"/>
      <c r="K461" s="516"/>
      <c r="L461" s="517" t="str">
        <f>IF('HCC Data Entry'!F461="","",'HCC Data Entry'!F461)</f>
        <v/>
      </c>
      <c r="M461" s="516" t="str">
        <f>IFERROR(INDEX('HCC Data Entry'!$J$4:$J$22, MATCH('HCC Detail w Diag'!$B461,'HCC Data Entry'!$I$4:$I$22,0)),"")</f>
        <v/>
      </c>
      <c r="N461" s="516" t="str">
        <f t="shared" si="28"/>
        <v/>
      </c>
      <c r="O461" s="518" t="str">
        <f t="shared" si="29"/>
        <v/>
      </c>
      <c r="P461" s="519" t="str">
        <f t="shared" si="30"/>
        <v/>
      </c>
    </row>
    <row r="462" spans="2:16" ht="18.5" x14ac:dyDescent="0.45">
      <c r="B462" s="244" t="str">
        <f>IF('HCC Data Entry'!B462="","",'HCC Data Entry'!B462)</f>
        <v/>
      </c>
      <c r="C462" s="502" t="str">
        <f>IF('HCC Data Entry'!C462="","",'HCC Data Entry'!C462)</f>
        <v/>
      </c>
      <c r="D462" s="502"/>
      <c r="E462" s="502"/>
      <c r="F462" s="502" t="str">
        <f>IF('HCC Data Entry'!E462="","",'HCC Data Entry'!E462)</f>
        <v/>
      </c>
      <c r="G462" s="502"/>
      <c r="H462" s="502"/>
      <c r="I462" s="244"/>
      <c r="J462" s="516"/>
      <c r="K462" s="516"/>
      <c r="L462" s="517" t="str">
        <f>IF('HCC Data Entry'!F462="","",'HCC Data Entry'!F462)</f>
        <v/>
      </c>
      <c r="M462" s="516" t="str">
        <f>IFERROR(INDEX('HCC Data Entry'!$J$4:$J$22, MATCH('HCC Detail w Diag'!$B462,'HCC Data Entry'!$I$4:$I$22,0)),"")</f>
        <v/>
      </c>
      <c r="N462" s="516" t="str">
        <f t="shared" si="28"/>
        <v/>
      </c>
      <c r="O462" s="518" t="str">
        <f t="shared" si="29"/>
        <v/>
      </c>
      <c r="P462" s="519" t="str">
        <f t="shared" si="30"/>
        <v/>
      </c>
    </row>
    <row r="463" spans="2:16" ht="18.5" x14ac:dyDescent="0.45">
      <c r="B463" s="244" t="str">
        <f>IF('HCC Data Entry'!B463="","",'HCC Data Entry'!B463)</f>
        <v/>
      </c>
      <c r="C463" s="502" t="str">
        <f>IF('HCC Data Entry'!C463="","",'HCC Data Entry'!C463)</f>
        <v/>
      </c>
      <c r="D463" s="502"/>
      <c r="E463" s="502"/>
      <c r="F463" s="502" t="str">
        <f>IF('HCC Data Entry'!E463="","",'HCC Data Entry'!E463)</f>
        <v/>
      </c>
      <c r="G463" s="502"/>
      <c r="H463" s="502"/>
      <c r="I463" s="244"/>
      <c r="J463" s="516"/>
      <c r="K463" s="516"/>
      <c r="L463" s="517" t="str">
        <f>IF('HCC Data Entry'!F463="","",'HCC Data Entry'!F463)</f>
        <v/>
      </c>
      <c r="M463" s="516" t="str">
        <f>IFERROR(INDEX('HCC Data Entry'!$J$4:$J$22, MATCH('HCC Detail w Diag'!$B463,'HCC Data Entry'!$I$4:$I$22,0)),"")</f>
        <v/>
      </c>
      <c r="N463" s="516" t="str">
        <f t="shared" si="28"/>
        <v/>
      </c>
      <c r="O463" s="518" t="str">
        <f t="shared" si="29"/>
        <v/>
      </c>
      <c r="P463" s="519" t="str">
        <f t="shared" si="30"/>
        <v/>
      </c>
    </row>
    <row r="464" spans="2:16" ht="18.5" x14ac:dyDescent="0.45">
      <c r="B464" s="244" t="str">
        <f>IF('HCC Data Entry'!B464="","",'HCC Data Entry'!B464)</f>
        <v/>
      </c>
      <c r="C464" s="502" t="str">
        <f>IF('HCC Data Entry'!C464="","",'HCC Data Entry'!C464)</f>
        <v/>
      </c>
      <c r="D464" s="502"/>
      <c r="E464" s="502"/>
      <c r="F464" s="502" t="str">
        <f>IF('HCC Data Entry'!E464="","",'HCC Data Entry'!E464)</f>
        <v/>
      </c>
      <c r="G464" s="502"/>
      <c r="H464" s="502"/>
      <c r="I464" s="244"/>
      <c r="J464" s="516"/>
      <c r="K464" s="516"/>
      <c r="L464" s="517" t="str">
        <f>IF('HCC Data Entry'!F464="","",'HCC Data Entry'!F464)</f>
        <v/>
      </c>
      <c r="M464" s="516" t="str">
        <f>IFERROR(INDEX('HCC Data Entry'!$J$4:$J$22, MATCH('HCC Detail w Diag'!$B464,'HCC Data Entry'!$I$4:$I$22,0)),"")</f>
        <v/>
      </c>
      <c r="N464" s="516" t="str">
        <f t="shared" si="28"/>
        <v/>
      </c>
      <c r="O464" s="518" t="str">
        <f t="shared" si="29"/>
        <v/>
      </c>
      <c r="P464" s="519" t="str">
        <f t="shared" si="30"/>
        <v/>
      </c>
    </row>
    <row r="465" spans="2:16" ht="18.5" x14ac:dyDescent="0.45">
      <c r="B465" s="244" t="str">
        <f>IF('HCC Data Entry'!B465="","",'HCC Data Entry'!B465)</f>
        <v/>
      </c>
      <c r="C465" s="502" t="str">
        <f>IF('HCC Data Entry'!C465="","",'HCC Data Entry'!C465)</f>
        <v/>
      </c>
      <c r="D465" s="502"/>
      <c r="E465" s="502"/>
      <c r="F465" s="502" t="str">
        <f>IF('HCC Data Entry'!E465="","",'HCC Data Entry'!E465)</f>
        <v/>
      </c>
      <c r="G465" s="502"/>
      <c r="H465" s="502"/>
      <c r="I465" s="244"/>
      <c r="J465" s="516"/>
      <c r="K465" s="516"/>
      <c r="L465" s="517" t="str">
        <f>IF('HCC Data Entry'!F465="","",'HCC Data Entry'!F465)</f>
        <v/>
      </c>
      <c r="M465" s="516" t="str">
        <f>IFERROR(INDEX('HCC Data Entry'!$J$4:$J$22, MATCH('HCC Detail w Diag'!$B465,'HCC Data Entry'!$I$4:$I$22,0)),"")</f>
        <v/>
      </c>
      <c r="N465" s="516" t="str">
        <f t="shared" si="28"/>
        <v/>
      </c>
      <c r="O465" s="518" t="str">
        <f t="shared" si="29"/>
        <v/>
      </c>
      <c r="P465" s="519" t="str">
        <f t="shared" si="30"/>
        <v/>
      </c>
    </row>
    <row r="466" spans="2:16" ht="18.5" x14ac:dyDescent="0.45">
      <c r="B466" s="244" t="str">
        <f>IF('HCC Data Entry'!B466="","",'HCC Data Entry'!B466)</f>
        <v/>
      </c>
      <c r="C466" s="502" t="str">
        <f>IF('HCC Data Entry'!C466="","",'HCC Data Entry'!C466)</f>
        <v/>
      </c>
      <c r="D466" s="502"/>
      <c r="E466" s="502"/>
      <c r="F466" s="502" t="str">
        <f>IF('HCC Data Entry'!E466="","",'HCC Data Entry'!E466)</f>
        <v/>
      </c>
      <c r="G466" s="502"/>
      <c r="H466" s="502"/>
      <c r="I466" s="244"/>
      <c r="J466" s="516"/>
      <c r="K466" s="516"/>
      <c r="L466" s="517" t="str">
        <f>IF('HCC Data Entry'!F466="","",'HCC Data Entry'!F466)</f>
        <v/>
      </c>
      <c r="M466" s="516" t="str">
        <f>IFERROR(INDEX('HCC Data Entry'!$J$4:$J$22, MATCH('HCC Detail w Diag'!$B466,'HCC Data Entry'!$I$4:$I$22,0)),"")</f>
        <v/>
      </c>
      <c r="N466" s="516" t="str">
        <f t="shared" si="28"/>
        <v/>
      </c>
      <c r="O466" s="518" t="str">
        <f t="shared" si="29"/>
        <v/>
      </c>
      <c r="P466" s="519" t="str">
        <f t="shared" si="30"/>
        <v/>
      </c>
    </row>
    <row r="467" spans="2:16" ht="18.5" x14ac:dyDescent="0.45">
      <c r="B467" s="244" t="str">
        <f>IF('HCC Data Entry'!B467="","",'HCC Data Entry'!B467)</f>
        <v/>
      </c>
      <c r="C467" s="502" t="str">
        <f>IF('HCC Data Entry'!C467="","",'HCC Data Entry'!C467)</f>
        <v/>
      </c>
      <c r="D467" s="502"/>
      <c r="E467" s="502"/>
      <c r="F467" s="502" t="str">
        <f>IF('HCC Data Entry'!E467="","",'HCC Data Entry'!E467)</f>
        <v/>
      </c>
      <c r="G467" s="502"/>
      <c r="H467" s="502"/>
      <c r="I467" s="244"/>
      <c r="J467" s="516"/>
      <c r="K467" s="516"/>
      <c r="L467" s="517" t="str">
        <f>IF('HCC Data Entry'!F467="","",'HCC Data Entry'!F467)</f>
        <v/>
      </c>
      <c r="M467" s="516" t="str">
        <f>IFERROR(INDEX('HCC Data Entry'!$J$4:$J$22, MATCH('HCC Detail w Diag'!$B467,'HCC Data Entry'!$I$4:$I$22,0)),"")</f>
        <v/>
      </c>
      <c r="N467" s="516" t="str">
        <f t="shared" si="28"/>
        <v/>
      </c>
      <c r="O467" s="518" t="str">
        <f t="shared" si="29"/>
        <v/>
      </c>
      <c r="P467" s="519" t="str">
        <f t="shared" si="30"/>
        <v/>
      </c>
    </row>
    <row r="468" spans="2:16" ht="18.5" x14ac:dyDescent="0.45">
      <c r="B468" s="244" t="str">
        <f>IF('HCC Data Entry'!B468="","",'HCC Data Entry'!B468)</f>
        <v/>
      </c>
      <c r="C468" s="502" t="str">
        <f>IF('HCC Data Entry'!C468="","",'HCC Data Entry'!C468)</f>
        <v/>
      </c>
      <c r="D468" s="502"/>
      <c r="E468" s="502"/>
      <c r="F468" s="502" t="str">
        <f>IF('HCC Data Entry'!E468="","",'HCC Data Entry'!E468)</f>
        <v/>
      </c>
      <c r="G468" s="502"/>
      <c r="H468" s="502"/>
      <c r="I468" s="244"/>
      <c r="J468" s="516"/>
      <c r="K468" s="516"/>
      <c r="L468" s="517" t="str">
        <f>IF('HCC Data Entry'!F468="","",'HCC Data Entry'!F468)</f>
        <v/>
      </c>
      <c r="M468" s="516" t="str">
        <f>IFERROR(INDEX('HCC Data Entry'!$J$4:$J$22, MATCH('HCC Detail w Diag'!$B468,'HCC Data Entry'!$I$4:$I$22,0)),"")</f>
        <v/>
      </c>
      <c r="N468" s="516" t="str">
        <f t="shared" si="28"/>
        <v/>
      </c>
      <c r="O468" s="518" t="str">
        <f t="shared" si="29"/>
        <v/>
      </c>
      <c r="P468" s="519" t="str">
        <f t="shared" si="30"/>
        <v/>
      </c>
    </row>
    <row r="469" spans="2:16" ht="18.5" x14ac:dyDescent="0.45">
      <c r="B469" s="244" t="str">
        <f>IF('HCC Data Entry'!B469="","",'HCC Data Entry'!B469)</f>
        <v/>
      </c>
      <c r="C469" s="502" t="str">
        <f>IF('HCC Data Entry'!C469="","",'HCC Data Entry'!C469)</f>
        <v/>
      </c>
      <c r="D469" s="502"/>
      <c r="E469" s="502"/>
      <c r="F469" s="502" t="str">
        <f>IF('HCC Data Entry'!E469="","",'HCC Data Entry'!E469)</f>
        <v/>
      </c>
      <c r="G469" s="502"/>
      <c r="H469" s="502"/>
      <c r="I469" s="244"/>
      <c r="J469" s="516"/>
      <c r="K469" s="516"/>
      <c r="L469" s="517" t="str">
        <f>IF('HCC Data Entry'!F469="","",'HCC Data Entry'!F469)</f>
        <v/>
      </c>
      <c r="M469" s="516" t="str">
        <f>IFERROR(INDEX('HCC Data Entry'!$J$4:$J$22, MATCH('HCC Detail w Diag'!$B469,'HCC Data Entry'!$I$4:$I$22,0)),"")</f>
        <v/>
      </c>
      <c r="N469" s="516" t="str">
        <f t="shared" si="28"/>
        <v/>
      </c>
      <c r="O469" s="518" t="str">
        <f t="shared" si="29"/>
        <v/>
      </c>
      <c r="P469" s="519" t="str">
        <f t="shared" si="30"/>
        <v/>
      </c>
    </row>
    <row r="470" spans="2:16" ht="18.5" x14ac:dyDescent="0.45">
      <c r="B470" s="244" t="str">
        <f>IF('HCC Data Entry'!B470="","",'HCC Data Entry'!B470)</f>
        <v/>
      </c>
      <c r="C470" s="502" t="str">
        <f>IF('HCC Data Entry'!C470="","",'HCC Data Entry'!C470)</f>
        <v/>
      </c>
      <c r="D470" s="502"/>
      <c r="E470" s="502"/>
      <c r="F470" s="502" t="str">
        <f>IF('HCC Data Entry'!E470="","",'HCC Data Entry'!E470)</f>
        <v/>
      </c>
      <c r="G470" s="502"/>
      <c r="H470" s="502"/>
      <c r="I470" s="244"/>
      <c r="J470" s="516"/>
      <c r="K470" s="516"/>
      <c r="L470" s="517" t="str">
        <f>IF('HCC Data Entry'!F470="","",'HCC Data Entry'!F470)</f>
        <v/>
      </c>
      <c r="M470" s="516" t="str">
        <f>IFERROR(INDEX('HCC Data Entry'!$J$4:$J$22, MATCH('HCC Detail w Diag'!$B470,'HCC Data Entry'!$I$4:$I$22,0)),"")</f>
        <v/>
      </c>
      <c r="N470" s="516" t="str">
        <f t="shared" si="28"/>
        <v/>
      </c>
      <c r="O470" s="518" t="str">
        <f t="shared" si="29"/>
        <v/>
      </c>
      <c r="P470" s="519" t="str">
        <f t="shared" si="30"/>
        <v/>
      </c>
    </row>
    <row r="471" spans="2:16" ht="18.5" x14ac:dyDescent="0.45">
      <c r="B471" s="244" t="str">
        <f>IF('HCC Data Entry'!B471="","",'HCC Data Entry'!B471)</f>
        <v/>
      </c>
      <c r="C471" s="502" t="str">
        <f>IF('HCC Data Entry'!C471="","",'HCC Data Entry'!C471)</f>
        <v/>
      </c>
      <c r="D471" s="502"/>
      <c r="E471" s="502"/>
      <c r="F471" s="502" t="str">
        <f>IF('HCC Data Entry'!E471="","",'HCC Data Entry'!E471)</f>
        <v/>
      </c>
      <c r="G471" s="502"/>
      <c r="H471" s="502"/>
      <c r="I471" s="244"/>
      <c r="J471" s="516"/>
      <c r="K471" s="516"/>
      <c r="L471" s="517" t="str">
        <f>IF('HCC Data Entry'!F471="","",'HCC Data Entry'!F471)</f>
        <v/>
      </c>
      <c r="M471" s="516" t="str">
        <f>IFERROR(INDEX('HCC Data Entry'!$J$4:$J$22, MATCH('HCC Detail w Diag'!$B471,'HCC Data Entry'!$I$4:$I$22,0)),"")</f>
        <v/>
      </c>
      <c r="N471" s="516" t="str">
        <f t="shared" si="28"/>
        <v/>
      </c>
      <c r="O471" s="518" t="str">
        <f t="shared" si="29"/>
        <v/>
      </c>
      <c r="P471" s="519" t="str">
        <f t="shared" si="30"/>
        <v/>
      </c>
    </row>
    <row r="472" spans="2:16" ht="18.5" x14ac:dyDescent="0.45">
      <c r="B472" s="244" t="str">
        <f>IF('HCC Data Entry'!B472="","",'HCC Data Entry'!B472)</f>
        <v/>
      </c>
      <c r="C472" s="502" t="str">
        <f>IF('HCC Data Entry'!C472="","",'HCC Data Entry'!C472)</f>
        <v/>
      </c>
      <c r="D472" s="502"/>
      <c r="E472" s="502"/>
      <c r="F472" s="502" t="str">
        <f>IF('HCC Data Entry'!E472="","",'HCC Data Entry'!E472)</f>
        <v/>
      </c>
      <c r="G472" s="502"/>
      <c r="H472" s="502"/>
      <c r="I472" s="244"/>
      <c r="J472" s="516"/>
      <c r="K472" s="516"/>
      <c r="L472" s="517" t="str">
        <f>IF('HCC Data Entry'!F472="","",'HCC Data Entry'!F472)</f>
        <v/>
      </c>
      <c r="M472" s="516" t="str">
        <f>IFERROR(INDEX('HCC Data Entry'!$J$4:$J$22, MATCH('HCC Detail w Diag'!$B472,'HCC Data Entry'!$I$4:$I$22,0)),"")</f>
        <v/>
      </c>
      <c r="N472" s="516" t="str">
        <f t="shared" si="28"/>
        <v/>
      </c>
      <c r="O472" s="518" t="str">
        <f t="shared" si="29"/>
        <v/>
      </c>
      <c r="P472" s="519" t="str">
        <f t="shared" si="30"/>
        <v/>
      </c>
    </row>
    <row r="473" spans="2:16" ht="18.5" x14ac:dyDescent="0.45">
      <c r="B473" s="244" t="str">
        <f>IF('HCC Data Entry'!B473="","",'HCC Data Entry'!B473)</f>
        <v/>
      </c>
      <c r="C473" s="502" t="str">
        <f>IF('HCC Data Entry'!C473="","",'HCC Data Entry'!C473)</f>
        <v/>
      </c>
      <c r="D473" s="502"/>
      <c r="E473" s="502"/>
      <c r="F473" s="502" t="str">
        <f>IF('HCC Data Entry'!E473="","",'HCC Data Entry'!E473)</f>
        <v/>
      </c>
      <c r="G473" s="502"/>
      <c r="H473" s="502"/>
      <c r="I473" s="244"/>
      <c r="J473" s="516"/>
      <c r="K473" s="516"/>
      <c r="L473" s="517" t="str">
        <f>IF('HCC Data Entry'!F473="","",'HCC Data Entry'!F473)</f>
        <v/>
      </c>
      <c r="M473" s="516" t="str">
        <f>IFERROR(INDEX('HCC Data Entry'!$J$4:$J$22, MATCH('HCC Detail w Diag'!$B473,'HCC Data Entry'!$I$4:$I$22,0)),"")</f>
        <v/>
      </c>
      <c r="N473" s="516" t="str">
        <f t="shared" si="28"/>
        <v/>
      </c>
      <c r="O473" s="518" t="str">
        <f t="shared" si="29"/>
        <v/>
      </c>
      <c r="P473" s="519" t="str">
        <f t="shared" si="30"/>
        <v/>
      </c>
    </row>
    <row r="474" spans="2:16" ht="18.5" x14ac:dyDescent="0.45">
      <c r="B474" s="244" t="str">
        <f>IF('HCC Data Entry'!B474="","",'HCC Data Entry'!B474)</f>
        <v/>
      </c>
      <c r="C474" s="502" t="str">
        <f>IF('HCC Data Entry'!C474="","",'HCC Data Entry'!C474)</f>
        <v/>
      </c>
      <c r="D474" s="502"/>
      <c r="E474" s="502"/>
      <c r="F474" s="502" t="str">
        <f>IF('HCC Data Entry'!E474="","",'HCC Data Entry'!E474)</f>
        <v/>
      </c>
      <c r="G474" s="502"/>
      <c r="H474" s="502"/>
      <c r="I474" s="244"/>
      <c r="J474" s="516"/>
      <c r="K474" s="516"/>
      <c r="L474" s="517" t="str">
        <f>IF('HCC Data Entry'!F474="","",'HCC Data Entry'!F474)</f>
        <v/>
      </c>
      <c r="M474" s="516" t="str">
        <f>IFERROR(INDEX('HCC Data Entry'!$J$4:$J$22, MATCH('HCC Detail w Diag'!$B474,'HCC Data Entry'!$I$4:$I$22,0)),"")</f>
        <v/>
      </c>
      <c r="N474" s="516" t="str">
        <f t="shared" si="28"/>
        <v/>
      </c>
      <c r="O474" s="518" t="str">
        <f t="shared" si="29"/>
        <v/>
      </c>
      <c r="P474" s="519" t="str">
        <f t="shared" si="30"/>
        <v/>
      </c>
    </row>
    <row r="475" spans="2:16" ht="18.5" x14ac:dyDescent="0.45">
      <c r="B475" s="244" t="str">
        <f>IF('HCC Data Entry'!B475="","",'HCC Data Entry'!B475)</f>
        <v/>
      </c>
      <c r="C475" s="502" t="str">
        <f>IF('HCC Data Entry'!C475="","",'HCC Data Entry'!C475)</f>
        <v/>
      </c>
      <c r="D475" s="502"/>
      <c r="E475" s="502"/>
      <c r="F475" s="502" t="str">
        <f>IF('HCC Data Entry'!E475="","",'HCC Data Entry'!E475)</f>
        <v/>
      </c>
      <c r="G475" s="502"/>
      <c r="H475" s="502"/>
      <c r="I475" s="244"/>
      <c r="J475" s="516"/>
      <c r="K475" s="516"/>
      <c r="L475" s="517" t="str">
        <f>IF('HCC Data Entry'!F475="","",'HCC Data Entry'!F475)</f>
        <v/>
      </c>
      <c r="M475" s="516" t="str">
        <f>IFERROR(INDEX('HCC Data Entry'!$J$4:$J$22, MATCH('HCC Detail w Diag'!$B475,'HCC Data Entry'!$I$4:$I$22,0)),"")</f>
        <v/>
      </c>
      <c r="N475" s="516" t="str">
        <f t="shared" si="28"/>
        <v/>
      </c>
      <c r="O475" s="518" t="str">
        <f t="shared" si="29"/>
        <v/>
      </c>
      <c r="P475" s="519" t="str">
        <f t="shared" si="30"/>
        <v/>
      </c>
    </row>
    <row r="476" spans="2:16" ht="18.5" x14ac:dyDescent="0.45">
      <c r="B476" s="244" t="str">
        <f>IF('HCC Data Entry'!B476="","",'HCC Data Entry'!B476)</f>
        <v/>
      </c>
      <c r="C476" s="502" t="str">
        <f>IF('HCC Data Entry'!C476="","",'HCC Data Entry'!C476)</f>
        <v/>
      </c>
      <c r="D476" s="502"/>
      <c r="E476" s="502"/>
      <c r="F476" s="502" t="str">
        <f>IF('HCC Data Entry'!E476="","",'HCC Data Entry'!E476)</f>
        <v/>
      </c>
      <c r="G476" s="502"/>
      <c r="H476" s="502"/>
      <c r="I476" s="244"/>
      <c r="J476" s="516"/>
      <c r="K476" s="516"/>
      <c r="L476" s="517" t="str">
        <f>IF('HCC Data Entry'!F476="","",'HCC Data Entry'!F476)</f>
        <v/>
      </c>
      <c r="M476" s="516" t="str">
        <f>IFERROR(INDEX('HCC Data Entry'!$J$4:$J$22, MATCH('HCC Detail w Diag'!$B476,'HCC Data Entry'!$I$4:$I$22,0)),"")</f>
        <v/>
      </c>
      <c r="N476" s="516" t="str">
        <f t="shared" si="28"/>
        <v/>
      </c>
      <c r="O476" s="518" t="str">
        <f t="shared" si="29"/>
        <v/>
      </c>
      <c r="P476" s="519" t="str">
        <f t="shared" si="30"/>
        <v/>
      </c>
    </row>
    <row r="477" spans="2:16" ht="18.5" x14ac:dyDescent="0.45">
      <c r="B477" s="244" t="str">
        <f>IF('HCC Data Entry'!B477="","",'HCC Data Entry'!B477)</f>
        <v/>
      </c>
      <c r="C477" s="502" t="str">
        <f>IF('HCC Data Entry'!C477="","",'HCC Data Entry'!C477)</f>
        <v/>
      </c>
      <c r="D477" s="502"/>
      <c r="E477" s="502"/>
      <c r="F477" s="502" t="str">
        <f>IF('HCC Data Entry'!E477="","",'HCC Data Entry'!E477)</f>
        <v/>
      </c>
      <c r="G477" s="502"/>
      <c r="H477" s="502"/>
      <c r="I477" s="244"/>
      <c r="J477" s="516"/>
      <c r="K477" s="516"/>
      <c r="L477" s="517" t="str">
        <f>IF('HCC Data Entry'!F477="","",'HCC Data Entry'!F477)</f>
        <v/>
      </c>
      <c r="M477" s="516" t="str">
        <f>IFERROR(INDEX('HCC Data Entry'!$J$4:$J$22, MATCH('HCC Detail w Diag'!$B477,'HCC Data Entry'!$I$4:$I$22,0)),"")</f>
        <v/>
      </c>
      <c r="N477" s="516" t="str">
        <f t="shared" si="28"/>
        <v/>
      </c>
      <c r="O477" s="518" t="str">
        <f t="shared" si="29"/>
        <v/>
      </c>
      <c r="P477" s="519" t="str">
        <f t="shared" si="30"/>
        <v/>
      </c>
    </row>
    <row r="478" spans="2:16" ht="18.5" x14ac:dyDescent="0.45">
      <c r="B478" s="244" t="str">
        <f>IF('HCC Data Entry'!B478="","",'HCC Data Entry'!B478)</f>
        <v/>
      </c>
      <c r="C478" s="502" t="str">
        <f>IF('HCC Data Entry'!C478="","",'HCC Data Entry'!C478)</f>
        <v/>
      </c>
      <c r="D478" s="502"/>
      <c r="E478" s="502"/>
      <c r="F478" s="502" t="str">
        <f>IF('HCC Data Entry'!E478="","",'HCC Data Entry'!E478)</f>
        <v/>
      </c>
      <c r="G478" s="502"/>
      <c r="H478" s="502"/>
      <c r="I478" s="244"/>
      <c r="J478" s="516"/>
      <c r="K478" s="516"/>
      <c r="L478" s="517" t="str">
        <f>IF('HCC Data Entry'!F478="","",'HCC Data Entry'!F478)</f>
        <v/>
      </c>
      <c r="M478" s="516" t="str">
        <f>IFERROR(INDEX('HCC Data Entry'!$J$4:$J$22, MATCH('HCC Detail w Diag'!$B478,'HCC Data Entry'!$I$4:$I$22,0)),"")</f>
        <v/>
      </c>
      <c r="N478" s="516" t="str">
        <f t="shared" si="28"/>
        <v/>
      </c>
      <c r="O478" s="518" t="str">
        <f t="shared" si="29"/>
        <v/>
      </c>
      <c r="P478" s="519" t="str">
        <f t="shared" si="30"/>
        <v/>
      </c>
    </row>
    <row r="479" spans="2:16" ht="18.5" x14ac:dyDescent="0.45">
      <c r="B479" s="244" t="str">
        <f>IF('HCC Data Entry'!B479="","",'HCC Data Entry'!B479)</f>
        <v/>
      </c>
      <c r="C479" s="502" t="str">
        <f>IF('HCC Data Entry'!C479="","",'HCC Data Entry'!C479)</f>
        <v/>
      </c>
      <c r="D479" s="502"/>
      <c r="E479" s="502"/>
      <c r="F479" s="502" t="str">
        <f>IF('HCC Data Entry'!E479="","",'HCC Data Entry'!E479)</f>
        <v/>
      </c>
      <c r="G479" s="502"/>
      <c r="H479" s="502"/>
      <c r="I479" s="244"/>
      <c r="J479" s="516"/>
      <c r="K479" s="516"/>
      <c r="L479" s="517" t="str">
        <f>IF('HCC Data Entry'!F479="","",'HCC Data Entry'!F479)</f>
        <v/>
      </c>
      <c r="M479" s="516" t="str">
        <f>IFERROR(INDEX('HCC Data Entry'!$J$4:$J$22, MATCH('HCC Detail w Diag'!$B479,'HCC Data Entry'!$I$4:$I$22,0)),"")</f>
        <v/>
      </c>
      <c r="N479" s="516" t="str">
        <f t="shared" si="28"/>
        <v/>
      </c>
      <c r="O479" s="518" t="str">
        <f t="shared" si="29"/>
        <v/>
      </c>
      <c r="P479" s="519" t="str">
        <f t="shared" si="30"/>
        <v/>
      </c>
    </row>
    <row r="480" spans="2:16" ht="18.5" x14ac:dyDescent="0.45">
      <c r="B480" s="244" t="str">
        <f>IF('HCC Data Entry'!B480="","",'HCC Data Entry'!B480)</f>
        <v/>
      </c>
      <c r="C480" s="502" t="str">
        <f>IF('HCC Data Entry'!C480="","",'HCC Data Entry'!C480)</f>
        <v/>
      </c>
      <c r="D480" s="502"/>
      <c r="E480" s="502"/>
      <c r="F480" s="502" t="str">
        <f>IF('HCC Data Entry'!E480="","",'HCC Data Entry'!E480)</f>
        <v/>
      </c>
      <c r="G480" s="502"/>
      <c r="H480" s="502"/>
      <c r="I480" s="244"/>
      <c r="J480" s="516"/>
      <c r="K480" s="516"/>
      <c r="L480" s="517" t="str">
        <f>IF('HCC Data Entry'!F480="","",'HCC Data Entry'!F480)</f>
        <v/>
      </c>
      <c r="M480" s="516" t="str">
        <f>IFERROR(INDEX('HCC Data Entry'!$J$4:$J$22, MATCH('HCC Detail w Diag'!$B480,'HCC Data Entry'!$I$4:$I$22,0)),"")</f>
        <v/>
      </c>
      <c r="N480" s="516" t="str">
        <f t="shared" si="28"/>
        <v/>
      </c>
      <c r="O480" s="518" t="str">
        <f t="shared" si="29"/>
        <v/>
      </c>
      <c r="P480" s="519" t="str">
        <f t="shared" si="30"/>
        <v/>
      </c>
    </row>
    <row r="481" spans="2:16" ht="18.5" x14ac:dyDescent="0.45">
      <c r="B481" s="244" t="str">
        <f>IF('HCC Data Entry'!B481="","",'HCC Data Entry'!B481)</f>
        <v/>
      </c>
      <c r="C481" s="502" t="str">
        <f>IF('HCC Data Entry'!C481="","",'HCC Data Entry'!C481)</f>
        <v/>
      </c>
      <c r="D481" s="502"/>
      <c r="E481" s="502"/>
      <c r="F481" s="502" t="str">
        <f>IF('HCC Data Entry'!E481="","",'HCC Data Entry'!E481)</f>
        <v/>
      </c>
      <c r="G481" s="502"/>
      <c r="H481" s="502"/>
      <c r="I481" s="244"/>
      <c r="J481" s="516"/>
      <c r="K481" s="516"/>
      <c r="L481" s="517" t="str">
        <f>IF('HCC Data Entry'!F481="","",'HCC Data Entry'!F481)</f>
        <v/>
      </c>
      <c r="M481" s="516" t="str">
        <f>IFERROR(INDEX('HCC Data Entry'!$J$4:$J$22, MATCH('HCC Detail w Diag'!$B481,'HCC Data Entry'!$I$4:$I$22,0)),"")</f>
        <v/>
      </c>
      <c r="N481" s="516" t="str">
        <f t="shared" si="28"/>
        <v/>
      </c>
      <c r="O481" s="518" t="str">
        <f t="shared" si="29"/>
        <v/>
      </c>
      <c r="P481" s="519" t="str">
        <f t="shared" si="30"/>
        <v/>
      </c>
    </row>
    <row r="482" spans="2:16" ht="18.5" x14ac:dyDescent="0.45">
      <c r="B482" s="244" t="str">
        <f>IF('HCC Data Entry'!B482="","",'HCC Data Entry'!B482)</f>
        <v/>
      </c>
      <c r="C482" s="502" t="str">
        <f>IF('HCC Data Entry'!C482="","",'HCC Data Entry'!C482)</f>
        <v/>
      </c>
      <c r="D482" s="502"/>
      <c r="E482" s="502"/>
      <c r="F482" s="502" t="str">
        <f>IF('HCC Data Entry'!E482="","",'HCC Data Entry'!E482)</f>
        <v/>
      </c>
      <c r="G482" s="502"/>
      <c r="H482" s="502"/>
      <c r="I482" s="244"/>
      <c r="J482" s="516"/>
      <c r="K482" s="516"/>
      <c r="L482" s="517" t="str">
        <f>IF('HCC Data Entry'!F482="","",'HCC Data Entry'!F482)</f>
        <v/>
      </c>
      <c r="M482" s="516" t="str">
        <f>IFERROR(INDEX('HCC Data Entry'!$J$4:$J$22, MATCH('HCC Detail w Diag'!$B482,'HCC Data Entry'!$I$4:$I$22,0)),"")</f>
        <v/>
      </c>
      <c r="N482" s="516" t="str">
        <f t="shared" si="28"/>
        <v/>
      </c>
      <c r="O482" s="518" t="str">
        <f t="shared" si="29"/>
        <v/>
      </c>
      <c r="P482" s="519" t="str">
        <f t="shared" si="30"/>
        <v/>
      </c>
    </row>
    <row r="483" spans="2:16" ht="18.5" x14ac:dyDescent="0.45">
      <c r="B483" s="244" t="str">
        <f>IF('HCC Data Entry'!B483="","",'HCC Data Entry'!B483)</f>
        <v/>
      </c>
      <c r="C483" s="502" t="str">
        <f>IF('HCC Data Entry'!C483="","",'HCC Data Entry'!C483)</f>
        <v/>
      </c>
      <c r="D483" s="502"/>
      <c r="E483" s="502"/>
      <c r="F483" s="502" t="str">
        <f>IF('HCC Data Entry'!E483="","",'HCC Data Entry'!E483)</f>
        <v/>
      </c>
      <c r="G483" s="502"/>
      <c r="H483" s="502"/>
      <c r="I483" s="244"/>
      <c r="J483" s="516"/>
      <c r="K483" s="516"/>
      <c r="L483" s="517" t="str">
        <f>IF('HCC Data Entry'!F483="","",'HCC Data Entry'!F483)</f>
        <v/>
      </c>
      <c r="M483" s="516" t="str">
        <f>IFERROR(INDEX('HCC Data Entry'!$J$4:$J$22, MATCH('HCC Detail w Diag'!$B483,'HCC Data Entry'!$I$4:$I$22,0)),"")</f>
        <v/>
      </c>
      <c r="N483" s="516" t="str">
        <f t="shared" si="28"/>
        <v/>
      </c>
      <c r="O483" s="518" t="str">
        <f t="shared" si="29"/>
        <v/>
      </c>
      <c r="P483" s="519" t="str">
        <f t="shared" si="30"/>
        <v/>
      </c>
    </row>
    <row r="484" spans="2:16" ht="18.5" x14ac:dyDescent="0.45">
      <c r="B484" s="244" t="str">
        <f>IF('HCC Data Entry'!B484="","",'HCC Data Entry'!B484)</f>
        <v/>
      </c>
      <c r="C484" s="502" t="str">
        <f>IF('HCC Data Entry'!C484="","",'HCC Data Entry'!C484)</f>
        <v/>
      </c>
      <c r="D484" s="502"/>
      <c r="E484" s="502"/>
      <c r="F484" s="502" t="str">
        <f>IF('HCC Data Entry'!E484="","",'HCC Data Entry'!E484)</f>
        <v/>
      </c>
      <c r="G484" s="502"/>
      <c r="H484" s="502"/>
      <c r="I484" s="244"/>
      <c r="J484" s="516"/>
      <c r="K484" s="516"/>
      <c r="L484" s="517" t="str">
        <f>IF('HCC Data Entry'!F484="","",'HCC Data Entry'!F484)</f>
        <v/>
      </c>
      <c r="M484" s="516" t="str">
        <f>IFERROR(INDEX('HCC Data Entry'!$J$4:$J$22, MATCH('HCC Detail w Diag'!$B484,'HCC Data Entry'!$I$4:$I$22,0)),"")</f>
        <v/>
      </c>
      <c r="N484" s="516" t="str">
        <f t="shared" si="28"/>
        <v/>
      </c>
      <c r="O484" s="518" t="str">
        <f t="shared" si="29"/>
        <v/>
      </c>
      <c r="P484" s="519" t="str">
        <f t="shared" si="30"/>
        <v/>
      </c>
    </row>
    <row r="485" spans="2:16" ht="18.5" x14ac:dyDescent="0.45">
      <c r="B485" s="244" t="str">
        <f>IF('HCC Data Entry'!B485="","",'HCC Data Entry'!B485)</f>
        <v/>
      </c>
      <c r="C485" s="502" t="str">
        <f>IF('HCC Data Entry'!C485="","",'HCC Data Entry'!C485)</f>
        <v/>
      </c>
      <c r="D485" s="502"/>
      <c r="E485" s="502"/>
      <c r="F485" s="502" t="str">
        <f>IF('HCC Data Entry'!E485="","",'HCC Data Entry'!E485)</f>
        <v/>
      </c>
      <c r="G485" s="502"/>
      <c r="H485" s="502"/>
      <c r="I485" s="244"/>
      <c r="J485" s="516"/>
      <c r="K485" s="516"/>
      <c r="L485" s="517" t="str">
        <f>IF('HCC Data Entry'!F485="","",'HCC Data Entry'!F485)</f>
        <v/>
      </c>
      <c r="M485" s="516" t="str">
        <f>IFERROR(INDEX('HCC Data Entry'!$J$4:$J$22, MATCH('HCC Detail w Diag'!$B485,'HCC Data Entry'!$I$4:$I$22,0)),"")</f>
        <v/>
      </c>
      <c r="N485" s="516" t="str">
        <f t="shared" si="28"/>
        <v/>
      </c>
      <c r="O485" s="518" t="str">
        <f t="shared" si="29"/>
        <v/>
      </c>
      <c r="P485" s="519" t="str">
        <f t="shared" si="30"/>
        <v/>
      </c>
    </row>
    <row r="486" spans="2:16" ht="18.5" x14ac:dyDescent="0.45">
      <c r="B486" s="244" t="str">
        <f>IF('HCC Data Entry'!B486="","",'HCC Data Entry'!B486)</f>
        <v/>
      </c>
      <c r="C486" s="502" t="str">
        <f>IF('HCC Data Entry'!C486="","",'HCC Data Entry'!C486)</f>
        <v/>
      </c>
      <c r="D486" s="502"/>
      <c r="E486" s="502"/>
      <c r="F486" s="502" t="str">
        <f>IF('HCC Data Entry'!E486="","",'HCC Data Entry'!E486)</f>
        <v/>
      </c>
      <c r="G486" s="502"/>
      <c r="H486" s="502"/>
      <c r="I486" s="244"/>
      <c r="J486" s="516"/>
      <c r="K486" s="516"/>
      <c r="L486" s="517" t="str">
        <f>IF('HCC Data Entry'!F486="","",'HCC Data Entry'!F486)</f>
        <v/>
      </c>
      <c r="M486" s="516" t="str">
        <f>IFERROR(INDEX('HCC Data Entry'!$J$4:$J$22, MATCH('HCC Detail w Diag'!$B486,'HCC Data Entry'!$I$4:$I$22,0)),"")</f>
        <v/>
      </c>
      <c r="N486" s="516" t="str">
        <f t="shared" si="28"/>
        <v/>
      </c>
      <c r="O486" s="518" t="str">
        <f t="shared" si="29"/>
        <v/>
      </c>
      <c r="P486" s="519" t="str">
        <f t="shared" si="30"/>
        <v/>
      </c>
    </row>
    <row r="487" spans="2:16" ht="18.5" x14ac:dyDescent="0.45">
      <c r="B487" s="244" t="str">
        <f>IF('HCC Data Entry'!B487="","",'HCC Data Entry'!B487)</f>
        <v/>
      </c>
      <c r="C487" s="502" t="str">
        <f>IF('HCC Data Entry'!C487="","",'HCC Data Entry'!C487)</f>
        <v/>
      </c>
      <c r="D487" s="502"/>
      <c r="E487" s="502"/>
      <c r="F487" s="502" t="str">
        <f>IF('HCC Data Entry'!E487="","",'HCC Data Entry'!E487)</f>
        <v/>
      </c>
      <c r="G487" s="502"/>
      <c r="H487" s="502"/>
      <c r="I487" s="244"/>
      <c r="J487" s="516"/>
      <c r="K487" s="516"/>
      <c r="L487" s="517" t="str">
        <f>IF('HCC Data Entry'!F487="","",'HCC Data Entry'!F487)</f>
        <v/>
      </c>
      <c r="M487" s="516" t="str">
        <f>IFERROR(INDEX('HCC Data Entry'!$J$4:$J$22, MATCH('HCC Detail w Diag'!$B487,'HCC Data Entry'!$I$4:$I$22,0)),"")</f>
        <v/>
      </c>
      <c r="N487" s="516" t="str">
        <f t="shared" ref="N487:N495" si="31">IF(B487="","",IF(M487="Unknown", "", IF(L487&gt;M487,L487-M487,0)))</f>
        <v/>
      </c>
      <c r="O487" s="518" t="str">
        <f t="shared" si="29"/>
        <v/>
      </c>
      <c r="P487" s="519" t="str">
        <f t="shared" si="30"/>
        <v/>
      </c>
    </row>
    <row r="488" spans="2:16" ht="18.5" x14ac:dyDescent="0.45">
      <c r="B488" s="244" t="str">
        <f>IF('HCC Data Entry'!B488="","",'HCC Data Entry'!B488)</f>
        <v/>
      </c>
      <c r="C488" s="502" t="str">
        <f>IF('HCC Data Entry'!C488="","",'HCC Data Entry'!C488)</f>
        <v/>
      </c>
      <c r="D488" s="502"/>
      <c r="E488" s="502"/>
      <c r="F488" s="502" t="str">
        <f>IF('HCC Data Entry'!E488="","",'HCC Data Entry'!E488)</f>
        <v/>
      </c>
      <c r="G488" s="502"/>
      <c r="H488" s="502"/>
      <c r="I488" s="244"/>
      <c r="J488" s="516"/>
      <c r="K488" s="516"/>
      <c r="L488" s="517" t="str">
        <f>IF('HCC Data Entry'!F488="","",'HCC Data Entry'!F488)</f>
        <v/>
      </c>
      <c r="M488" s="516" t="str">
        <f>IFERROR(INDEX('HCC Data Entry'!$J$4:$J$22, MATCH('HCC Detail w Diag'!$B488,'HCC Data Entry'!$I$4:$I$22,0)),"")</f>
        <v/>
      </c>
      <c r="N488" s="516" t="str">
        <f t="shared" si="31"/>
        <v/>
      </c>
      <c r="O488" s="518" t="str">
        <f t="shared" si="29"/>
        <v/>
      </c>
      <c r="P488" s="519" t="str">
        <f t="shared" si="30"/>
        <v/>
      </c>
    </row>
    <row r="489" spans="2:16" ht="18.5" x14ac:dyDescent="0.45">
      <c r="B489" s="244" t="str">
        <f>IF('HCC Data Entry'!B489="","",'HCC Data Entry'!B489)</f>
        <v/>
      </c>
      <c r="C489" s="502" t="str">
        <f>IF('HCC Data Entry'!C489="","",'HCC Data Entry'!C489)</f>
        <v/>
      </c>
      <c r="D489" s="502"/>
      <c r="E489" s="502"/>
      <c r="F489" s="502" t="str">
        <f>IF('HCC Data Entry'!E489="","",'HCC Data Entry'!E489)</f>
        <v/>
      </c>
      <c r="G489" s="502"/>
      <c r="H489" s="502"/>
      <c r="I489" s="244"/>
      <c r="J489" s="516"/>
      <c r="K489" s="516"/>
      <c r="L489" s="517" t="str">
        <f>IF('HCC Data Entry'!F489="","",'HCC Data Entry'!F489)</f>
        <v/>
      </c>
      <c r="M489" s="516" t="str">
        <f>IFERROR(INDEX('HCC Data Entry'!$J$4:$J$22, MATCH('HCC Detail w Diag'!$B489,'HCC Data Entry'!$I$4:$I$22,0)),"")</f>
        <v/>
      </c>
      <c r="N489" s="516" t="str">
        <f t="shared" si="31"/>
        <v/>
      </c>
      <c r="O489" s="518" t="str">
        <f t="shared" si="29"/>
        <v/>
      </c>
      <c r="P489" s="519" t="str">
        <f t="shared" si="30"/>
        <v/>
      </c>
    </row>
    <row r="490" spans="2:16" ht="18.5" x14ac:dyDescent="0.45">
      <c r="B490" s="244" t="str">
        <f>IF('HCC Data Entry'!B490="","",'HCC Data Entry'!B490)</f>
        <v/>
      </c>
      <c r="C490" s="502" t="str">
        <f>IF('HCC Data Entry'!C490="","",'HCC Data Entry'!C490)</f>
        <v/>
      </c>
      <c r="D490" s="502"/>
      <c r="E490" s="502"/>
      <c r="F490" s="502" t="str">
        <f>IF('HCC Data Entry'!E490="","",'HCC Data Entry'!E490)</f>
        <v/>
      </c>
      <c r="G490" s="502"/>
      <c r="H490" s="502"/>
      <c r="I490" s="244"/>
      <c r="J490" s="516"/>
      <c r="K490" s="516"/>
      <c r="L490" s="517" t="str">
        <f>IF('HCC Data Entry'!F490="","",'HCC Data Entry'!F490)</f>
        <v/>
      </c>
      <c r="M490" s="516" t="str">
        <f>IFERROR(INDEX('HCC Data Entry'!$J$4:$J$22, MATCH('HCC Detail w Diag'!$B490,'HCC Data Entry'!$I$4:$I$22,0)),"")</f>
        <v/>
      </c>
      <c r="N490" s="516" t="str">
        <f t="shared" si="31"/>
        <v/>
      </c>
      <c r="O490" s="518" t="str">
        <f t="shared" si="29"/>
        <v/>
      </c>
      <c r="P490" s="519" t="str">
        <f t="shared" si="30"/>
        <v/>
      </c>
    </row>
    <row r="491" spans="2:16" ht="18.5" x14ac:dyDescent="0.45">
      <c r="B491" s="244" t="str">
        <f>IF('HCC Data Entry'!B491="","",'HCC Data Entry'!B491)</f>
        <v/>
      </c>
      <c r="C491" s="502" t="str">
        <f>IF('HCC Data Entry'!C491="","",'HCC Data Entry'!C491)</f>
        <v/>
      </c>
      <c r="D491" s="502"/>
      <c r="E491" s="502"/>
      <c r="F491" s="502" t="str">
        <f>IF('HCC Data Entry'!E491="","",'HCC Data Entry'!E491)</f>
        <v/>
      </c>
      <c r="G491" s="502"/>
      <c r="H491" s="502"/>
      <c r="I491" s="244"/>
      <c r="J491" s="516"/>
      <c r="K491" s="516"/>
      <c r="L491" s="517" t="str">
        <f>IF('HCC Data Entry'!F491="","",'HCC Data Entry'!F491)</f>
        <v/>
      </c>
      <c r="M491" s="516" t="str">
        <f>IFERROR(INDEX('HCC Data Entry'!$J$4:$J$22, MATCH('HCC Detail w Diag'!$B491,'HCC Data Entry'!$I$4:$I$22,0)),"")</f>
        <v/>
      </c>
      <c r="N491" s="516" t="str">
        <f t="shared" si="31"/>
        <v/>
      </c>
      <c r="O491" s="518" t="str">
        <f t="shared" si="29"/>
        <v/>
      </c>
      <c r="P491" s="519" t="str">
        <f t="shared" si="30"/>
        <v/>
      </c>
    </row>
    <row r="492" spans="2:16" ht="18.5" x14ac:dyDescent="0.45">
      <c r="B492" s="244" t="str">
        <f>IF('HCC Data Entry'!B492="","",'HCC Data Entry'!B492)</f>
        <v/>
      </c>
      <c r="C492" s="502" t="str">
        <f>IF('HCC Data Entry'!C492="","",'HCC Data Entry'!C492)</f>
        <v/>
      </c>
      <c r="D492" s="502"/>
      <c r="E492" s="502"/>
      <c r="F492" s="502" t="str">
        <f>IF('HCC Data Entry'!E492="","",'HCC Data Entry'!E492)</f>
        <v/>
      </c>
      <c r="G492" s="502"/>
      <c r="H492" s="502"/>
      <c r="I492" s="244"/>
      <c r="J492" s="516"/>
      <c r="K492" s="516"/>
      <c r="L492" s="517" t="str">
        <f>IF('HCC Data Entry'!F492="","",'HCC Data Entry'!F492)</f>
        <v/>
      </c>
      <c r="M492" s="516" t="str">
        <f>IFERROR(INDEX('HCC Data Entry'!$J$4:$J$22, MATCH('HCC Detail w Diag'!$B492,'HCC Data Entry'!$I$4:$I$22,0)),"")</f>
        <v/>
      </c>
      <c r="N492" s="516" t="str">
        <f t="shared" si="31"/>
        <v/>
      </c>
      <c r="O492" s="518" t="str">
        <f t="shared" si="29"/>
        <v/>
      </c>
      <c r="P492" s="519" t="str">
        <f t="shared" si="30"/>
        <v/>
      </c>
    </row>
    <row r="493" spans="2:16" ht="18.5" x14ac:dyDescent="0.45">
      <c r="B493" s="244" t="str">
        <f>IF('HCC Data Entry'!B493="","",'HCC Data Entry'!B493)</f>
        <v/>
      </c>
      <c r="C493" s="502" t="str">
        <f>IF('HCC Data Entry'!C493="","",'HCC Data Entry'!C493)</f>
        <v/>
      </c>
      <c r="D493" s="502"/>
      <c r="E493" s="502"/>
      <c r="F493" s="502" t="str">
        <f>IF('HCC Data Entry'!E493="","",'HCC Data Entry'!E493)</f>
        <v/>
      </c>
      <c r="G493" s="502"/>
      <c r="H493" s="502"/>
      <c r="I493" s="244"/>
      <c r="J493" s="516"/>
      <c r="K493" s="516"/>
      <c r="L493" s="517" t="str">
        <f>IF('HCC Data Entry'!F493="","",'HCC Data Entry'!F493)</f>
        <v/>
      </c>
      <c r="M493" s="516" t="str">
        <f>IFERROR(INDEX('HCC Data Entry'!$J$4:$J$22, MATCH('HCC Detail w Diag'!$B493,'HCC Data Entry'!$I$4:$I$22,0)),"")</f>
        <v/>
      </c>
      <c r="N493" s="516" t="str">
        <f t="shared" si="31"/>
        <v/>
      </c>
      <c r="O493" s="518" t="str">
        <f t="shared" si="29"/>
        <v/>
      </c>
      <c r="P493" s="519" t="str">
        <f t="shared" si="30"/>
        <v/>
      </c>
    </row>
    <row r="494" spans="2:16" ht="18.5" x14ac:dyDescent="0.45">
      <c r="B494" s="244" t="str">
        <f>IF('HCC Data Entry'!B494="","",'HCC Data Entry'!B494)</f>
        <v/>
      </c>
      <c r="C494" s="502" t="str">
        <f>IF('HCC Data Entry'!C494="","",'HCC Data Entry'!C494)</f>
        <v/>
      </c>
      <c r="D494" s="502"/>
      <c r="E494" s="502"/>
      <c r="F494" s="502" t="str">
        <f>IF('HCC Data Entry'!E494="","",'HCC Data Entry'!E494)</f>
        <v/>
      </c>
      <c r="G494" s="502"/>
      <c r="H494" s="502"/>
      <c r="I494" s="244"/>
      <c r="J494" s="516"/>
      <c r="K494" s="516"/>
      <c r="L494" s="517" t="str">
        <f>IF('HCC Data Entry'!F494="","",'HCC Data Entry'!F494)</f>
        <v/>
      </c>
      <c r="M494" s="516" t="str">
        <f>IFERROR(INDEX('HCC Data Entry'!$J$4:$J$22, MATCH('HCC Detail w Diag'!$B494,'HCC Data Entry'!$I$4:$I$22,0)),"")</f>
        <v/>
      </c>
      <c r="N494" s="516" t="str">
        <f t="shared" si="31"/>
        <v/>
      </c>
      <c r="O494" s="518" t="str">
        <f t="shared" si="29"/>
        <v/>
      </c>
      <c r="P494" s="519" t="str">
        <f t="shared" si="30"/>
        <v/>
      </c>
    </row>
    <row r="495" spans="2:16" ht="18.5" x14ac:dyDescent="0.45">
      <c r="B495" s="244" t="str">
        <f>IF('HCC Data Entry'!B495="","",'HCC Data Entry'!B495)</f>
        <v/>
      </c>
      <c r="C495" s="502" t="str">
        <f>IF('HCC Data Entry'!C495="","",'HCC Data Entry'!C495)</f>
        <v/>
      </c>
      <c r="D495" s="502"/>
      <c r="E495" s="502"/>
      <c r="F495" s="502" t="str">
        <f>IF('HCC Data Entry'!E495="","",'HCC Data Entry'!E495)</f>
        <v/>
      </c>
      <c r="G495" s="502"/>
      <c r="H495" s="502"/>
      <c r="I495" s="244"/>
      <c r="J495" s="516"/>
      <c r="K495" s="516"/>
      <c r="L495" s="517" t="str">
        <f>IF('HCC Data Entry'!F495="","",'HCC Data Entry'!F495)</f>
        <v/>
      </c>
      <c r="M495" s="516" t="str">
        <f>IFERROR(INDEX('HCC Data Entry'!$J$4:$J$22, MATCH('HCC Detail w Diag'!$B495,'HCC Data Entry'!$I$4:$I$22,0)),"")</f>
        <v/>
      </c>
      <c r="N495" s="516" t="str">
        <f t="shared" si="31"/>
        <v/>
      </c>
      <c r="O495" s="518" t="str">
        <f t="shared" si="29"/>
        <v/>
      </c>
      <c r="P495" s="519" t="str">
        <f t="shared" si="30"/>
        <v/>
      </c>
    </row>
  </sheetData>
  <mergeCells count="4">
    <mergeCell ref="B2:R2"/>
    <mergeCell ref="B3:R3"/>
    <mergeCell ref="B5:R5"/>
    <mergeCell ref="B6:R6"/>
  </mergeCells>
  <printOptions horizontalCentered="1"/>
  <pageMargins left="0.7" right="0.7" top="0.75" bottom="0.75" header="0.3" footer="0.3"/>
  <pageSetup scale="35" fitToHeight="0" orientation="landscape" horizontalDpi="300" verticalDpi="300" r:id="rId1"/>
  <colBreaks count="1" manualBreakCount="1">
    <brk id="1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35D1-AD54-4FC3-A56F-466CF62B8CCF}">
  <sheetPr codeName="Sheet7">
    <tabColor theme="7" tint="-0.249977111117893"/>
    <pageSetUpPr fitToPage="1"/>
  </sheetPr>
  <dimension ref="B1:Y33"/>
  <sheetViews>
    <sheetView view="pageBreakPreview" zoomScale="70" zoomScaleNormal="80" zoomScaleSheetLayoutView="70" workbookViewId="0">
      <selection activeCell="C12" sqref="C12"/>
    </sheetView>
  </sheetViews>
  <sheetFormatPr defaultColWidth="9.1796875" defaultRowHeight="14.5" outlineLevelCol="1" x14ac:dyDescent="0.35"/>
  <cols>
    <col min="1" max="2" width="1" customWidth="1"/>
    <col min="3" max="3" width="50.453125" customWidth="1"/>
    <col min="4" max="4" width="19.81640625" customWidth="1"/>
    <col min="5" max="5" width="15.54296875" hidden="1" customWidth="1" outlineLevel="1"/>
    <col min="6" max="6" width="15.1796875" hidden="1" customWidth="1" outlineLevel="1"/>
    <col min="7" max="7" width="14.453125" hidden="1" customWidth="1" outlineLevel="1"/>
    <col min="8" max="8" width="11.453125" hidden="1" customWidth="1" outlineLevel="1"/>
    <col min="9" max="9" width="21.1796875" bestFit="1" customWidth="1" collapsed="1"/>
    <col min="10" max="10" width="17.7265625" bestFit="1" customWidth="1"/>
    <col min="11" max="11" width="13.7265625" bestFit="1" customWidth="1"/>
    <col min="12" max="12" width="11.453125" bestFit="1" customWidth="1"/>
    <col min="13" max="13" width="19.7265625" bestFit="1" customWidth="1"/>
    <col min="14" max="14" width="17.7265625" bestFit="1" customWidth="1"/>
    <col min="15" max="15" width="13.7265625" bestFit="1" customWidth="1"/>
    <col min="16" max="16" width="10.81640625" bestFit="1" customWidth="1"/>
    <col min="17" max="17" width="21.1796875" bestFit="1" customWidth="1"/>
    <col min="18" max="18" width="17.7265625" bestFit="1" customWidth="1"/>
    <col min="19" max="19" width="13.7265625" bestFit="1" customWidth="1"/>
    <col min="20" max="20" width="11.453125" bestFit="1" customWidth="1"/>
    <col min="21" max="22" width="21.1796875" customWidth="1" outlineLevel="1"/>
    <col min="23" max="23" width="10.26953125" customWidth="1" outlineLevel="1"/>
    <col min="25" max="25" width="13.453125" bestFit="1" customWidth="1"/>
  </cols>
  <sheetData>
    <row r="1" spans="2:25" ht="5.25" customHeight="1" x14ac:dyDescent="0.35"/>
    <row r="2" spans="2:25" ht="23.5" x14ac:dyDescent="0.55000000000000004">
      <c r="C2" s="603" t="str">
        <f>Narrative!H5</f>
        <v>NOREBT</v>
      </c>
      <c r="D2" s="603"/>
      <c r="E2" s="603"/>
      <c r="F2" s="603"/>
      <c r="G2" s="603"/>
      <c r="H2" s="603"/>
      <c r="I2" s="603"/>
      <c r="J2" s="603"/>
      <c r="K2" s="603"/>
      <c r="L2" s="603"/>
      <c r="M2" s="603"/>
      <c r="N2" s="603"/>
      <c r="O2" s="603"/>
      <c r="P2" s="603"/>
      <c r="Q2" s="603"/>
      <c r="R2" s="603"/>
      <c r="S2" s="603"/>
      <c r="T2" s="603"/>
      <c r="U2" s="603"/>
      <c r="V2" s="603"/>
      <c r="W2" s="603"/>
    </row>
    <row r="3" spans="2:25" ht="18.5" x14ac:dyDescent="0.45">
      <c r="C3" s="604" t="s">
        <v>250</v>
      </c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  <c r="O3" s="604"/>
      <c r="P3" s="604"/>
      <c r="Q3" s="604"/>
      <c r="R3" s="604"/>
      <c r="S3" s="604"/>
      <c r="T3" s="604"/>
      <c r="U3" s="604"/>
      <c r="V3" s="604"/>
      <c r="W3" s="604"/>
    </row>
    <row r="4" spans="2:25" ht="18.5" x14ac:dyDescent="0.45"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</row>
    <row r="5" spans="2:25" ht="18.5" x14ac:dyDescent="0.45">
      <c r="C5" s="618" t="str">
        <f>Addendum!E6</f>
        <v>Claims Paid July 2024 through February 2025</v>
      </c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618"/>
    </row>
    <row r="6" spans="2:25" ht="18.5" x14ac:dyDescent="0.45"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</row>
    <row r="7" spans="2:25" ht="18.5" x14ac:dyDescent="0.45">
      <c r="C7" s="605" t="s">
        <v>152</v>
      </c>
      <c r="D7" s="605" t="s">
        <v>251</v>
      </c>
      <c r="E7" s="632" t="s">
        <v>274</v>
      </c>
      <c r="F7" s="632"/>
      <c r="G7" s="632"/>
      <c r="H7" s="632"/>
      <c r="I7" s="632" t="s">
        <v>1</v>
      </c>
      <c r="J7" s="632"/>
      <c r="K7" s="632"/>
      <c r="L7" s="632"/>
      <c r="M7" s="632" t="s">
        <v>275</v>
      </c>
      <c r="N7" s="632"/>
      <c r="O7" s="632"/>
      <c r="P7" s="632"/>
      <c r="Q7" s="632" t="s">
        <v>279</v>
      </c>
      <c r="R7" s="632"/>
      <c r="S7" s="632" t="s">
        <v>278</v>
      </c>
      <c r="T7" s="632" t="s">
        <v>272</v>
      </c>
      <c r="U7" s="605" t="s">
        <v>276</v>
      </c>
      <c r="V7" s="605" t="s">
        <v>277</v>
      </c>
      <c r="W7" s="634" t="s">
        <v>288</v>
      </c>
    </row>
    <row r="8" spans="2:25" ht="18.5" x14ac:dyDescent="0.45">
      <c r="C8" s="605"/>
      <c r="D8" s="605"/>
      <c r="E8" s="348" t="s">
        <v>232</v>
      </c>
      <c r="F8" s="349" t="s">
        <v>270</v>
      </c>
      <c r="G8" s="349" t="s">
        <v>271</v>
      </c>
      <c r="H8" s="350" t="s">
        <v>272</v>
      </c>
      <c r="I8" s="348" t="s">
        <v>273</v>
      </c>
      <c r="J8" s="349" t="s">
        <v>270</v>
      </c>
      <c r="K8" s="349" t="s">
        <v>271</v>
      </c>
      <c r="L8" s="350" t="s">
        <v>272</v>
      </c>
      <c r="M8" s="349" t="s">
        <v>273</v>
      </c>
      <c r="N8" s="349" t="s">
        <v>270</v>
      </c>
      <c r="O8" s="349" t="s">
        <v>271</v>
      </c>
      <c r="P8" s="350" t="s">
        <v>272</v>
      </c>
      <c r="Q8" s="349" t="s">
        <v>273</v>
      </c>
      <c r="R8" s="349" t="s">
        <v>270</v>
      </c>
      <c r="S8" s="349" t="s">
        <v>271</v>
      </c>
      <c r="T8" s="350" t="s">
        <v>272</v>
      </c>
      <c r="U8" s="605"/>
      <c r="V8" s="605"/>
      <c r="W8" s="634"/>
    </row>
    <row r="9" spans="2:25" ht="18.5" x14ac:dyDescent="0.45">
      <c r="B9" s="5" t="s">
        <v>252</v>
      </c>
      <c r="C9" s="161" t="str">
        <f>'HCC Data Entry'!I4</f>
        <v>Conneaut School District</v>
      </c>
      <c r="D9" s="345">
        <f>SUMIF('Cash Flow Entry'!$B$3:$B$500,Performance!C9,'Cash Flow Entry'!$D$3:$D$500)</f>
        <v>1715</v>
      </c>
      <c r="E9" s="341" cm="1">
        <f t="array" aca="1" ref="E9" ca="1">INDIRECT($B9&amp;"!P10")</f>
        <v>3321453.85</v>
      </c>
      <c r="F9" s="351" cm="1">
        <f t="array" aca="1" ref="F9" ca="1">INDIRECT($B9&amp;"!Q10")</f>
        <v>2054.25</v>
      </c>
      <c r="G9" s="355">
        <f ca="1">E9/$D9</f>
        <v>1936.7077842565598</v>
      </c>
      <c r="H9" s="358">
        <f ca="1">G9/F9-1</f>
        <v>-5.7219041374438451E-2</v>
      </c>
      <c r="I9" s="341" cm="1">
        <f t="array" aca="1" ref="I9" ca="1">INDIRECT($B9&amp;"!P26")</f>
        <v>2664367.4599999995</v>
      </c>
      <c r="J9" s="351" cm="1">
        <f t="array" aca="1" ref="J9" ca="1">INDIRECT($B9&amp;"!Q18")+INDIRECT($B9&amp;"!Q19")</f>
        <v>1435.02</v>
      </c>
      <c r="K9" s="355">
        <f ca="1">I9/$D9</f>
        <v>1553.5670320699705</v>
      </c>
      <c r="L9" s="358">
        <f ca="1">K9/J9-1</f>
        <v>8.2610020815020446E-2</v>
      </c>
      <c r="M9" s="234" cm="1">
        <f t="array" aca="1" ref="M9" ca="1">INDIRECT($B9&amp;"!P36")+INDIRECT($B9&amp;"!P42")+INDIRECT($B9&amp;"!P49")</f>
        <v>979815.36052631564</v>
      </c>
      <c r="N9" s="351">
        <f ca="1">F9-J9</f>
        <v>619.23</v>
      </c>
      <c r="O9" s="351">
        <f ca="1">M9/$D9</f>
        <v>571.32090992788085</v>
      </c>
      <c r="P9" s="358">
        <f ca="1">O9/N9-1</f>
        <v>-7.7368812996978731E-2</v>
      </c>
      <c r="Q9" s="234">
        <f ca="1">SUM(I9,M9)</f>
        <v>3644182.8205263149</v>
      </c>
      <c r="R9" s="351">
        <f ca="1">F9</f>
        <v>2054.25</v>
      </c>
      <c r="S9" s="351">
        <f ca="1">Q9/$D9</f>
        <v>2124.8879419978512</v>
      </c>
      <c r="T9" s="358">
        <f ca="1">S9/R9-1</f>
        <v>3.4386244126981103E-2</v>
      </c>
      <c r="U9" s="343" cm="1">
        <f t="array" aca="1" ref="U9" ca="1">INDIRECT($B9&amp;"!P52")</f>
        <v>-1265196.74</v>
      </c>
      <c r="V9" s="234" cm="1">
        <f t="array" aca="1" ref="V9" ca="1">INDIRECT($B9&amp;"!P54")</f>
        <v>0</v>
      </c>
      <c r="W9" s="367">
        <f ca="1">(V9/(Q9/COUNT(Summary!$P$42:$P$53)))-1</f>
        <v>-1</v>
      </c>
      <c r="Y9" s="366"/>
    </row>
    <row r="10" spans="2:25" ht="18.5" x14ac:dyDescent="0.45">
      <c r="B10" s="5" t="s">
        <v>253</v>
      </c>
      <c r="C10" s="235" t="str">
        <f>'HCC Data Entry'!I5</f>
        <v>Corry Area School District</v>
      </c>
      <c r="D10" s="346">
        <f>SUMIF('Cash Flow Entry'!$B$3:$B$500,Performance!C10,'Cash Flow Entry'!$D$3:$D$500)</f>
        <v>2042</v>
      </c>
      <c r="E10" s="342" cm="1">
        <f t="array" aca="1" ref="E10" ca="1">INDIRECT($B10&amp;"!P10")</f>
        <v>3232194.6</v>
      </c>
      <c r="F10" s="352" cm="1">
        <f t="array" aca="1" ref="F10" ca="1">INDIRECT($B10&amp;"!Q10")</f>
        <v>1813.76</v>
      </c>
      <c r="G10" s="356">
        <f t="shared" ref="G10:G27" ca="1" si="0">E10/$D10</f>
        <v>1582.8572967678747</v>
      </c>
      <c r="H10" s="359">
        <f t="shared" ref="H10:H28" ca="1" si="1">G10/F10-1</f>
        <v>-0.12730609520119818</v>
      </c>
      <c r="I10" s="342" cm="1">
        <f t="array" aca="1" ref="I10" ca="1">INDIRECT($B10&amp;"!P26")</f>
        <v>3057047.55</v>
      </c>
      <c r="J10" s="352" cm="1">
        <f t="array" aca="1" ref="J10" ca="1">INDIRECT($B10&amp;"!Q18")+INDIRECT($B10&amp;"!Q19")</f>
        <v>1191.53</v>
      </c>
      <c r="K10" s="356">
        <f t="shared" ref="K10:K28" ca="1" si="2">I10/$D10</f>
        <v>1497.0849902056807</v>
      </c>
      <c r="L10" s="359">
        <f t="shared" ref="L10:L28" ca="1" si="3">K10/J10-1</f>
        <v>0.25643919180019026</v>
      </c>
      <c r="M10" s="240" cm="1">
        <f t="array" aca="1" ref="M10" ca="1">INDIRECT($B10&amp;"!P36")+INDIRECT($B10&amp;"!P42")+INDIRECT($B10&amp;"!P49")</f>
        <v>1167139.6405263157</v>
      </c>
      <c r="N10" s="352">
        <f t="shared" ref="N10:N27" ca="1" si="4">F10-J10</f>
        <v>622.23</v>
      </c>
      <c r="O10" s="352">
        <f t="shared" ref="O10:O27" ca="1" si="5">M10/$D10</f>
        <v>571.5669150471673</v>
      </c>
      <c r="P10" s="359">
        <f t="shared" ref="P10:P28" ca="1" si="6">O10/N10-1</f>
        <v>-8.1421797330300194E-2</v>
      </c>
      <c r="Q10" s="240">
        <f t="shared" ref="Q10:Q27" ca="1" si="7">SUM(I10,M10)</f>
        <v>4224187.1905263159</v>
      </c>
      <c r="R10" s="352">
        <f t="shared" ref="R10:R28" ca="1" si="8">F10</f>
        <v>1813.76</v>
      </c>
      <c r="S10" s="352">
        <f t="shared" ref="S10:S28" ca="1" si="9">Q10/$D10</f>
        <v>2068.6519052528483</v>
      </c>
      <c r="T10" s="359">
        <f ca="1">S10/R10-1</f>
        <v>0.14053232249738024</v>
      </c>
      <c r="U10" s="344" cm="1">
        <f t="array" aca="1" ref="U10" ca="1">INDIRECT($B10&amp;"!P52")</f>
        <v>1846791.99</v>
      </c>
      <c r="V10" s="240" cm="1">
        <f t="array" aca="1" ref="V10" ca="1">INDIRECT($B10&amp;"!P54")</f>
        <v>0</v>
      </c>
      <c r="W10" s="368">
        <f ca="1">(V10/(Q10/COUNT(Summary!$P$42:$P$53)))-1</f>
        <v>-1</v>
      </c>
    </row>
    <row r="11" spans="2:25" ht="18.5" x14ac:dyDescent="0.45">
      <c r="B11" s="5" t="s">
        <v>254</v>
      </c>
      <c r="C11" s="161" t="str">
        <f>'HCC Data Entry'!I6</f>
        <v>Crawford County Career &amp; Technical Center</v>
      </c>
      <c r="D11" s="345">
        <f>SUMIF('Cash Flow Entry'!$B$3:$B$500,Performance!C11,'Cash Flow Entry'!$D$3:$D$500)</f>
        <v>309</v>
      </c>
      <c r="E11" s="341" cm="1">
        <f t="array" aca="1" ref="E11" ca="1">INDIRECT($B11&amp;"!P10")</f>
        <v>729209</v>
      </c>
      <c r="F11" s="351" cm="1">
        <f t="array" aca="1" ref="F11" ca="1">INDIRECT($B11&amp;"!Q10")</f>
        <v>2341.38</v>
      </c>
      <c r="G11" s="355">
        <f t="shared" ca="1" si="0"/>
        <v>2359.8996763754044</v>
      </c>
      <c r="H11" s="358">
        <f t="shared" ca="1" si="1"/>
        <v>7.9097269026831007E-3</v>
      </c>
      <c r="I11" s="341" cm="1">
        <f t="array" aca="1" ref="I11" ca="1">INDIRECT($B11&amp;"!P26")</f>
        <v>535169.1</v>
      </c>
      <c r="J11" s="351" cm="1">
        <f t="array" aca="1" ref="J11" ca="1">INDIRECT($B11&amp;"!Q18")+INDIRECT($B11&amp;"!Q19")</f>
        <v>1516.87</v>
      </c>
      <c r="K11" s="355">
        <f t="shared" ca="1" si="2"/>
        <v>1731.9388349514563</v>
      </c>
      <c r="L11" s="358">
        <f t="shared" ca="1" si="3"/>
        <v>0.14178461895314465</v>
      </c>
      <c r="M11" s="234" cm="1">
        <f t="array" aca="1" ref="M11" ca="1">INDIRECT($B11&amp;"!P36")+INDIRECT($B11&amp;"!P42")+INDIRECT($B11&amp;"!P49")</f>
        <v>231998.62052631579</v>
      </c>
      <c r="N11" s="351">
        <f t="shared" ca="1" si="4"/>
        <v>824.51000000000022</v>
      </c>
      <c r="O11" s="351">
        <f t="shared" ca="1" si="5"/>
        <v>750.80459717254303</v>
      </c>
      <c r="P11" s="358">
        <f t="shared" ca="1" si="6"/>
        <v>-8.9392976225221243E-2</v>
      </c>
      <c r="Q11" s="234">
        <f t="shared" ca="1" si="7"/>
        <v>767167.72052631574</v>
      </c>
      <c r="R11" s="351">
        <f t="shared" ca="1" si="8"/>
        <v>2341.38</v>
      </c>
      <c r="S11" s="351">
        <f t="shared" ca="1" si="9"/>
        <v>2482.7434321239994</v>
      </c>
      <c r="T11" s="358">
        <f t="shared" ref="T11:T28" ca="1" si="10">S11/R11-1</f>
        <v>6.0376116702115512E-2</v>
      </c>
      <c r="U11" s="343" cm="1">
        <f t="array" aca="1" ref="U11" ca="1">INDIRECT($B11&amp;"!P52")</f>
        <v>-245648.83</v>
      </c>
      <c r="V11" s="234" cm="1">
        <f t="array" aca="1" ref="V11" ca="1">INDIRECT($B11&amp;"!P54")</f>
        <v>0</v>
      </c>
      <c r="W11" s="367">
        <f ca="1">(V11/(Q11/COUNT(Summary!$P$42:$P$53)))-1</f>
        <v>-1</v>
      </c>
    </row>
    <row r="12" spans="2:25" ht="18.5" x14ac:dyDescent="0.45">
      <c r="B12" s="5" t="s">
        <v>255</v>
      </c>
      <c r="C12" s="235" t="str">
        <f>'HCC Data Entry'!I7</f>
        <v>Erie County Technical School</v>
      </c>
      <c r="D12" s="346">
        <f>SUMIF('Cash Flow Entry'!$B$3:$B$500,Performance!C12,'Cash Flow Entry'!$D$3:$D$500)</f>
        <v>349</v>
      </c>
      <c r="E12" s="342" cm="1">
        <f t="array" aca="1" ref="E12" ca="1">INDIRECT($B12&amp;"!P10")</f>
        <v>662130.5</v>
      </c>
      <c r="F12" s="352" cm="1">
        <f t="array" aca="1" ref="F12" ca="1">INDIRECT($B12&amp;"!Q10")</f>
        <v>1892.98</v>
      </c>
      <c r="G12" s="356">
        <f t="shared" ca="1" si="0"/>
        <v>1897.2220630372492</v>
      </c>
      <c r="H12" s="359">
        <f t="shared" ca="1" si="1"/>
        <v>2.2409444564914782E-3</v>
      </c>
      <c r="I12" s="342" cm="1">
        <f t="array" aca="1" ref="I12" ca="1">INDIRECT($B12&amp;"!P26")</f>
        <v>501639.22999999986</v>
      </c>
      <c r="J12" s="352" cm="1">
        <f t="array" aca="1" ref="J12" ca="1">INDIRECT($B12&amp;"!Q18")+INDIRECT($B12&amp;"!Q19")</f>
        <v>1068.47</v>
      </c>
      <c r="K12" s="356">
        <f t="shared" ca="1" si="2"/>
        <v>1437.3616905444121</v>
      </c>
      <c r="L12" s="359">
        <f t="shared" ca="1" si="3"/>
        <v>0.34525226777018725</v>
      </c>
      <c r="M12" s="240" cm="1">
        <f t="array" aca="1" ref="M12" ca="1">INDIRECT($B12&amp;"!P36")+INDIRECT($B12&amp;"!P42")+INDIRECT($B12&amp;"!P49")</f>
        <v>264560.2205263158</v>
      </c>
      <c r="N12" s="352">
        <f t="shared" ca="1" si="4"/>
        <v>824.51</v>
      </c>
      <c r="O12" s="352">
        <f t="shared" ca="1" si="5"/>
        <v>758.0522078117931</v>
      </c>
      <c r="P12" s="359">
        <f t="shared" ca="1" si="6"/>
        <v>-8.060277278408623E-2</v>
      </c>
      <c r="Q12" s="240">
        <f t="shared" ca="1" si="7"/>
        <v>766199.45052631572</v>
      </c>
      <c r="R12" s="352">
        <f t="shared" ca="1" si="8"/>
        <v>1892.98</v>
      </c>
      <c r="S12" s="352">
        <f t="shared" ca="1" si="9"/>
        <v>2195.4138983562057</v>
      </c>
      <c r="T12" s="359">
        <f t="shared" ca="1" si="10"/>
        <v>0.15976602941193541</v>
      </c>
      <c r="U12" s="344" cm="1">
        <f t="array" aca="1" ref="U12" ca="1">INDIRECT($B12&amp;"!P52")</f>
        <v>639253.47</v>
      </c>
      <c r="V12" s="240" cm="1">
        <f t="array" aca="1" ref="V12" ca="1">INDIRECT($B12&amp;"!P54")</f>
        <v>0</v>
      </c>
      <c r="W12" s="368">
        <f ca="1">(V12/(Q12/COUNT(Summary!$P$42:$P$53)))-1</f>
        <v>-1</v>
      </c>
    </row>
    <row r="13" spans="2:25" ht="18.5" x14ac:dyDescent="0.45">
      <c r="B13" s="5" t="s">
        <v>256</v>
      </c>
      <c r="C13" s="161" t="str">
        <f>'HCC Data Entry'!I8</f>
        <v>Fairview School District</v>
      </c>
      <c r="D13" s="345">
        <f>SUMIF('Cash Flow Entry'!$B$3:$B$500,Performance!C13,'Cash Flow Entry'!$D$3:$D$500)</f>
        <v>1458</v>
      </c>
      <c r="E13" s="341" cm="1">
        <f t="array" aca="1" ref="E13" ca="1">INDIRECT($B13&amp;"!P10")</f>
        <v>2256038.5500000003</v>
      </c>
      <c r="F13" s="351" cm="1">
        <f t="array" aca="1" ref="F13" ca="1">INDIRECT($B13&amp;"!Q10")</f>
        <v>1805.82</v>
      </c>
      <c r="G13" s="355">
        <f t="shared" ca="1" si="0"/>
        <v>1547.3515432098768</v>
      </c>
      <c r="H13" s="358">
        <f t="shared" ca="1" si="1"/>
        <v>-0.14313079752695346</v>
      </c>
      <c r="I13" s="341" cm="1">
        <f t="array" aca="1" ref="I13" ca="1">INDIRECT($B13&amp;"!P26")</f>
        <v>2410973.23</v>
      </c>
      <c r="J13" s="351" cm="1">
        <f t="array" aca="1" ref="J13" ca="1">INDIRECT($B13&amp;"!Q18")+INDIRECT($B13&amp;"!Q19")</f>
        <v>1183.5900000000001</v>
      </c>
      <c r="K13" s="355">
        <f t="shared" ca="1" si="2"/>
        <v>1653.6167558299039</v>
      </c>
      <c r="L13" s="358">
        <f t="shared" ca="1" si="3"/>
        <v>0.39711957335724679</v>
      </c>
      <c r="M13" s="234" cm="1">
        <f t="array" aca="1" ref="M13" ca="1">INDIRECT($B13&amp;"!P36")+INDIRECT($B13&amp;"!P42")+INDIRECT($B13&amp;"!P49")</f>
        <v>832085.88052631589</v>
      </c>
      <c r="N13" s="351">
        <f t="shared" ca="1" si="4"/>
        <v>622.22999999999979</v>
      </c>
      <c r="O13" s="351">
        <f t="shared" ca="1" si="5"/>
        <v>570.70362176016181</v>
      </c>
      <c r="P13" s="358">
        <f t="shared" ca="1" si="6"/>
        <v>-8.28092156274014E-2</v>
      </c>
      <c r="Q13" s="234">
        <f t="shared" ca="1" si="7"/>
        <v>3243059.1105263159</v>
      </c>
      <c r="R13" s="351">
        <f t="shared" ca="1" si="8"/>
        <v>1805.82</v>
      </c>
      <c r="S13" s="351">
        <f t="shared" ca="1" si="9"/>
        <v>2224.3203775900656</v>
      </c>
      <c r="T13" s="358">
        <f t="shared" ca="1" si="10"/>
        <v>0.23175088192071502</v>
      </c>
      <c r="U13" s="343" cm="1">
        <f t="array" aca="1" ref="U13" ca="1">INDIRECT($B13&amp;"!P52")</f>
        <v>746621.67</v>
      </c>
      <c r="V13" s="234" cm="1">
        <f t="array" aca="1" ref="V13" ca="1">INDIRECT($B13&amp;"!P54")</f>
        <v>0</v>
      </c>
      <c r="W13" s="367">
        <f ca="1">(V13/(Q13/COUNT(Summary!$P$42:$P$53)))-1</f>
        <v>-1</v>
      </c>
    </row>
    <row r="14" spans="2:25" ht="18.5" x14ac:dyDescent="0.45">
      <c r="B14" s="5" t="s">
        <v>264</v>
      </c>
      <c r="C14" s="235" t="str">
        <f>'HCC Data Entry'!I9</f>
        <v>Ft LeBoeuf School District</v>
      </c>
      <c r="D14" s="346">
        <f>SUMIF('Cash Flow Entry'!$B$3:$B$500,Performance!C14,'Cash Flow Entry'!$D$3:$D$500)</f>
        <v>2265</v>
      </c>
      <c r="E14" s="342" cm="1">
        <f t="array" aca="1" ref="E14" ca="1">INDIRECT($B14&amp;"!P10")</f>
        <v>3118037.7800000003</v>
      </c>
      <c r="F14" s="352" cm="1">
        <f t="array" aca="1" ref="F14" ca="1">INDIRECT($B14&amp;"!Q10")</f>
        <v>1597.79</v>
      </c>
      <c r="G14" s="356">
        <f t="shared" ca="1" si="0"/>
        <v>1376.6171214128037</v>
      </c>
      <c r="H14" s="359">
        <f t="shared" ca="1" si="1"/>
        <v>-0.13842424760900762</v>
      </c>
      <c r="I14" s="342" cm="1">
        <f t="array" aca="1" ref="I14" ca="1">INDIRECT($B14&amp;"!P26")</f>
        <v>2914451.6199999996</v>
      </c>
      <c r="J14" s="352" cm="1">
        <f t="array" aca="1" ref="J14" ca="1">INDIRECT($B14&amp;"!Q18")+INDIRECT($B14&amp;"!Q19")</f>
        <v>1095.67</v>
      </c>
      <c r="K14" s="356">
        <f t="shared" ca="1" si="2"/>
        <v>1286.7336070640174</v>
      </c>
      <c r="L14" s="359">
        <f t="shared" ca="1" si="3"/>
        <v>0.17438061374685554</v>
      </c>
      <c r="M14" s="240" cm="1">
        <f t="array" aca="1" ref="M14" ca="1">INDIRECT($B14&amp;"!P36")+INDIRECT($B14&amp;"!P42")+INDIRECT($B14&amp;"!P49")</f>
        <v>1055960.7605263155</v>
      </c>
      <c r="N14" s="352">
        <f t="shared" ca="1" si="4"/>
        <v>502.11999999999989</v>
      </c>
      <c r="O14" s="352">
        <f t="shared" ca="1" si="5"/>
        <v>466.20784129197153</v>
      </c>
      <c r="P14" s="359">
        <f t="shared" ca="1" si="6"/>
        <v>-7.1521068087366246E-2</v>
      </c>
      <c r="Q14" s="240">
        <f t="shared" ca="1" si="7"/>
        <v>3970412.3805263154</v>
      </c>
      <c r="R14" s="352">
        <f t="shared" ca="1" si="8"/>
        <v>1597.79</v>
      </c>
      <c r="S14" s="352">
        <f t="shared" ca="1" si="9"/>
        <v>1752.9414483559892</v>
      </c>
      <c r="T14" s="359">
        <f t="shared" ca="1" si="10"/>
        <v>9.7103779818367375E-2</v>
      </c>
      <c r="U14" s="344" cm="1">
        <f t="array" aca="1" ref="U14" ca="1">INDIRECT($B14&amp;"!P52")</f>
        <v>2009370.97</v>
      </c>
      <c r="V14" s="240" cm="1">
        <f t="array" aca="1" ref="V14" ca="1">INDIRECT($B14&amp;"!P54")</f>
        <v>0</v>
      </c>
      <c r="W14" s="368">
        <f ca="1">(V14/(Q14/COUNT(Summary!$P$42:$P$53)))-1</f>
        <v>-1</v>
      </c>
    </row>
    <row r="15" spans="2:25" ht="18.5" x14ac:dyDescent="0.45">
      <c r="B15" s="5" t="s">
        <v>257</v>
      </c>
      <c r="C15" s="161" t="str">
        <f>'HCC Data Entry'!I10</f>
        <v>Franklin Area School District</v>
      </c>
      <c r="D15" s="345">
        <f>SUMIF('Cash Flow Entry'!$B$3:$B$500,Performance!C15,'Cash Flow Entry'!$D$3:$D$500)</f>
        <v>1978</v>
      </c>
      <c r="E15" s="341" cm="1">
        <f t="array" aca="1" ref="E15" ca="1">INDIRECT($B15&amp;"!P10")</f>
        <v>3130205.6599999997</v>
      </c>
      <c r="F15" s="351" cm="1">
        <f t="array" aca="1" ref="F15" ca="1">INDIRECT($B15&amp;"!Q10")</f>
        <v>1675.74</v>
      </c>
      <c r="G15" s="355">
        <f t="shared" ca="1" si="0"/>
        <v>1582.5104448938321</v>
      </c>
      <c r="H15" s="358">
        <f t="shared" ca="1" si="1"/>
        <v>-5.5634856902722296E-2</v>
      </c>
      <c r="I15" s="341" cm="1">
        <f t="array" aca="1" ref="I15" ca="1">INDIRECT($B15&amp;"!P26")</f>
        <v>2235169.11</v>
      </c>
      <c r="J15" s="351" cm="1">
        <f t="array" aca="1" ref="J15" ca="1">INDIRECT($B15&amp;"!Q18")+INDIRECT($B15&amp;"!Q19")</f>
        <v>1060.0899999999999</v>
      </c>
      <c r="K15" s="355">
        <f t="shared" ca="1" si="2"/>
        <v>1130.0147168857432</v>
      </c>
      <c r="L15" s="358">
        <f t="shared" ca="1" si="3"/>
        <v>6.596111357124701E-2</v>
      </c>
      <c r="M15" s="234" cm="1">
        <f t="array" aca="1" ref="M15" ca="1">INDIRECT($B15&amp;"!P36")+INDIRECT($B15&amp;"!P42")+INDIRECT($B15&amp;"!P49")</f>
        <v>1138396.1928263158</v>
      </c>
      <c r="N15" s="351">
        <f t="shared" ca="1" si="4"/>
        <v>615.65000000000009</v>
      </c>
      <c r="O15" s="351">
        <f t="shared" ca="1" si="5"/>
        <v>575.52891447235379</v>
      </c>
      <c r="P15" s="358">
        <f t="shared" ca="1" si="6"/>
        <v>-6.5168659997801193E-2</v>
      </c>
      <c r="Q15" s="234">
        <f t="shared" ca="1" si="7"/>
        <v>3373565.3028263156</v>
      </c>
      <c r="R15" s="351">
        <f t="shared" ca="1" si="8"/>
        <v>1675.74</v>
      </c>
      <c r="S15" s="351">
        <f t="shared" ca="1" si="9"/>
        <v>1705.5436313580969</v>
      </c>
      <c r="T15" s="358">
        <f t="shared" ca="1" si="10"/>
        <v>1.7785355340385056E-2</v>
      </c>
      <c r="U15" s="343" cm="1">
        <f t="array" aca="1" ref="U15" ca="1">INDIRECT($B15&amp;"!P52")</f>
        <v>469121.94</v>
      </c>
      <c r="V15" s="234" cm="1">
        <f t="array" aca="1" ref="V15" ca="1">INDIRECT($B15&amp;"!P54")</f>
        <v>0</v>
      </c>
      <c r="W15" s="367">
        <f ca="1">(V15/(Q15/COUNT(Summary!$P$42:$P$53)))-1</f>
        <v>-1</v>
      </c>
    </row>
    <row r="16" spans="2:25" ht="18.5" x14ac:dyDescent="0.45">
      <c r="B16" s="5" t="s">
        <v>258</v>
      </c>
      <c r="C16" s="235" t="str">
        <f>'HCC Data Entry'!I11</f>
        <v>Girard School District</v>
      </c>
      <c r="D16" s="346">
        <f>SUMIF('Cash Flow Entry'!$B$3:$B$500,Performance!C16,'Cash Flow Entry'!$D$3:$D$500)</f>
        <v>1581</v>
      </c>
      <c r="E16" s="342" cm="1">
        <f t="array" aca="1" ref="E16" ca="1">INDIRECT($B16&amp;"!P10")</f>
        <v>2495738.4</v>
      </c>
      <c r="F16" s="352" cm="1">
        <f t="array" aca="1" ref="F16" ca="1">INDIRECT($B16&amp;"!Q10")</f>
        <v>1822.72</v>
      </c>
      <c r="G16" s="356">
        <f t="shared" ca="1" si="0"/>
        <v>1578.5821631878557</v>
      </c>
      <c r="H16" s="359">
        <f t="shared" ca="1" si="1"/>
        <v>-0.13394149228194363</v>
      </c>
      <c r="I16" s="342" cm="1">
        <f t="array" aca="1" ref="I16" ca="1">INDIRECT($B16&amp;"!P26")</f>
        <v>1950400.1800000002</v>
      </c>
      <c r="J16" s="352" cm="1">
        <f t="array" aca="1" ref="J16" ca="1">INDIRECT($B16&amp;"!Q18")+INDIRECT($B16&amp;"!Q19")</f>
        <v>1202.49</v>
      </c>
      <c r="K16" s="356">
        <f t="shared" ca="1" si="2"/>
        <v>1233.6497027197977</v>
      </c>
      <c r="L16" s="359">
        <f t="shared" ca="1" si="3"/>
        <v>2.5912650184032771E-2</v>
      </c>
      <c r="M16" s="240" cm="1">
        <f t="array" aca="1" ref="M16" ca="1">INDIRECT($B16&amp;"!P36")+INDIRECT($B16&amp;"!P42")+INDIRECT($B16&amp;"!P49")</f>
        <v>898775.60052631574</v>
      </c>
      <c r="N16" s="352">
        <f t="shared" ca="1" si="4"/>
        <v>620.23</v>
      </c>
      <c r="O16" s="352">
        <f t="shared" ca="1" si="5"/>
        <v>568.48551582942173</v>
      </c>
      <c r="P16" s="359">
        <f t="shared" ca="1" si="6"/>
        <v>-8.3427896378082789E-2</v>
      </c>
      <c r="Q16" s="240">
        <f t="shared" ca="1" si="7"/>
        <v>2849175.7805263158</v>
      </c>
      <c r="R16" s="352">
        <f t="shared" ca="1" si="8"/>
        <v>1822.72</v>
      </c>
      <c r="S16" s="352">
        <f t="shared" ca="1" si="9"/>
        <v>1802.1352185492194</v>
      </c>
      <c r="T16" s="359">
        <f t="shared" ca="1" si="10"/>
        <v>-1.1293441368274149E-2</v>
      </c>
      <c r="U16" s="344" cm="1">
        <f t="array" aca="1" ref="U16" ca="1">INDIRECT($B16&amp;"!P52")</f>
        <v>121203.95</v>
      </c>
      <c r="V16" s="240" cm="1">
        <f t="array" aca="1" ref="V16" ca="1">INDIRECT($B16&amp;"!P54")</f>
        <v>0</v>
      </c>
      <c r="W16" s="368">
        <f ca="1">(V16/(Q16/COUNT(Summary!$P$42:$P$53)))-1</f>
        <v>-1</v>
      </c>
    </row>
    <row r="17" spans="2:23" ht="18.5" x14ac:dyDescent="0.45">
      <c r="B17" s="5" t="s">
        <v>265</v>
      </c>
      <c r="C17" s="161" t="str">
        <f>'HCC Data Entry'!I12</f>
        <v>Harborcreek School District</v>
      </c>
      <c r="D17" s="345">
        <f>SUMIF('Cash Flow Entry'!$B$3:$B$500,Performance!C17,'Cash Flow Entry'!$D$3:$D$500)</f>
        <v>1757</v>
      </c>
      <c r="E17" s="341" cm="1">
        <f t="array" aca="1" ref="E17" ca="1">INDIRECT($B17&amp;"!P10")</f>
        <v>3507938.25</v>
      </c>
      <c r="F17" s="351" cm="1">
        <f t="array" aca="1" ref="F17" ca="1">INDIRECT($B17&amp;"!Q10")</f>
        <v>2003.07</v>
      </c>
      <c r="G17" s="355">
        <f t="shared" ca="1" si="0"/>
        <v>1996.5499430848035</v>
      </c>
      <c r="H17" s="358">
        <f t="shared" ca="1" si="1"/>
        <v>-3.2550319835035202E-3</v>
      </c>
      <c r="I17" s="341" cm="1">
        <f t="array" aca="1" ref="I17" ca="1">INDIRECT($B17&amp;"!P26")</f>
        <v>2942732.1799999997</v>
      </c>
      <c r="J17" s="351" cm="1">
        <f t="array" aca="1" ref="J17" ca="1">INDIRECT($B17&amp;"!Q18")+INDIRECT($B17&amp;"!Q19")</f>
        <v>1383.1</v>
      </c>
      <c r="K17" s="355">
        <f t="shared" ca="1" si="2"/>
        <v>1674.8617985202047</v>
      </c>
      <c r="L17" s="358">
        <f t="shared" ca="1" si="3"/>
        <v>0.21094772505256665</v>
      </c>
      <c r="M17" s="234" cm="1">
        <f t="array" aca="1" ref="M17" ca="1">INDIRECT($B17&amp;"!P36")+INDIRECT($B17&amp;"!P42")+INDIRECT($B17&amp;"!P49")</f>
        <v>995504.24052631587</v>
      </c>
      <c r="N17" s="351">
        <f t="shared" ca="1" si="4"/>
        <v>619.97</v>
      </c>
      <c r="O17" s="351">
        <f t="shared" ca="1" si="5"/>
        <v>566.59319324206933</v>
      </c>
      <c r="P17" s="358">
        <f t="shared" ca="1" si="6"/>
        <v>-8.6095789728423466E-2</v>
      </c>
      <c r="Q17" s="234">
        <f t="shared" ca="1" si="7"/>
        <v>3938236.4205263155</v>
      </c>
      <c r="R17" s="351">
        <f t="shared" ca="1" si="8"/>
        <v>2003.07</v>
      </c>
      <c r="S17" s="351">
        <f t="shared" ca="1" si="9"/>
        <v>2241.4549917622739</v>
      </c>
      <c r="T17" s="358">
        <f t="shared" ca="1" si="10"/>
        <v>0.11900981581386283</v>
      </c>
      <c r="U17" s="343" cm="1">
        <f t="array" aca="1" ref="U17" ca="1">INDIRECT($B17&amp;"!P52")</f>
        <v>144950.37</v>
      </c>
      <c r="V17" s="234" cm="1">
        <f t="array" aca="1" ref="V17" ca="1">INDIRECT($B17&amp;"!P54")</f>
        <v>0</v>
      </c>
      <c r="W17" s="367">
        <f ca="1">(V17/(Q17/COUNT(Summary!$P$42:$P$53)))-1</f>
        <v>-1</v>
      </c>
    </row>
    <row r="18" spans="2:23" ht="18.5" x14ac:dyDescent="0.45">
      <c r="B18" s="5" t="s">
        <v>248</v>
      </c>
      <c r="C18" s="235" t="str">
        <f>'HCC Data Entry'!I13</f>
        <v>Iroquois School District</v>
      </c>
      <c r="D18" s="346">
        <f>SUMIF('Cash Flow Entry'!$B$3:$B$500,Performance!C18,'Cash Flow Entry'!$D$3:$D$500)</f>
        <v>1260</v>
      </c>
      <c r="E18" s="342" cm="1">
        <f t="array" aca="1" ref="E18" ca="1">INDIRECT($B18&amp;"!P10")</f>
        <v>1705361.8199999998</v>
      </c>
      <c r="F18" s="352" cm="1">
        <f t="array" aca="1" ref="F18" ca="1">INDIRECT($B18&amp;"!Q10")</f>
        <v>1718.22</v>
      </c>
      <c r="G18" s="356">
        <f t="shared" ca="1" si="0"/>
        <v>1353.4617619047617</v>
      </c>
      <c r="H18" s="359">
        <f t="shared" ca="1" si="1"/>
        <v>-0.21228843692614352</v>
      </c>
      <c r="I18" s="342" cm="1">
        <f t="array" aca="1" ref="I18" ca="1">INDIRECT($B18&amp;"!P26")</f>
        <v>1562700.85</v>
      </c>
      <c r="J18" s="352" cm="1">
        <f t="array" aca="1" ref="J18" ca="1">INDIRECT($B18&amp;"!Q18")+INDIRECT($B18&amp;"!Q19")</f>
        <v>1095.99</v>
      </c>
      <c r="K18" s="356">
        <f t="shared" ca="1" si="2"/>
        <v>1240.2387698412699</v>
      </c>
      <c r="L18" s="359">
        <f t="shared" ca="1" si="3"/>
        <v>0.13161504196322027</v>
      </c>
      <c r="M18" s="240" cm="1">
        <f t="array" aca="1" ref="M18" ca="1">INDIRECT($B18&amp;"!P36")+INDIRECT($B18&amp;"!P42")+INDIRECT($B18&amp;"!P49")</f>
        <v>728613.34052631573</v>
      </c>
      <c r="N18" s="352">
        <f t="shared" ca="1" si="4"/>
        <v>622.23</v>
      </c>
      <c r="O18" s="352">
        <f t="shared" ca="1" si="5"/>
        <v>578.26455597326651</v>
      </c>
      <c r="P18" s="359">
        <f t="shared" ca="1" si="6"/>
        <v>-7.0657866105352518E-2</v>
      </c>
      <c r="Q18" s="240">
        <f t="shared" ca="1" si="7"/>
        <v>2291314.1905263159</v>
      </c>
      <c r="R18" s="352">
        <f t="shared" ca="1" si="8"/>
        <v>1718.22</v>
      </c>
      <c r="S18" s="352">
        <f t="shared" ca="1" si="9"/>
        <v>1818.5033258145365</v>
      </c>
      <c r="T18" s="359">
        <f t="shared" ca="1" si="10"/>
        <v>5.8364659830834498E-2</v>
      </c>
      <c r="U18" s="344" cm="1">
        <f t="array" aca="1" ref="U18" ca="1">INDIRECT($B18&amp;"!P52")</f>
        <v>849702.92</v>
      </c>
      <c r="V18" s="240" cm="1">
        <f t="array" aca="1" ref="V18" ca="1">INDIRECT($B18&amp;"!P54")</f>
        <v>0</v>
      </c>
      <c r="W18" s="368">
        <f ca="1">(V18/(Q18/COUNT(Summary!$P$42:$P$53)))-1</f>
        <v>-1</v>
      </c>
    </row>
    <row r="19" spans="2:23" ht="18.5" x14ac:dyDescent="0.45">
      <c r="B19" s="5" t="s">
        <v>262</v>
      </c>
      <c r="C19" s="161" t="str">
        <f>'HCC Data Entry'!I14</f>
        <v>North East School District</v>
      </c>
      <c r="D19" s="345">
        <f>SUMIF('Cash Flow Entry'!$B$3:$B$500,Performance!C19,'Cash Flow Entry'!$D$3:$D$500)</f>
        <v>1285</v>
      </c>
      <c r="E19" s="341" cm="1">
        <f t="array" aca="1" ref="E19" ca="1">INDIRECT($B19&amp;"!P10")</f>
        <v>1998377.0100000002</v>
      </c>
      <c r="F19" s="351" cm="1">
        <f t="array" aca="1" ref="F19" ca="1">INDIRECT($B19&amp;"!Q10")</f>
        <v>1555.57</v>
      </c>
      <c r="G19" s="355">
        <f t="shared" ca="1" si="0"/>
        <v>1555.1572062256812</v>
      </c>
      <c r="H19" s="358">
        <f t="shared" ca="1" si="1"/>
        <v>-2.6536496224449646E-4</v>
      </c>
      <c r="I19" s="341" cm="1">
        <f t="array" aca="1" ref="I19" ca="1">INDIRECT($B19&amp;"!P26")</f>
        <v>1502630.44</v>
      </c>
      <c r="J19" s="351" cm="1">
        <f t="array" aca="1" ref="J19" ca="1">INDIRECT($B19&amp;"!Q18")+INDIRECT($B19&amp;"!Q19")</f>
        <v>1074.8499999999999</v>
      </c>
      <c r="K19" s="355">
        <f t="shared" ca="1" si="2"/>
        <v>1169.3622101167314</v>
      </c>
      <c r="L19" s="358">
        <f t="shared" ca="1" si="3"/>
        <v>8.7930604378965826E-2</v>
      </c>
      <c r="M19" s="234" cm="1">
        <f t="array" aca="1" ref="M19" ca="1">INDIRECT($B19&amp;"!P36")+INDIRECT($B19&amp;"!P42")+INDIRECT($B19&amp;"!P49")</f>
        <v>578624.76052631577</v>
      </c>
      <c r="N19" s="351">
        <f t="shared" ca="1" si="4"/>
        <v>480.72</v>
      </c>
      <c r="O19" s="351">
        <f t="shared" ca="1" si="5"/>
        <v>450.29164243293059</v>
      </c>
      <c r="P19" s="358">
        <f t="shared" ca="1" si="6"/>
        <v>-6.3297465399961395E-2</v>
      </c>
      <c r="Q19" s="234">
        <f t="shared" ca="1" si="7"/>
        <v>2081255.2005263157</v>
      </c>
      <c r="R19" s="351">
        <f t="shared" ca="1" si="8"/>
        <v>1555.57</v>
      </c>
      <c r="S19" s="351">
        <f t="shared" ca="1" si="9"/>
        <v>1619.6538525496621</v>
      </c>
      <c r="T19" s="358">
        <f t="shared" ca="1" si="10"/>
        <v>4.1196379815541695E-2</v>
      </c>
      <c r="U19" s="343" cm="1">
        <f t="array" aca="1" ref="U19" ca="1">INDIRECT($B19&amp;"!P52")</f>
        <v>693009.46</v>
      </c>
      <c r="V19" s="234" cm="1">
        <f t="array" aca="1" ref="V19" ca="1">INDIRECT($B19&amp;"!P54")</f>
        <v>0</v>
      </c>
      <c r="W19" s="367">
        <f ca="1">(V19/(Q19/COUNT(Summary!$P$42:$P$53)))-1</f>
        <v>-1</v>
      </c>
    </row>
    <row r="20" spans="2:23" ht="18.5" x14ac:dyDescent="0.45">
      <c r="B20" s="5" t="s">
        <v>263</v>
      </c>
      <c r="C20" s="235" t="str">
        <f>'HCC Data Entry'!I15</f>
        <v>Northwestern School District</v>
      </c>
      <c r="D20" s="346">
        <f>SUMIF('Cash Flow Entry'!$B$3:$B$500,Performance!C20,'Cash Flow Entry'!$D$3:$D$500)</f>
        <v>1172</v>
      </c>
      <c r="E20" s="342" cm="1">
        <f t="array" aca="1" ref="E20" ca="1">INDIRECT($B20&amp;"!P10")</f>
        <v>2044318.39</v>
      </c>
      <c r="F20" s="352" cm="1">
        <f t="array" aca="1" ref="F20" ca="1">INDIRECT($B20&amp;"!Q10")</f>
        <v>1782.88</v>
      </c>
      <c r="G20" s="356">
        <f t="shared" ca="1" si="0"/>
        <v>1744.2989675767917</v>
      </c>
      <c r="H20" s="359">
        <f t="shared" ca="1" si="1"/>
        <v>-2.1639724728085064E-2</v>
      </c>
      <c r="I20" s="342" cm="1">
        <f t="array" aca="1" ref="I20" ca="1">INDIRECT($B20&amp;"!P26")</f>
        <v>1988866.12</v>
      </c>
      <c r="J20" s="352" cm="1">
        <f t="array" aca="1" ref="J20" ca="1">INDIRECT($B20&amp;"!Q18")+INDIRECT($B20&amp;"!Q19")</f>
        <v>1272.1100000000001</v>
      </c>
      <c r="K20" s="356">
        <f t="shared" ca="1" si="2"/>
        <v>1696.9847440273038</v>
      </c>
      <c r="L20" s="359">
        <f t="shared" ca="1" si="3"/>
        <v>0.33399214221042484</v>
      </c>
      <c r="M20" s="240" cm="1">
        <f t="array" aca="1" ref="M20" ca="1">INDIRECT($B20&amp;"!P36")+INDIRECT($B20&amp;"!P42")+INDIRECT($B20&amp;"!P49")</f>
        <v>560980.72052631574</v>
      </c>
      <c r="N20" s="352">
        <f t="shared" ca="1" si="4"/>
        <v>510.77</v>
      </c>
      <c r="O20" s="352">
        <f t="shared" ca="1" si="5"/>
        <v>478.65249191665163</v>
      </c>
      <c r="P20" s="359">
        <f t="shared" ca="1" si="6"/>
        <v>-6.2880568716542351E-2</v>
      </c>
      <c r="Q20" s="240">
        <f t="shared" ca="1" si="7"/>
        <v>2549846.8405263158</v>
      </c>
      <c r="R20" s="352">
        <f t="shared" ca="1" si="8"/>
        <v>1782.88</v>
      </c>
      <c r="S20" s="352">
        <f t="shared" ca="1" si="9"/>
        <v>2175.6372359439556</v>
      </c>
      <c r="T20" s="359">
        <f t="shared" ca="1" si="10"/>
        <v>0.22029370229289436</v>
      </c>
      <c r="U20" s="344" cm="1">
        <f t="array" aca="1" ref="U20" ca="1">INDIRECT($B20&amp;"!P52")</f>
        <v>196441.51</v>
      </c>
      <c r="V20" s="240" cm="1">
        <f t="array" aca="1" ref="V20" ca="1">INDIRECT($B20&amp;"!P54")</f>
        <v>0</v>
      </c>
      <c r="W20" s="368">
        <f ca="1">(V20/(Q20/COUNT(Summary!$P$42:$P$53)))-1</f>
        <v>-1</v>
      </c>
    </row>
    <row r="21" spans="2:23" ht="18.5" x14ac:dyDescent="0.45">
      <c r="B21" s="5" t="s">
        <v>266</v>
      </c>
      <c r="C21" s="161" t="str">
        <f>'HCC Data Entry'!I16</f>
        <v>Northwest Tri-County Intermediate Unit #5</v>
      </c>
      <c r="D21" s="345">
        <f>SUMIF('Cash Flow Entry'!$B$3:$B$500,Performance!C21,'Cash Flow Entry'!$D$3:$D$500)</f>
        <v>2138</v>
      </c>
      <c r="E21" s="341" cm="1">
        <f t="array" aca="1" ref="E21" ca="1">INDIRECT($B21&amp;"!P10")</f>
        <v>3726211</v>
      </c>
      <c r="F21" s="351" cm="1">
        <f t="array" aca="1" ref="F21" ca="1">INDIRECT($B21&amp;"!Q10")</f>
        <v>1782.88</v>
      </c>
      <c r="G21" s="355">
        <f t="shared" ca="1" si="0"/>
        <v>1742.8489242282508</v>
      </c>
      <c r="H21" s="358">
        <f t="shared" ca="1" si="1"/>
        <v>-2.2453039897104343E-2</v>
      </c>
      <c r="I21" s="341" cm="1">
        <f t="array" aca="1" ref="I21" ca="1">INDIRECT($B21&amp;"!P26")</f>
        <v>2673489.5000000005</v>
      </c>
      <c r="J21" s="351" cm="1">
        <f t="array" aca="1" ref="J21" ca="1">INDIRECT($B21&amp;"!Q18")+INDIRECT($B21&amp;"!Q19")</f>
        <v>1343.53</v>
      </c>
      <c r="K21" s="355">
        <f t="shared" ca="1" si="2"/>
        <v>1250.4628157156224</v>
      </c>
      <c r="L21" s="358">
        <f t="shared" ca="1" si="3"/>
        <v>-6.9270640986340171E-2</v>
      </c>
      <c r="M21" s="234" cm="1">
        <f t="array" aca="1" ref="M21" ca="1">INDIRECT($B21&amp;"!P36")+INDIRECT($B21&amp;"!P42")+INDIRECT($B21&amp;"!P49")</f>
        <v>960268.36052631564</v>
      </c>
      <c r="N21" s="351">
        <f t="shared" ca="1" si="4"/>
        <v>439.35000000000014</v>
      </c>
      <c r="O21" s="351">
        <f t="shared" ca="1" si="5"/>
        <v>449.14329304317852</v>
      </c>
      <c r="P21" s="358">
        <f t="shared" ca="1" si="6"/>
        <v>2.2290413208554405E-2</v>
      </c>
      <c r="Q21" s="234">
        <f t="shared" ca="1" si="7"/>
        <v>3633757.8605263159</v>
      </c>
      <c r="R21" s="351">
        <f t="shared" ca="1" si="8"/>
        <v>1782.88</v>
      </c>
      <c r="S21" s="351">
        <f t="shared" ca="1" si="9"/>
        <v>1699.6061087588007</v>
      </c>
      <c r="T21" s="358">
        <f t="shared" ca="1" si="10"/>
        <v>-4.6707513260118128E-2</v>
      </c>
      <c r="U21" s="343" cm="1">
        <f t="array" aca="1" ref="U21" ca="1">INDIRECT($B21&amp;"!P52")</f>
        <v>1422343.99</v>
      </c>
      <c r="V21" s="234" cm="1">
        <f t="array" aca="1" ref="V21" ca="1">INDIRECT($B21&amp;"!P54")</f>
        <v>0</v>
      </c>
      <c r="W21" s="367">
        <f ca="1">(V21/(Q21/COUNT(Summary!$P$42:$P$53)))-1</f>
        <v>-1</v>
      </c>
    </row>
    <row r="22" spans="2:23" ht="18.5" x14ac:dyDescent="0.45">
      <c r="B22" s="5" t="s">
        <v>267</v>
      </c>
      <c r="C22" s="235" t="str">
        <f>'HCC Data Entry'!I17</f>
        <v>Oil City Area School District</v>
      </c>
      <c r="D22" s="346">
        <f>SUMIF('Cash Flow Entry'!$B$3:$B$500,Performance!C22,'Cash Flow Entry'!$D$3:$D$500)</f>
        <v>1562</v>
      </c>
      <c r="E22" s="342" cm="1">
        <f t="array" aca="1" ref="E22" ca="1">INDIRECT($B22&amp;"!P10")</f>
        <v>3181004.7199999997</v>
      </c>
      <c r="F22" s="352" cm="1">
        <f t="array" aca="1" ref="F22" ca="1">INDIRECT($B22&amp;"!Q10")</f>
        <v>1832.52</v>
      </c>
      <c r="G22" s="356">
        <f t="shared" ca="1" si="0"/>
        <v>2036.4946991037129</v>
      </c>
      <c r="H22" s="359">
        <f t="shared" ca="1" si="1"/>
        <v>0.11130830719649065</v>
      </c>
      <c r="I22" s="342" cm="1">
        <f t="array" aca="1" ref="I22" ca="1">INDIRECT($B22&amp;"!P26")</f>
        <v>2570609.7599999993</v>
      </c>
      <c r="J22" s="352" cm="1">
        <f t="array" aca="1" ref="J22" ca="1">INDIRECT($B22&amp;"!Q18")+INDIRECT($B22&amp;"!Q19")</f>
        <v>1314.05</v>
      </c>
      <c r="K22" s="356">
        <f t="shared" ca="1" si="2"/>
        <v>1645.7168758002556</v>
      </c>
      <c r="L22" s="359">
        <f t="shared" ca="1" si="3"/>
        <v>0.25240049906796225</v>
      </c>
      <c r="M22" s="240" cm="1">
        <f t="array" aca="1" ref="M22" ca="1">INDIRECT($B22&amp;"!P36")+INDIRECT($B22&amp;"!P42")+INDIRECT($B22&amp;"!P49")</f>
        <v>765970.35382631584</v>
      </c>
      <c r="N22" s="352">
        <f t="shared" ca="1" si="4"/>
        <v>518.47</v>
      </c>
      <c r="O22" s="352">
        <f t="shared" ca="1" si="5"/>
        <v>490.37794739200757</v>
      </c>
      <c r="P22" s="359">
        <f t="shared" ca="1" si="6"/>
        <v>-5.4182599972982914E-2</v>
      </c>
      <c r="Q22" s="240">
        <f t="shared" ca="1" si="7"/>
        <v>3336580.1138263149</v>
      </c>
      <c r="R22" s="352">
        <f t="shared" ca="1" si="8"/>
        <v>1832.52</v>
      </c>
      <c r="S22" s="352">
        <f t="shared" ca="1" si="9"/>
        <v>2136.094823192263</v>
      </c>
      <c r="T22" s="359">
        <f t="shared" ca="1" si="10"/>
        <v>0.16565975988925796</v>
      </c>
      <c r="U22" s="344" cm="1">
        <f t="array" aca="1" ref="U22" ca="1">INDIRECT($B22&amp;"!P52")</f>
        <v>-52881.42</v>
      </c>
      <c r="V22" s="240" cm="1">
        <f t="array" aca="1" ref="V22" ca="1">INDIRECT($B22&amp;"!P54")</f>
        <v>0</v>
      </c>
      <c r="W22" s="368">
        <f ca="1">(V22/(Q22/COUNT(Summary!$P$42:$P$53)))-1</f>
        <v>-1</v>
      </c>
    </row>
    <row r="23" spans="2:23" ht="18.5" x14ac:dyDescent="0.45">
      <c r="B23" s="5" t="s">
        <v>259</v>
      </c>
      <c r="C23" s="161" t="str">
        <f>'HCC Data Entry'!I18</f>
        <v>Penncrest School District</v>
      </c>
      <c r="D23" s="345">
        <f>SUMIF('Cash Flow Entry'!$B$3:$B$500,Performance!C23,'Cash Flow Entry'!$D$3:$D$500)</f>
        <v>2481</v>
      </c>
      <c r="E23" s="341" cm="1">
        <f t="array" aca="1" ref="E23" ca="1">INDIRECT($B23&amp;"!P10")</f>
        <v>4954190.9699999988</v>
      </c>
      <c r="F23" s="351" cm="1">
        <f t="array" aca="1" ref="F23" ca="1">INDIRECT($B23&amp;"!Q10")</f>
        <v>2082.87</v>
      </c>
      <c r="G23" s="355">
        <f t="shared" ca="1" si="0"/>
        <v>1996.8524667472789</v>
      </c>
      <c r="H23" s="358">
        <f t="shared" ca="1" si="1"/>
        <v>-4.1297600547667845E-2</v>
      </c>
      <c r="I23" s="341" cm="1">
        <f t="array" aca="1" ref="I23" ca="1">INDIRECT($B23&amp;"!P26")</f>
        <v>4608440.1000000006</v>
      </c>
      <c r="J23" s="351" cm="1">
        <f t="array" aca="1" ref="J23" ca="1">INDIRECT($B23&amp;"!Q18")+INDIRECT($B23&amp;"!Q19")</f>
        <v>1588.58</v>
      </c>
      <c r="K23" s="355">
        <f t="shared" ca="1" si="2"/>
        <v>1857.4929866989119</v>
      </c>
      <c r="L23" s="358">
        <f t="shared" ca="1" si="3"/>
        <v>0.16927884443900343</v>
      </c>
      <c r="M23" s="234" cm="1">
        <f t="array" aca="1" ref="M23" ca="1">INDIRECT($B23&amp;"!P36")+INDIRECT($B23&amp;"!P42")+INDIRECT($B23&amp;"!P49")</f>
        <v>1148107.1605263157</v>
      </c>
      <c r="N23" s="351">
        <f t="shared" ca="1" si="4"/>
        <v>494.28999999999996</v>
      </c>
      <c r="O23" s="351">
        <f t="shared" ca="1" si="5"/>
        <v>462.75983898682614</v>
      </c>
      <c r="P23" s="358">
        <f t="shared" ca="1" si="6"/>
        <v>-6.378879000824178E-2</v>
      </c>
      <c r="Q23" s="234">
        <f t="shared" ca="1" si="7"/>
        <v>5756547.2605263162</v>
      </c>
      <c r="R23" s="351">
        <f t="shared" ca="1" si="8"/>
        <v>2082.87</v>
      </c>
      <c r="S23" s="351">
        <f t="shared" ca="1" si="9"/>
        <v>2320.2528256857381</v>
      </c>
      <c r="T23" s="358">
        <f t="shared" ca="1" si="10"/>
        <v>0.11396910305767438</v>
      </c>
      <c r="U23" s="343" cm="1">
        <f t="array" aca="1" ref="U23" ca="1">INDIRECT($B23&amp;"!P52")</f>
        <v>-2558738.54</v>
      </c>
      <c r="V23" s="234" cm="1">
        <f t="array" aca="1" ref="V23" ca="1">INDIRECT($B23&amp;"!P54")</f>
        <v>0</v>
      </c>
      <c r="W23" s="367">
        <f ca="1">(V23/(Q23/COUNT(Summary!$P$42:$P$53)))-1</f>
        <v>-1</v>
      </c>
    </row>
    <row r="24" spans="2:23" ht="18.5" x14ac:dyDescent="0.45">
      <c r="B24" s="5" t="s">
        <v>268</v>
      </c>
      <c r="C24" s="235" t="str">
        <f>'HCC Data Entry'!I19</f>
        <v>St Marys Area School District</v>
      </c>
      <c r="D24" s="346">
        <f>SUMIF('Cash Flow Entry'!$B$3:$B$500,Performance!C24,'Cash Flow Entry'!$D$3:$D$500)</f>
        <v>1524</v>
      </c>
      <c r="E24" s="342" cm="1">
        <f t="array" aca="1" ref="E24" ca="1">INDIRECT($B24&amp;"!P10")</f>
        <v>2879539.32</v>
      </c>
      <c r="F24" s="352" cm="1">
        <f t="array" aca="1" ref="F24" ca="1">INDIRECT($B24&amp;"!Q10")</f>
        <v>1752.28</v>
      </c>
      <c r="G24" s="356">
        <f t="shared" ca="1" si="0"/>
        <v>1889.461496062992</v>
      </c>
      <c r="H24" s="359">
        <f t="shared" ca="1" si="1"/>
        <v>7.8287428985659879E-2</v>
      </c>
      <c r="I24" s="342" cm="1">
        <f t="array" aca="1" ref="I24" ca="1">INDIRECT($B24&amp;"!P26")</f>
        <v>2434734.7000000002</v>
      </c>
      <c r="J24" s="352" cm="1">
        <f t="array" aca="1" ref="J24" ca="1">INDIRECT($B24&amp;"!Q18")+INDIRECT($B24&amp;"!Q19")</f>
        <v>1244.32</v>
      </c>
      <c r="K24" s="356">
        <f t="shared" ca="1" si="2"/>
        <v>1597.5949475065618</v>
      </c>
      <c r="L24" s="359">
        <f t="shared" ca="1" si="3"/>
        <v>0.28391004525086938</v>
      </c>
      <c r="M24" s="240" cm="1">
        <f t="array" aca="1" ref="M24" ca="1">INDIRECT($B24&amp;"!P36")+INDIRECT($B24&amp;"!P42")+INDIRECT($B24&amp;"!P49")</f>
        <v>724066.36052631587</v>
      </c>
      <c r="N24" s="352">
        <f t="shared" ca="1" si="4"/>
        <v>507.96000000000004</v>
      </c>
      <c r="O24" s="352">
        <f t="shared" ca="1" si="5"/>
        <v>475.10916045033849</v>
      </c>
      <c r="P24" s="359">
        <f t="shared" ca="1" si="6"/>
        <v>-6.4672099278804462E-2</v>
      </c>
      <c r="Q24" s="240">
        <f t="shared" ca="1" si="7"/>
        <v>3158801.0605263161</v>
      </c>
      <c r="R24" s="352">
        <f t="shared" ca="1" si="8"/>
        <v>1752.28</v>
      </c>
      <c r="S24" s="352">
        <f t="shared" ca="1" si="9"/>
        <v>2072.7041079569003</v>
      </c>
      <c r="T24" s="359">
        <f t="shared" ca="1" si="10"/>
        <v>0.18286124817774585</v>
      </c>
      <c r="U24" s="344" cm="1">
        <f t="array" aca="1" ref="U24" ca="1">INDIRECT($B24&amp;"!P52")</f>
        <v>-217825.55</v>
      </c>
      <c r="V24" s="240" cm="1">
        <f t="array" aca="1" ref="V24" ca="1">INDIRECT($B24&amp;"!P54")</f>
        <v>0</v>
      </c>
      <c r="W24" s="368">
        <f ca="1">(V24/(Q24/COUNT(Summary!$P$42:$P$53)))-1</f>
        <v>-1</v>
      </c>
    </row>
    <row r="25" spans="2:23" ht="18.5" x14ac:dyDescent="0.45">
      <c r="B25" s="5" t="s">
        <v>269</v>
      </c>
      <c r="C25" s="161" t="str">
        <f>'HCC Data Entry'!I20</f>
        <v>Valley Grove School District</v>
      </c>
      <c r="D25" s="345">
        <f>SUMIF('Cash Flow Entry'!$B$3:$B$500,Performance!C25,'Cash Flow Entry'!$D$3:$D$500)</f>
        <v>815</v>
      </c>
      <c r="E25" s="341" cm="1">
        <f t="array" aca="1" ref="E25" ca="1">INDIRECT($B25&amp;"!P10")</f>
        <v>1148406.0999999999</v>
      </c>
      <c r="F25" s="351" cm="1">
        <f t="array" aca="1" ref="F25" ca="1">INDIRECT($B25&amp;"!Q10")</f>
        <v>1879.99</v>
      </c>
      <c r="G25" s="355">
        <f t="shared" ca="1" si="0"/>
        <v>1409.0872392638034</v>
      </c>
      <c r="H25" s="358">
        <f t="shared" ca="1" si="1"/>
        <v>-0.25048152422948877</v>
      </c>
      <c r="I25" s="341" cm="1">
        <f t="array" aca="1" ref="I25" ca="1">INDIRECT($B25&amp;"!P26")</f>
        <v>1074697.1400000001</v>
      </c>
      <c r="J25" s="351" cm="1">
        <f t="array" aca="1" ref="J25" ca="1">INDIRECT($B25&amp;"!Q18")+INDIRECT($B25&amp;"!Q19")</f>
        <v>1260.77</v>
      </c>
      <c r="K25" s="355">
        <f t="shared" ca="1" si="2"/>
        <v>1318.6467975460125</v>
      </c>
      <c r="L25" s="358">
        <f t="shared" ca="1" si="3"/>
        <v>4.590591269304678E-2</v>
      </c>
      <c r="M25" s="234" cm="1">
        <f t="array" aca="1" ref="M25" ca="1">INDIRECT($B25&amp;"!P36")+INDIRECT($B25&amp;"!P42")+INDIRECT($B25&amp;"!P49")</f>
        <v>465739.36052631575</v>
      </c>
      <c r="N25" s="351">
        <f t="shared" ca="1" si="4"/>
        <v>619.22</v>
      </c>
      <c r="O25" s="351">
        <f t="shared" ca="1" si="5"/>
        <v>571.45933806909909</v>
      </c>
      <c r="P25" s="358">
        <f t="shared" ca="1" si="6"/>
        <v>-7.7130360664870223E-2</v>
      </c>
      <c r="Q25" s="234">
        <f t="shared" ca="1" si="7"/>
        <v>1540436.500526316</v>
      </c>
      <c r="R25" s="351">
        <f t="shared" ca="1" si="8"/>
        <v>1879.99</v>
      </c>
      <c r="S25" s="351">
        <f t="shared" ca="1" si="9"/>
        <v>1890.1061356151117</v>
      </c>
      <c r="T25" s="358">
        <f t="shared" ca="1" si="10"/>
        <v>5.3809518216116903E-3</v>
      </c>
      <c r="U25" s="343" cm="1">
        <f t="array" aca="1" ref="U25" ca="1">INDIRECT($B25&amp;"!P52")</f>
        <v>656789.22</v>
      </c>
      <c r="V25" s="234" cm="1">
        <f t="array" aca="1" ref="V25" ca="1">INDIRECT($B25&amp;"!P54")</f>
        <v>0</v>
      </c>
      <c r="W25" s="367">
        <f ca="1">(V25/(Q25/COUNT(Summary!$P$42:$P$53)))-1</f>
        <v>-1</v>
      </c>
    </row>
    <row r="26" spans="2:23" ht="18.5" x14ac:dyDescent="0.45">
      <c r="B26" s="5" t="s">
        <v>260</v>
      </c>
      <c r="C26" s="235" t="str">
        <f>'HCC Data Entry'!I21</f>
        <v>Venango Technology Center</v>
      </c>
      <c r="D26" s="346">
        <f>SUMIF('Cash Flow Entry'!$B$3:$B$500,Performance!C26,'Cash Flow Entry'!$D$3:$D$500)</f>
        <v>431</v>
      </c>
      <c r="E26" s="342" cm="1">
        <f t="array" aca="1" ref="E26" ca="1">INDIRECT($B26&amp;"!P10")</f>
        <v>802782.3</v>
      </c>
      <c r="F26" s="352" cm="1">
        <f t="array" aca="1" ref="F26" ca="1">INDIRECT($B26&amp;"!Q10")</f>
        <v>1904.15</v>
      </c>
      <c r="G26" s="356">
        <f t="shared" ca="1" si="0"/>
        <v>1862.6039443155453</v>
      </c>
      <c r="H26" s="359">
        <f t="shared" ca="1" si="1"/>
        <v>-2.1818688488015603E-2</v>
      </c>
      <c r="I26" s="342" cm="1">
        <f t="array" aca="1" ref="I26" ca="1">INDIRECT($B26&amp;"!P26")</f>
        <v>622665.86</v>
      </c>
      <c r="J26" s="352" cm="1">
        <f t="array" aca="1" ref="J26" ca="1">INDIRECT($B26&amp;"!Q18")+INDIRECT($B26&amp;"!Q19")</f>
        <v>1082.6399999999999</v>
      </c>
      <c r="K26" s="356">
        <f t="shared" ca="1" si="2"/>
        <v>1444.7003712296982</v>
      </c>
      <c r="L26" s="359">
        <f t="shared" ca="1" si="3"/>
        <v>0.33442360454971043</v>
      </c>
      <c r="M26" s="240" cm="1">
        <f t="array" aca="1" ref="M26" ca="1">INDIRECT($B26&amp;"!P36")+INDIRECT($B26&amp;"!P42")+INDIRECT($B26&amp;"!P49")</f>
        <v>322026.50052631588</v>
      </c>
      <c r="N26" s="352">
        <f t="shared" ca="1" si="4"/>
        <v>821.51000000000022</v>
      </c>
      <c r="O26" s="352">
        <f t="shared" ca="1" si="5"/>
        <v>747.16125412138251</v>
      </c>
      <c r="P26" s="359">
        <f t="shared" ca="1" si="6"/>
        <v>-9.0502545165144332E-2</v>
      </c>
      <c r="Q26" s="240">
        <f t="shared" ca="1" si="7"/>
        <v>944692.36052631587</v>
      </c>
      <c r="R26" s="352">
        <f t="shared" ca="1" si="8"/>
        <v>1904.15</v>
      </c>
      <c r="S26" s="352">
        <f t="shared" ca="1" si="9"/>
        <v>2191.8616253510809</v>
      </c>
      <c r="T26" s="359">
        <f t="shared" ca="1" si="10"/>
        <v>0.15109714326659174</v>
      </c>
      <c r="U26" s="344" cm="1">
        <f t="array" aca="1" ref="U26" ca="1">INDIRECT($B26&amp;"!P52")</f>
        <v>168949.46</v>
      </c>
      <c r="V26" s="240" cm="1">
        <f t="array" aca="1" ref="V26" ca="1">INDIRECT($B26&amp;"!P54")</f>
        <v>0</v>
      </c>
      <c r="W26" s="368">
        <f ca="1">(V26/(Q26/COUNT(Summary!$P$42:$P$53)))-1</f>
        <v>-1</v>
      </c>
    </row>
    <row r="27" spans="2:23" ht="18.5" x14ac:dyDescent="0.45">
      <c r="B27" s="5" t="s">
        <v>261</v>
      </c>
      <c r="C27" s="161" t="str">
        <f>'HCC Data Entry'!I22</f>
        <v>Wattsburg Area School District</v>
      </c>
      <c r="D27" s="345">
        <f>SUMIF('Cash Flow Entry'!$B$3:$B$500,Performance!C27,'Cash Flow Entry'!$D$3:$D$500)</f>
        <v>1231</v>
      </c>
      <c r="E27" s="341" cm="1">
        <f t="array" aca="1" ref="E27" ca="1">INDIRECT($B27&amp;"!P10")</f>
        <v>2307557.56</v>
      </c>
      <c r="F27" s="351" cm="1">
        <f t="array" aca="1" ref="F27" ca="1">INDIRECT($B27&amp;"!Q10")</f>
        <v>1934.42</v>
      </c>
      <c r="G27" s="355">
        <f t="shared" ca="1" si="0"/>
        <v>1874.5390414297319</v>
      </c>
      <c r="H27" s="358">
        <f t="shared" ca="1" si="1"/>
        <v>-3.0955510473562153E-2</v>
      </c>
      <c r="I27" s="341" cm="1">
        <f t="array" aca="1" ref="I27" ca="1">INDIRECT($B27&amp;"!P26")</f>
        <v>2076641.28</v>
      </c>
      <c r="J27" s="351" cm="1">
        <f t="array" aca="1" ref="J27" ca="1">INDIRECT($B27&amp;"!Q18")+INDIRECT($B27&amp;"!Q19")</f>
        <v>1312.19</v>
      </c>
      <c r="K27" s="355">
        <f t="shared" ca="1" si="2"/>
        <v>1686.9547359870026</v>
      </c>
      <c r="L27" s="358">
        <f t="shared" ca="1" si="3"/>
        <v>0.28560249353142653</v>
      </c>
      <c r="M27" s="234" cm="1">
        <f t="array" aca="1" ref="M27" ca="1">INDIRECT($B27&amp;"!P36")+INDIRECT($B27&amp;"!P42")+INDIRECT($B27&amp;"!P49")</f>
        <v>709325.60052631586</v>
      </c>
      <c r="N27" s="351">
        <f t="shared" ca="1" si="4"/>
        <v>622.23</v>
      </c>
      <c r="O27" s="351">
        <f t="shared" ca="1" si="5"/>
        <v>576.21900936337602</v>
      </c>
      <c r="P27" s="358">
        <f t="shared" ca="1" si="6"/>
        <v>-7.394531063533416E-2</v>
      </c>
      <c r="Q27" s="234">
        <f t="shared" ca="1" si="7"/>
        <v>2785966.8805263159</v>
      </c>
      <c r="R27" s="351">
        <f t="shared" ca="1" si="8"/>
        <v>1934.42</v>
      </c>
      <c r="S27" s="351">
        <f t="shared" ca="1" si="9"/>
        <v>2263.1737453503783</v>
      </c>
      <c r="T27" s="358">
        <f t="shared" ca="1" si="10"/>
        <v>0.16994951734906505</v>
      </c>
      <c r="U27" s="343" cm="1">
        <f t="array" aca="1" ref="U27" ca="1">INDIRECT($B27&amp;"!P52")</f>
        <v>1380094.92</v>
      </c>
      <c r="V27" s="234" cm="1">
        <f t="array" aca="1" ref="V27" ca="1">INDIRECT($B27&amp;"!P54")</f>
        <v>0</v>
      </c>
      <c r="W27" s="367">
        <f ca="1">(V27/(Q27/COUNT(Summary!$P$42:$P$53)))-1</f>
        <v>-1</v>
      </c>
    </row>
    <row r="28" spans="2:23" s="210" customFormat="1" ht="18.5" x14ac:dyDescent="0.45">
      <c r="C28" s="241"/>
      <c r="D28" s="347">
        <f>SUM(D9:D27)</f>
        <v>27353</v>
      </c>
      <c r="E28" s="354">
        <f ca="1">SUM(E9:E27)</f>
        <v>47200695.780000001</v>
      </c>
      <c r="F28" s="353">
        <f ca="1">SUMPRODUCT($D$9:$D$27,F9:F27)/$D$28</f>
        <v>1830.8156856651919</v>
      </c>
      <c r="G28" s="357">
        <f ca="1">E28/$D28</f>
        <v>1725.6131239717765</v>
      </c>
      <c r="H28" s="360">
        <f t="shared" ca="1" si="1"/>
        <v>-5.7462126044212969E-2</v>
      </c>
      <c r="I28" s="354">
        <f ca="1">SUM(I9:I27)</f>
        <v>40327425.410000004</v>
      </c>
      <c r="J28" s="353">
        <f ca="1">SUMPRODUCT($D$9:$D$27,J9:J27)/$D$28</f>
        <v>1261.1544748290864</v>
      </c>
      <c r="K28" s="357">
        <f t="shared" ca="1" si="2"/>
        <v>1474.3328121229849</v>
      </c>
      <c r="L28" s="360">
        <f t="shared" ca="1" si="3"/>
        <v>0.1690342789473025</v>
      </c>
      <c r="M28" s="242">
        <f ca="1">SUM(M9:M27)</f>
        <v>14527959.035600001</v>
      </c>
      <c r="N28" s="353">
        <f ca="1">F28-J28</f>
        <v>569.66121083610551</v>
      </c>
      <c r="O28" s="353">
        <f ca="1">M28/$D28</f>
        <v>531.12854296055286</v>
      </c>
      <c r="P28" s="360">
        <f t="shared" ca="1" si="6"/>
        <v>-6.7641375509835622E-2</v>
      </c>
      <c r="Q28" s="242">
        <f t="shared" ref="Q28" ca="1" si="11">SUM(Q9:Q27)</f>
        <v>54855384.445600003</v>
      </c>
      <c r="R28" s="353">
        <f t="shared" ca="1" si="8"/>
        <v>1830.8156856651919</v>
      </c>
      <c r="S28" s="353">
        <f t="shared" ca="1" si="9"/>
        <v>2005.4613550835375</v>
      </c>
      <c r="T28" s="360">
        <f t="shared" ca="1" si="10"/>
        <v>9.5392272846346771E-2</v>
      </c>
      <c r="U28" s="245">
        <f t="shared" ref="U28:V28" ca="1" si="12">SUM(U9:U27)</f>
        <v>7004354.7600000007</v>
      </c>
      <c r="V28" s="242">
        <f t="shared" ca="1" si="12"/>
        <v>0</v>
      </c>
      <c r="W28" s="369">
        <f ca="1">(V28/(Q28/COUNT(Summary!$P$42:$P$53)))-1</f>
        <v>-1</v>
      </c>
    </row>
    <row r="29" spans="2:23" x14ac:dyDescent="0.35"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</row>
    <row r="30" spans="2:23" x14ac:dyDescent="0.35"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</row>
    <row r="31" spans="2:23" x14ac:dyDescent="0.35"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</row>
    <row r="32" spans="2:23" x14ac:dyDescent="0.35"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</row>
    <row r="33" spans="3:23" x14ac:dyDescent="0.35"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</row>
  </sheetData>
  <mergeCells count="12">
    <mergeCell ref="V7:V8"/>
    <mergeCell ref="W7:W8"/>
    <mergeCell ref="M7:P7"/>
    <mergeCell ref="C2:W2"/>
    <mergeCell ref="C3:W3"/>
    <mergeCell ref="C5:W5"/>
    <mergeCell ref="U7:U8"/>
    <mergeCell ref="Q7:T7"/>
    <mergeCell ref="C7:C8"/>
    <mergeCell ref="D7:D8"/>
    <mergeCell ref="I7:L7"/>
    <mergeCell ref="E7:H7"/>
  </mergeCells>
  <printOptions horizontalCentered="1"/>
  <pageMargins left="0.7" right="0.7" top="0.75" bottom="0.75" header="0.3" footer="0.3"/>
  <pageSetup scale="39" fitToHeight="0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5A7ED-B13A-4E76-A8F9-2250109D1741}">
  <sheetPr codeName="Sheet8">
    <tabColor theme="5" tint="-0.249977111117893"/>
    <pageSetUpPr fitToPage="1"/>
  </sheetPr>
  <dimension ref="B1:N34"/>
  <sheetViews>
    <sheetView view="pageBreakPreview" topLeftCell="A5" zoomScale="70" zoomScaleNormal="80" zoomScaleSheetLayoutView="70" workbookViewId="0">
      <selection activeCell="H7" sqref="H1:J1048576"/>
    </sheetView>
  </sheetViews>
  <sheetFormatPr defaultColWidth="9.1796875" defaultRowHeight="14.5" x14ac:dyDescent="0.35"/>
  <cols>
    <col min="1" max="1" width="1" customWidth="1"/>
    <col min="2" max="2" width="17.453125" hidden="1" customWidth="1"/>
    <col min="3" max="3" width="50.54296875" bestFit="1" customWidth="1"/>
    <col min="4" max="4" width="16.453125" bestFit="1" customWidth="1"/>
    <col min="5" max="6" width="13.7265625" customWidth="1"/>
    <col min="7" max="7" width="19.7265625" bestFit="1" customWidth="1"/>
    <col min="8" max="8" width="19.453125" hidden="1" customWidth="1"/>
    <col min="9" max="9" width="19.7265625" hidden="1" customWidth="1"/>
    <col min="10" max="10" width="24.453125" hidden="1" customWidth="1"/>
    <col min="11" max="11" width="20.54296875" bestFit="1" customWidth="1"/>
    <col min="12" max="12" width="21.81640625" customWidth="1"/>
  </cols>
  <sheetData>
    <row r="1" spans="2:14" ht="5.25" customHeight="1" x14ac:dyDescent="0.35"/>
    <row r="2" spans="2:14" ht="23.5" x14ac:dyDescent="0.55000000000000004">
      <c r="C2" s="603" t="str">
        <f>Narrative!H5</f>
        <v>NOREBT</v>
      </c>
      <c r="D2" s="603"/>
      <c r="E2" s="603"/>
      <c r="F2" s="603"/>
      <c r="G2" s="603"/>
      <c r="H2" s="603"/>
      <c r="I2" s="603"/>
      <c r="J2" s="603"/>
      <c r="K2" s="603"/>
      <c r="L2" s="416"/>
    </row>
    <row r="3" spans="2:14" ht="18.5" x14ac:dyDescent="0.45">
      <c r="C3" s="604" t="s">
        <v>280</v>
      </c>
      <c r="D3" s="604"/>
      <c r="E3" s="604"/>
      <c r="F3" s="604"/>
      <c r="G3" s="604"/>
      <c r="H3" s="604"/>
      <c r="I3" s="604"/>
      <c r="J3" s="604"/>
      <c r="K3" s="604"/>
      <c r="L3" s="417"/>
    </row>
    <row r="4" spans="2:14" ht="18.5" x14ac:dyDescent="0.45">
      <c r="C4" s="203"/>
      <c r="D4" s="203"/>
      <c r="E4" s="203"/>
      <c r="F4" s="203"/>
      <c r="G4" s="203"/>
      <c r="H4" s="203"/>
      <c r="I4" s="203"/>
      <c r="J4" s="203"/>
      <c r="K4" s="203"/>
      <c r="L4" s="203"/>
    </row>
    <row r="5" spans="2:14" ht="18.5" x14ac:dyDescent="0.45">
      <c r="C5" s="619" t="str">
        <f>'HCC Detail'!B5</f>
        <v>Claims &gt;$25,000, Mini-Pool Threshold $300,000</v>
      </c>
      <c r="D5" s="619"/>
      <c r="E5" s="619"/>
      <c r="F5" s="619"/>
      <c r="G5" s="619"/>
      <c r="H5" s="619"/>
      <c r="I5" s="619"/>
      <c r="J5" s="619"/>
      <c r="K5" s="619"/>
      <c r="L5" s="418"/>
    </row>
    <row r="6" spans="2:14" ht="18.5" x14ac:dyDescent="0.45">
      <c r="C6" s="618" t="str">
        <f>Addendum!E6</f>
        <v>Claims Paid July 2024 through February 2025</v>
      </c>
      <c r="D6" s="618"/>
      <c r="E6" s="618"/>
      <c r="F6" s="618"/>
      <c r="G6" s="618"/>
      <c r="H6" s="618"/>
      <c r="I6" s="618"/>
      <c r="J6" s="618"/>
      <c r="K6" s="618"/>
      <c r="L6" s="204"/>
    </row>
    <row r="7" spans="2:14" ht="18.5" x14ac:dyDescent="0.45">
      <c r="C7" s="204"/>
      <c r="D7" s="204"/>
      <c r="E7" s="204"/>
      <c r="F7" s="204"/>
      <c r="G7" s="204"/>
      <c r="H7" s="204"/>
      <c r="I7" s="204"/>
      <c r="J7" s="204"/>
      <c r="K7" s="204"/>
      <c r="L7" s="204"/>
    </row>
    <row r="8" spans="2:14" ht="18.5" x14ac:dyDescent="0.45">
      <c r="C8" s="605" t="s">
        <v>152</v>
      </c>
      <c r="D8" s="605" t="s">
        <v>156</v>
      </c>
      <c r="E8" s="638" t="s">
        <v>283</v>
      </c>
      <c r="F8" s="639"/>
      <c r="G8" s="638" t="s">
        <v>282</v>
      </c>
      <c r="H8" s="639"/>
      <c r="I8" s="640" t="s">
        <v>351</v>
      </c>
      <c r="J8" s="633" t="s">
        <v>286</v>
      </c>
      <c r="K8" s="605" t="s">
        <v>287</v>
      </c>
      <c r="L8" s="633" t="s">
        <v>361</v>
      </c>
    </row>
    <row r="9" spans="2:14" ht="18.5" x14ac:dyDescent="0.45">
      <c r="B9" s="5"/>
      <c r="C9" s="605"/>
      <c r="D9" s="605"/>
      <c r="E9" s="348" t="s">
        <v>284</v>
      </c>
      <c r="F9" s="350" t="s">
        <v>285</v>
      </c>
      <c r="G9" s="348" t="s">
        <v>281</v>
      </c>
      <c r="H9" s="349" t="s">
        <v>158</v>
      </c>
      <c r="I9" s="640"/>
      <c r="J9" s="633"/>
      <c r="K9" s="605"/>
      <c r="L9" s="633"/>
    </row>
    <row r="10" spans="2:14" ht="18.5" x14ac:dyDescent="0.45">
      <c r="B10" s="5" t="s">
        <v>252</v>
      </c>
      <c r="C10" s="161" t="str">
        <f>'HCC Data Entry'!I4</f>
        <v>Conneaut School District</v>
      </c>
      <c r="D10" s="230">
        <f>'HCC Data Entry'!J4</f>
        <v>68000</v>
      </c>
      <c r="E10" s="231">
        <f>COUNTIF('HCC Detail'!$B$9:$B$500,'MiniPool Integrity'!$C10)</f>
        <v>24</v>
      </c>
      <c r="F10" s="363">
        <f>COUNTIFS('HCC Detail'!$B$9:$B$500,'MiniPool Integrity'!$C10,'HCC Detail'!$H$9:$H$500,"&gt;0")</f>
        <v>9</v>
      </c>
      <c r="G10" s="341" cm="1">
        <f t="array" aca="1" ref="G10" ca="1">INDIRECT($B10&amp;"!P38")</f>
        <v>169390.55</v>
      </c>
      <c r="H10" s="497" cm="1">
        <f t="array" aca="1" ref="H10" ca="1">INDIRECT($B10&amp;"!P39")</f>
        <v>706530.6</v>
      </c>
      <c r="I10" s="555"/>
      <c r="J10" s="234" cm="1">
        <f t="array" aca="1" ref="J10" ca="1">INDIRECT($B10&amp;"!P21")</f>
        <v>-531070.79</v>
      </c>
      <c r="K10" s="234">
        <f ca="1">SUM(H10:J10)</f>
        <v>175459.80999999994</v>
      </c>
      <c r="L10" s="341">
        <f>SUMIF('HCC Detail'!$B$9:$B$500,$C10,'HCC Detail'!$J$9:$J$500)</f>
        <v>0</v>
      </c>
    </row>
    <row r="11" spans="2:14" ht="18.5" x14ac:dyDescent="0.45">
      <c r="B11" s="5" t="s">
        <v>253</v>
      </c>
      <c r="C11" s="235" t="str">
        <f>'HCC Data Entry'!I5</f>
        <v>Corry Area School District</v>
      </c>
      <c r="D11" s="236">
        <f>'HCC Data Entry'!J5</f>
        <v>68000</v>
      </c>
      <c r="E11" s="237">
        <f>COUNTIF('HCC Detail'!$B$9:$B$500,'MiniPool Integrity'!$C11)</f>
        <v>24</v>
      </c>
      <c r="F11" s="364">
        <f>COUNTIFS('HCC Detail'!$B$9:$B$500,'MiniPool Integrity'!$C11,'HCC Detail'!$H$9:$H$500,"&gt;0")</f>
        <v>8</v>
      </c>
      <c r="G11" s="342" cm="1">
        <f t="array" aca="1" ref="G11" ca="1">INDIRECT($B11&amp;"!P38")</f>
        <v>201688.34</v>
      </c>
      <c r="H11" s="498" cm="1">
        <f t="array" aca="1" ref="H11" ca="1">INDIRECT($B11&amp;"!P39")</f>
        <v>841927.27999999991</v>
      </c>
      <c r="I11" s="556"/>
      <c r="J11" s="240" cm="1">
        <f t="array" aca="1" ref="J11" ca="1">INDIRECT($B11&amp;"!P21")</f>
        <v>-382353.83</v>
      </c>
      <c r="K11" s="240">
        <f t="shared" ref="K11:K28" ca="1" si="0">SUM(H11:J11)</f>
        <v>459573.4499999999</v>
      </c>
      <c r="L11" s="342">
        <f>SUMIF('HCC Detail'!$B$9:$B$500,$C11,'HCC Detail'!$J$9:$J$500)</f>
        <v>0</v>
      </c>
    </row>
    <row r="12" spans="2:14" ht="18.5" x14ac:dyDescent="0.45">
      <c r="B12" s="5" t="s">
        <v>254</v>
      </c>
      <c r="C12" s="161" t="str">
        <f>'HCC Data Entry'!I6</f>
        <v>Crawford County Career &amp; Technical Center</v>
      </c>
      <c r="D12" s="230">
        <f>'HCC Data Entry'!J6</f>
        <v>50000</v>
      </c>
      <c r="E12" s="231">
        <f>COUNTIF('HCC Detail'!$B$9:$B$500,'MiniPool Integrity'!$C12)</f>
        <v>6</v>
      </c>
      <c r="F12" s="363">
        <f>COUNTIFS('HCC Detail'!$B$9:$B$500,'MiniPool Integrity'!$C12,'HCC Detail'!$H$9:$H$500,"&gt;0")</f>
        <v>1</v>
      </c>
      <c r="G12" s="341" cm="1">
        <f t="array" aca="1" ref="G12" ca="1">INDIRECT($B12&amp;"!P38")</f>
        <v>30519.929999999993</v>
      </c>
      <c r="H12" s="497" cm="1">
        <f t="array" aca="1" ref="H12" ca="1">INDIRECT($B12&amp;"!P39")</f>
        <v>181986.65999999997</v>
      </c>
      <c r="I12" s="555"/>
      <c r="J12" s="234" cm="1">
        <f t="array" aca="1" ref="J12" ca="1">INDIRECT($B12&amp;"!P21")</f>
        <v>-28063.62</v>
      </c>
      <c r="K12" s="234">
        <f t="shared" ca="1" si="0"/>
        <v>153923.03999999998</v>
      </c>
      <c r="L12" s="341">
        <f>SUMIF('HCC Detail'!$B$9:$B$500,$C12,'HCC Detail'!$J$9:$J$500)</f>
        <v>0</v>
      </c>
      <c r="N12" s="499"/>
    </row>
    <row r="13" spans="2:14" ht="18.5" x14ac:dyDescent="0.45">
      <c r="B13" s="5" t="s">
        <v>255</v>
      </c>
      <c r="C13" s="235" t="str">
        <f>'HCC Data Entry'!I7</f>
        <v>Erie County Technical School</v>
      </c>
      <c r="D13" s="236">
        <f>'HCC Data Entry'!J7</f>
        <v>50000</v>
      </c>
      <c r="E13" s="237">
        <f>COUNTIF('HCC Detail'!$B$9:$B$500,'MiniPool Integrity'!$C13)</f>
        <v>5</v>
      </c>
      <c r="F13" s="364">
        <f>COUNTIFS('HCC Detail'!$B$9:$B$500,'MiniPool Integrity'!$C13,'HCC Detail'!$H$9:$H$500,"&gt;0")</f>
        <v>3</v>
      </c>
      <c r="G13" s="342" cm="1">
        <f t="array" aca="1" ref="G13" ca="1">INDIRECT($B13&amp;"!P38")</f>
        <v>34470.729999999996</v>
      </c>
      <c r="H13" s="498" cm="1">
        <f t="array" aca="1" ref="H13" ca="1">INDIRECT($B13&amp;"!P39")</f>
        <v>203696.26</v>
      </c>
      <c r="I13" s="556"/>
      <c r="J13" s="240" cm="1">
        <f t="array" aca="1" ref="J13" ca="1">INDIRECT($B13&amp;"!P21")</f>
        <v>-110956.54</v>
      </c>
      <c r="K13" s="240">
        <f t="shared" ca="1" si="0"/>
        <v>92739.720000000016</v>
      </c>
      <c r="L13" s="342">
        <f>SUMIF('HCC Detail'!$B$9:$B$500,$C13,'HCC Detail'!$J$9:$J$500)</f>
        <v>0</v>
      </c>
    </row>
    <row r="14" spans="2:14" ht="18.5" x14ac:dyDescent="0.45">
      <c r="B14" s="5" t="s">
        <v>256</v>
      </c>
      <c r="C14" s="161" t="str">
        <f>'HCC Data Entry'!I8</f>
        <v>Fairview School District</v>
      </c>
      <c r="D14" s="230">
        <f>'HCC Data Entry'!J8</f>
        <v>68000</v>
      </c>
      <c r="E14" s="231">
        <f>COUNTIF('HCC Detail'!$B$9:$B$500,'MiniPool Integrity'!$C14)</f>
        <v>24</v>
      </c>
      <c r="F14" s="363">
        <f>COUNTIFS('HCC Detail'!$B$9:$B$500,'MiniPool Integrity'!$C14,'HCC Detail'!$H$9:$H$500,"&gt;0")</f>
        <v>12</v>
      </c>
      <c r="G14" s="341" cm="1">
        <f t="array" aca="1" ref="G14" ca="1">INDIRECT($B14&amp;"!P38")</f>
        <v>144006.66</v>
      </c>
      <c r="H14" s="497" cm="1">
        <f t="array" aca="1" ref="H14" ca="1">INDIRECT($B14&amp;"!P39")</f>
        <v>599612.72</v>
      </c>
      <c r="I14" s="555"/>
      <c r="J14" s="234" cm="1">
        <f t="array" aca="1" ref="J14" ca="1">INDIRECT($B14&amp;"!P21")</f>
        <v>-1053855.3500000001</v>
      </c>
      <c r="K14" s="234">
        <f t="shared" ca="1" si="0"/>
        <v>-454242.63000000012</v>
      </c>
      <c r="L14" s="341">
        <f>SUMIF('HCC Detail'!$B$9:$B$500,$C14,'HCC Detail'!$J$9:$J$500)</f>
        <v>821373.99</v>
      </c>
    </row>
    <row r="15" spans="2:14" ht="18.5" x14ac:dyDescent="0.45">
      <c r="B15" s="5" t="s">
        <v>264</v>
      </c>
      <c r="C15" s="235" t="str">
        <f>'HCC Data Entry'!I9</f>
        <v>Ft LeBoeuf School District</v>
      </c>
      <c r="D15" s="236">
        <f>'HCC Data Entry'!J9</f>
        <v>85000</v>
      </c>
      <c r="E15" s="237">
        <f>COUNTIF('HCC Detail'!$B$9:$B$500,'MiniPool Integrity'!$C15)</f>
        <v>18</v>
      </c>
      <c r="F15" s="364">
        <f>COUNTIFS('HCC Detail'!$B$9:$B$500,'MiniPool Integrity'!$C15,'HCC Detail'!$H$9:$H$500,"&gt;0")</f>
        <v>6</v>
      </c>
      <c r="G15" s="342" cm="1">
        <f t="array" aca="1" ref="G15" ca="1">INDIRECT($B15&amp;"!P38")</f>
        <v>223714.04999999996</v>
      </c>
      <c r="H15" s="498" cm="1">
        <f t="array" aca="1" ref="H15" ca="1">INDIRECT($B15&amp;"!P39")</f>
        <v>695335.99999999988</v>
      </c>
      <c r="I15" s="556"/>
      <c r="J15" s="240" cm="1">
        <f t="array" aca="1" ref="J15" ca="1">INDIRECT($B15&amp;"!P21")</f>
        <v>-465617.89000000007</v>
      </c>
      <c r="K15" s="240">
        <f t="shared" ca="1" si="0"/>
        <v>229718.10999999981</v>
      </c>
      <c r="L15" s="342">
        <f>SUMIF('HCC Detail'!$B$9:$B$500,$C15,'HCC Detail'!$J$9:$J$500)</f>
        <v>297112.43000000005</v>
      </c>
    </row>
    <row r="16" spans="2:14" ht="18.5" x14ac:dyDescent="0.45">
      <c r="B16" s="5" t="s">
        <v>257</v>
      </c>
      <c r="C16" s="161" t="str">
        <f>'HCC Data Entry'!I10</f>
        <v>Franklin Area School District</v>
      </c>
      <c r="D16" s="230">
        <f>'HCC Data Entry'!J10</f>
        <v>85000</v>
      </c>
      <c r="E16" s="231">
        <f>COUNTIF('HCC Detail'!$B$9:$B$500,'MiniPool Integrity'!$C16)</f>
        <v>13</v>
      </c>
      <c r="F16" s="363">
        <f>COUNTIFS('HCC Detail'!$B$9:$B$500,'MiniPool Integrity'!$C16,'HCC Detail'!$H$9:$H$500,"&gt;0")</f>
        <v>5</v>
      </c>
      <c r="G16" s="341" cm="1">
        <f t="array" aca="1" ref="G16" ca="1">INDIRECT($B16&amp;"!P38")</f>
        <v>195367.05999999997</v>
      </c>
      <c r="H16" s="497" cm="1">
        <f t="array" aca="1" ref="H16" ca="1">INDIRECT($B16&amp;"!P39")</f>
        <v>790949.9800000001</v>
      </c>
      <c r="I16" s="555"/>
      <c r="J16" s="234" cm="1">
        <f t="array" aca="1" ref="J16" ca="1">INDIRECT($B16&amp;"!P21")</f>
        <v>-324117.78000000003</v>
      </c>
      <c r="K16" s="234">
        <f t="shared" ca="1" si="0"/>
        <v>466832.20000000007</v>
      </c>
      <c r="L16" s="341">
        <f>SUMIF('HCC Detail'!$B$9:$B$500,$C16,'HCC Detail'!$J$9:$J$500)</f>
        <v>48982.25</v>
      </c>
    </row>
    <row r="17" spans="2:13" ht="18.5" x14ac:dyDescent="0.45">
      <c r="B17" s="5" t="s">
        <v>258</v>
      </c>
      <c r="C17" s="235" t="str">
        <f>'HCC Data Entry'!I11</f>
        <v>Girard School District</v>
      </c>
      <c r="D17" s="236">
        <f>'HCC Data Entry'!J11</f>
        <v>68000</v>
      </c>
      <c r="E17" s="237">
        <f>COUNTIF('HCC Detail'!$B$9:$B$500,'MiniPool Integrity'!$C17)</f>
        <v>17</v>
      </c>
      <c r="F17" s="364">
        <f>COUNTIFS('HCC Detail'!$B$9:$B$500,'MiniPool Integrity'!$C17,'HCC Detail'!$H$9:$H$500,"&gt;0")</f>
        <v>4</v>
      </c>
      <c r="G17" s="342" cm="1">
        <f t="array" aca="1" ref="G17" ca="1">INDIRECT($B17&amp;"!P38")</f>
        <v>156155.37</v>
      </c>
      <c r="H17" s="498" cm="1">
        <f t="array" aca="1" ref="H17" ca="1">INDIRECT($B17&amp;"!P39")</f>
        <v>653094.03999999992</v>
      </c>
      <c r="I17" s="556"/>
      <c r="J17" s="240" cm="1">
        <f t="array" aca="1" ref="J17" ca="1">INDIRECT($B17&amp;"!P21")</f>
        <v>-139749.03</v>
      </c>
      <c r="K17" s="240">
        <f t="shared" ca="1" si="0"/>
        <v>513345.00999999989</v>
      </c>
      <c r="L17" s="342">
        <f>SUMIF('HCC Detail'!$B$9:$B$500,$C17,'HCC Detail'!$J$9:$J$500)</f>
        <v>0</v>
      </c>
    </row>
    <row r="18" spans="2:13" ht="18.5" x14ac:dyDescent="0.45">
      <c r="B18" s="5" t="s">
        <v>265</v>
      </c>
      <c r="C18" s="161" t="str">
        <f>'HCC Data Entry'!I12</f>
        <v>Harborcreek School District</v>
      </c>
      <c r="D18" s="230">
        <f>'HCC Data Entry'!J12</f>
        <v>68000</v>
      </c>
      <c r="E18" s="231">
        <f>COUNTIF('HCC Detail'!$B$9:$B$500,'MiniPool Integrity'!$C18)</f>
        <v>25</v>
      </c>
      <c r="F18" s="363">
        <f>COUNTIFS('HCC Detail'!$B$9:$B$500,'MiniPool Integrity'!$C18,'HCC Detail'!$H$9:$H$500,"&gt;0")</f>
        <v>11</v>
      </c>
      <c r="G18" s="341" cm="1">
        <f t="array" aca="1" ref="G18" ca="1">INDIRECT($B18&amp;"!P38")</f>
        <v>173538.88999999998</v>
      </c>
      <c r="H18" s="497" cm="1">
        <f t="array" aca="1" ref="H18" ca="1">INDIRECT($B18&amp;"!P39")</f>
        <v>722577.88</v>
      </c>
      <c r="I18" s="555"/>
      <c r="J18" s="234" cm="1">
        <f t="array" aca="1" ref="J18" ca="1">INDIRECT($B18&amp;"!P21")</f>
        <v>-811352.76</v>
      </c>
      <c r="K18" s="234">
        <f t="shared" ca="1" si="0"/>
        <v>-88774.88</v>
      </c>
      <c r="L18" s="341">
        <f>SUMIF('HCC Detail'!$B$9:$B$500,$C18,'HCC Detail'!$J$9:$J$500)</f>
        <v>149444.15000000002</v>
      </c>
    </row>
    <row r="19" spans="2:13" ht="18.5" x14ac:dyDescent="0.45">
      <c r="B19" s="5" t="s">
        <v>248</v>
      </c>
      <c r="C19" s="235" t="str">
        <f>'HCC Data Entry'!I13</f>
        <v>Iroquois School District</v>
      </c>
      <c r="D19" s="236">
        <f>'HCC Data Entry'!J13</f>
        <v>68000</v>
      </c>
      <c r="E19" s="237">
        <f>COUNTIF('HCC Detail'!$B$9:$B$500,'MiniPool Integrity'!$C19)</f>
        <v>11</v>
      </c>
      <c r="F19" s="364">
        <f>COUNTIFS('HCC Detail'!$B$9:$B$500,'MiniPool Integrity'!$C19,'HCC Detail'!$H$9:$H$500,"&gt;0")</f>
        <v>2</v>
      </c>
      <c r="G19" s="342" cm="1">
        <f t="array" aca="1" ref="G19" ca="1">INDIRECT($B19&amp;"!P38")</f>
        <v>124450.2</v>
      </c>
      <c r="H19" s="498" cm="1">
        <f t="array" aca="1" ref="H19" ca="1">INDIRECT($B19&amp;"!P39")</f>
        <v>517018.39999999991</v>
      </c>
      <c r="I19" s="556"/>
      <c r="J19" s="240" cm="1">
        <f t="array" aca="1" ref="J19" ca="1">INDIRECT($B19&amp;"!P21")</f>
        <v>-261056.38</v>
      </c>
      <c r="K19" s="240">
        <f t="shared" ca="1" si="0"/>
        <v>255962.0199999999</v>
      </c>
      <c r="L19" s="342">
        <f>SUMIF('HCC Detail'!$B$9:$B$500,$C19,'HCC Detail'!$J$9:$J$500)</f>
        <v>100902.15999999997</v>
      </c>
    </row>
    <row r="20" spans="2:13" ht="18.5" x14ac:dyDescent="0.45">
      <c r="B20" s="5" t="s">
        <v>262</v>
      </c>
      <c r="C20" s="161" t="str">
        <f>'HCC Data Entry'!I14</f>
        <v>North East School District</v>
      </c>
      <c r="D20" s="230">
        <f>'HCC Data Entry'!J14</f>
        <v>85000</v>
      </c>
      <c r="E20" s="231">
        <f>COUNTIF('HCC Detail'!$B$9:$B$500,'MiniPool Integrity'!$C20)</f>
        <v>8</v>
      </c>
      <c r="F20" s="363">
        <f>COUNTIFS('HCC Detail'!$B$9:$B$500,'MiniPool Integrity'!$C20,'HCC Detail'!$H$9:$H$500,"&gt;0")</f>
        <v>4</v>
      </c>
      <c r="G20" s="341" cm="1">
        <f t="array" aca="1" ref="G20" ca="1">INDIRECT($B20&amp;"!P38")</f>
        <v>126919.45000000001</v>
      </c>
      <c r="H20" s="497" cm="1">
        <f t="array" aca="1" ref="H20" ca="1">INDIRECT($B20&amp;"!P39")</f>
        <v>373623.99999999994</v>
      </c>
      <c r="I20" s="555"/>
      <c r="J20" s="234" cm="1">
        <f t="array" aca="1" ref="J20" ca="1">INDIRECT($B20&amp;"!P21")</f>
        <v>-277621.23</v>
      </c>
      <c r="K20" s="234">
        <f t="shared" ca="1" si="0"/>
        <v>96002.76999999996</v>
      </c>
      <c r="L20" s="341">
        <f>SUMIF('HCC Detail'!$B$9:$B$500,$C20,'HCC Detail'!$J$9:$J$500)</f>
        <v>0</v>
      </c>
    </row>
    <row r="21" spans="2:13" ht="18.5" x14ac:dyDescent="0.45">
      <c r="B21" s="5" t="s">
        <v>263</v>
      </c>
      <c r="C21" s="235" t="str">
        <f>'HCC Data Entry'!I15</f>
        <v>Northwestern School District</v>
      </c>
      <c r="D21" s="236">
        <f>'HCC Data Entry'!J15</f>
        <v>75000</v>
      </c>
      <c r="E21" s="237">
        <f>COUNTIF('HCC Detail'!$B$9:$B$500,'MiniPool Integrity'!$C21)</f>
        <v>16</v>
      </c>
      <c r="F21" s="364">
        <f>COUNTIFS('HCC Detail'!$B$9:$B$500,'MiniPool Integrity'!$C21,'HCC Detail'!$H$9:$H$500,"&gt;0")</f>
        <v>7</v>
      </c>
      <c r="G21" s="342" cm="1">
        <f t="array" aca="1" ref="G21" ca="1">INDIRECT($B21&amp;"!P38")</f>
        <v>115758.44</v>
      </c>
      <c r="H21" s="498" cm="1">
        <f t="array" aca="1" ref="H21" ca="1">INDIRECT($B21&amp;"!P39")</f>
        <v>372045.15999999992</v>
      </c>
      <c r="I21" s="556"/>
      <c r="J21" s="240" cm="1">
        <f t="array" aca="1" ref="J21" ca="1">INDIRECT($B21&amp;"!P21")</f>
        <v>-1011197.94</v>
      </c>
      <c r="K21" s="240">
        <f t="shared" ca="1" si="0"/>
        <v>-639152.78</v>
      </c>
      <c r="L21" s="342">
        <f>SUMIF('HCC Detail'!$B$9:$B$500,$C21,'HCC Detail'!$J$9:$J$500)</f>
        <v>364325.79</v>
      </c>
    </row>
    <row r="22" spans="2:13" ht="18.5" x14ac:dyDescent="0.45">
      <c r="B22" s="5" t="s">
        <v>266</v>
      </c>
      <c r="C22" s="161" t="str">
        <f>'HCC Data Entry'!I16</f>
        <v>Northwest Tri-County Intermediate Unit #5</v>
      </c>
      <c r="D22" s="230">
        <f>'HCC Data Entry'!J16</f>
        <v>95000</v>
      </c>
      <c r="E22" s="231">
        <f>COUNTIF('HCC Detail'!$B$9:$B$500,'MiniPool Integrity'!$C22)</f>
        <v>26</v>
      </c>
      <c r="F22" s="363">
        <f>COUNTIFS('HCC Detail'!$B$9:$B$500,'MiniPool Integrity'!$C22,'HCC Detail'!$H$9:$H$500,"&gt;0")</f>
        <v>5</v>
      </c>
      <c r="G22" s="341" cm="1">
        <f t="array" aca="1" ref="G22" ca="1">INDIRECT($B22&amp;"!P38")</f>
        <v>211170.26</v>
      </c>
      <c r="H22" s="497" cm="1">
        <f t="array" aca="1" ref="H22" ca="1">INDIRECT($B22&amp;"!P39")</f>
        <v>621963.19999999995</v>
      </c>
      <c r="I22" s="555"/>
      <c r="J22" s="234" cm="1">
        <f t="array" aca="1" ref="J22" ca="1">INDIRECT($B22&amp;"!P21")</f>
        <v>-554806.54</v>
      </c>
      <c r="K22" s="234">
        <f t="shared" ca="1" si="0"/>
        <v>67156.659999999916</v>
      </c>
      <c r="L22" s="341">
        <f>SUMIF('HCC Detail'!$B$9:$B$500,$C22,'HCC Detail'!$J$9:$J$500)</f>
        <v>672630.42</v>
      </c>
    </row>
    <row r="23" spans="2:13" ht="18.5" x14ac:dyDescent="0.45">
      <c r="B23" s="5" t="s">
        <v>267</v>
      </c>
      <c r="C23" s="235" t="str">
        <f>'HCC Data Entry'!I17</f>
        <v>Oil City Area School District</v>
      </c>
      <c r="D23" s="236">
        <f>'HCC Data Entry'!J17</f>
        <v>85000</v>
      </c>
      <c r="E23" s="237">
        <f>COUNTIF('HCC Detail'!$B$9:$B$500,'MiniPool Integrity'!$C23)</f>
        <v>23</v>
      </c>
      <c r="F23" s="364">
        <f>COUNTIFS('HCC Detail'!$B$9:$B$500,'MiniPool Integrity'!$C23,'HCC Detail'!$H$9:$H$500,"&gt;0")</f>
        <v>6</v>
      </c>
      <c r="G23" s="342" cm="1">
        <f t="array" aca="1" ref="G23" ca="1">INDIRECT($B23&amp;"!P38")</f>
        <v>154278.74</v>
      </c>
      <c r="H23" s="498" cm="1">
        <f t="array" aca="1" ref="H23" ca="1">INDIRECT($B23&amp;"!P39")</f>
        <v>489536.2</v>
      </c>
      <c r="I23" s="556"/>
      <c r="J23" s="240" cm="1">
        <f t="array" aca="1" ref="J23" ca="1">INDIRECT($B23&amp;"!P21")</f>
        <v>-367966.18</v>
      </c>
      <c r="K23" s="240">
        <f t="shared" ca="1" si="0"/>
        <v>121570.02000000002</v>
      </c>
      <c r="L23" s="342">
        <f>SUMIF('HCC Detail'!$B$9:$B$500,$C23,'HCC Detail'!$J$9:$J$500)</f>
        <v>55363.280000000028</v>
      </c>
    </row>
    <row r="24" spans="2:13" ht="18.5" x14ac:dyDescent="0.45">
      <c r="B24" s="5" t="s">
        <v>259</v>
      </c>
      <c r="C24" s="161" t="str">
        <f>'HCC Data Entry'!I18</f>
        <v>Penncrest School District</v>
      </c>
      <c r="D24" s="230">
        <f>'HCC Data Entry'!J18</f>
        <v>110000</v>
      </c>
      <c r="E24" s="231">
        <f>COUNTIF('HCC Detail'!$B$9:$B$500,'MiniPool Integrity'!$C24)</f>
        <v>34</v>
      </c>
      <c r="F24" s="363">
        <f>COUNTIFS('HCC Detail'!$B$9:$B$500,'MiniPool Integrity'!$C24,'HCC Detail'!$H$9:$H$500,"&gt;0")</f>
        <v>7</v>
      </c>
      <c r="G24" s="341" cm="1">
        <f t="array" aca="1" ref="G24" ca="1">INDIRECT($B24&amp;"!P38")</f>
        <v>245048.37000000002</v>
      </c>
      <c r="H24" s="497" cm="1">
        <f t="array" aca="1" ref="H24" ca="1">INDIRECT($B24&amp;"!P39")</f>
        <v>748263.6</v>
      </c>
      <c r="I24" s="555"/>
      <c r="J24" s="234" cm="1">
        <f t="array" aca="1" ref="J24" ca="1">INDIRECT($B24&amp;"!P21")</f>
        <v>-849064.68</v>
      </c>
      <c r="K24" s="234">
        <f t="shared" ca="1" si="0"/>
        <v>-100801.08000000007</v>
      </c>
      <c r="L24" s="341">
        <f>SUMIF('HCC Detail'!$B$9:$B$500,$C24,'HCC Detail'!$J$9:$J$500)</f>
        <v>198264.72999999998</v>
      </c>
    </row>
    <row r="25" spans="2:13" ht="18.5" x14ac:dyDescent="0.45">
      <c r="B25" s="5" t="s">
        <v>268</v>
      </c>
      <c r="C25" s="235" t="str">
        <f>'HCC Data Entry'!I19</f>
        <v>St Marys Area School District</v>
      </c>
      <c r="D25" s="236">
        <f>'HCC Data Entry'!J19</f>
        <v>85000</v>
      </c>
      <c r="E25" s="237">
        <f>COUNTIF('HCC Detail'!$B$9:$B$500,'MiniPool Integrity'!$C25)</f>
        <v>21</v>
      </c>
      <c r="F25" s="364">
        <f>COUNTIFS('HCC Detail'!$B$9:$B$500,'MiniPool Integrity'!$C25,'HCC Detail'!$H$9:$H$500,"&gt;0")</f>
        <v>3</v>
      </c>
      <c r="G25" s="342" cm="1">
        <f t="array" aca="1" ref="G25" ca="1">INDIRECT($B25&amp;"!P38")</f>
        <v>150525.48000000001</v>
      </c>
      <c r="H25" s="498" cm="1">
        <f t="array" aca="1" ref="H25" ca="1">INDIRECT($B25&amp;"!P39")</f>
        <v>481112.40000000008</v>
      </c>
      <c r="I25" s="556"/>
      <c r="J25" s="240" cm="1">
        <f t="array" aca="1" ref="J25" ca="1">INDIRECT($B25&amp;"!P21")</f>
        <v>-148149.01999999999</v>
      </c>
      <c r="K25" s="240">
        <f t="shared" ca="1" si="0"/>
        <v>332963.38000000012</v>
      </c>
      <c r="L25" s="342">
        <f>SUMIF('HCC Detail'!$B$9:$B$500,$C25,'HCC Detail'!$J$9:$J$500)</f>
        <v>0</v>
      </c>
    </row>
    <row r="26" spans="2:13" ht="18.5" x14ac:dyDescent="0.45">
      <c r="B26" s="5" t="s">
        <v>269</v>
      </c>
      <c r="C26" s="161" t="str">
        <f>'HCC Data Entry'!I20</f>
        <v>Valley Grove School District</v>
      </c>
      <c r="D26" s="230">
        <f>'HCC Data Entry'!J20</f>
        <v>68000</v>
      </c>
      <c r="E26" s="231">
        <f>COUNTIF('HCC Detail'!$B$9:$B$500,'MiniPool Integrity'!$C26)</f>
        <v>9</v>
      </c>
      <c r="F26" s="363">
        <f>COUNTIFS('HCC Detail'!$B$9:$B$500,'MiniPool Integrity'!$C26,'HCC Detail'!$H$9:$H$500,"&gt;0")</f>
        <v>4</v>
      </c>
      <c r="G26" s="341" cm="1">
        <f t="array" aca="1" ref="G26" ca="1">INDIRECT($B26&amp;"!P38")</f>
        <v>80497.55</v>
      </c>
      <c r="H26" s="497" cm="1">
        <f t="array" aca="1" ref="H26" ca="1">INDIRECT($B26&amp;"!P39")</f>
        <v>335374.59999999998</v>
      </c>
      <c r="I26" s="555"/>
      <c r="J26" s="234" cm="1">
        <f t="array" aca="1" ref="J26" ca="1">INDIRECT($B26&amp;"!P21")</f>
        <v>-192656.02</v>
      </c>
      <c r="K26" s="234">
        <f t="shared" ca="1" si="0"/>
        <v>142718.57999999999</v>
      </c>
      <c r="L26" s="341">
        <f>SUMIF('HCC Detail'!$B$9:$B$500,$C26,'HCC Detail'!$J$9:$J$500)</f>
        <v>0</v>
      </c>
    </row>
    <row r="27" spans="2:13" ht="18.5" x14ac:dyDescent="0.45">
      <c r="B27" s="5" t="s">
        <v>260</v>
      </c>
      <c r="C27" s="235" t="str">
        <f>'HCC Data Entry'!I21</f>
        <v>Venango Technology Center</v>
      </c>
      <c r="D27" s="236">
        <f>'HCC Data Entry'!J21</f>
        <v>50000</v>
      </c>
      <c r="E27" s="237">
        <f>COUNTIF('HCC Detail'!$B$9:$B$500,'MiniPool Integrity'!$C27)</f>
        <v>4</v>
      </c>
      <c r="F27" s="364">
        <f>COUNTIFS('HCC Detail'!$B$9:$B$500,'MiniPool Integrity'!$C27,'HCC Detail'!$H$9:$H$500,"&gt;0")</f>
        <v>0</v>
      </c>
      <c r="G27" s="342" cm="1">
        <f t="array" aca="1" ref="G27" ca="1">INDIRECT($B27&amp;"!P38")</f>
        <v>42569.869999999995</v>
      </c>
      <c r="H27" s="498" cm="1">
        <f t="array" aca="1" ref="H27" ca="1">INDIRECT($B27&amp;"!P39")</f>
        <v>252640.94000000006</v>
      </c>
      <c r="I27" s="556"/>
      <c r="J27" s="240" cm="1">
        <f t="array" aca="1" ref="J27" ca="1">INDIRECT($B27&amp;"!P21")</f>
        <v>0</v>
      </c>
      <c r="K27" s="240">
        <f t="shared" ca="1" si="0"/>
        <v>252640.94000000006</v>
      </c>
      <c r="L27" s="342">
        <f>SUMIF('HCC Detail'!$B$9:$B$500,$C27,'HCC Detail'!$J$9:$J$500)</f>
        <v>0</v>
      </c>
    </row>
    <row r="28" spans="2:13" ht="18.5" x14ac:dyDescent="0.45">
      <c r="B28" s="5" t="s">
        <v>261</v>
      </c>
      <c r="C28" s="161" t="str">
        <f>'HCC Data Entry'!I22</f>
        <v>Wattsburg Area School District</v>
      </c>
      <c r="D28" s="230">
        <f>'HCC Data Entry'!J22</f>
        <v>68000</v>
      </c>
      <c r="E28" s="231">
        <f>COUNTIF('HCC Detail'!$B$9:$B$500,'MiniPool Integrity'!$C28)</f>
        <v>23</v>
      </c>
      <c r="F28" s="363">
        <f>COUNTIFS('HCC Detail'!$B$9:$B$500,'MiniPool Integrity'!$C28,'HCC Detail'!$H$9:$H$500,"&gt;0")</f>
        <v>6</v>
      </c>
      <c r="G28" s="341" cm="1">
        <f t="array" aca="1" ref="G28" ca="1">INDIRECT($B28&amp;"!P38")</f>
        <v>121585.87</v>
      </c>
      <c r="H28" s="497" cm="1">
        <f t="array" aca="1" ref="H28" ca="1">INDIRECT($B28&amp;"!P39")</f>
        <v>506500.04000000004</v>
      </c>
      <c r="I28" s="555"/>
      <c r="J28" s="234" cm="1">
        <f t="array" aca="1" ref="J28" ca="1">INDIRECT($B28&amp;"!P21")</f>
        <v>-282802.75</v>
      </c>
      <c r="K28" s="234">
        <f t="shared" ca="1" si="0"/>
        <v>223697.29000000004</v>
      </c>
      <c r="L28" s="341">
        <f>SUMIF('HCC Detail'!$B$9:$B$500,$C28,'HCC Detail'!$J$9:$J$500)</f>
        <v>49435.460000000021</v>
      </c>
    </row>
    <row r="29" spans="2:13" s="210" customFormat="1" ht="18.5" x14ac:dyDescent="0.45">
      <c r="B29"/>
      <c r="C29" s="241"/>
      <c r="D29" s="242"/>
      <c r="E29" s="228">
        <f>SUM(E10:E28)</f>
        <v>331</v>
      </c>
      <c r="F29" s="365">
        <f>SUM(F10:F28)</f>
        <v>103</v>
      </c>
      <c r="G29" s="354">
        <f ca="1">SUM(G10:G28)</f>
        <v>2701655.8099999996</v>
      </c>
      <c r="H29" s="245">
        <f ca="1">SUM(H10:H28)</f>
        <v>10093789.959999997</v>
      </c>
      <c r="I29" s="245"/>
      <c r="J29" s="242">
        <f t="shared" ref="J29" ca="1" si="1">SUM(J10:J28)</f>
        <v>-7792458.3299999973</v>
      </c>
      <c r="K29" s="242">
        <f ca="1">SUM(K10:K28)</f>
        <v>2301331.63</v>
      </c>
      <c r="L29" s="354">
        <f>SUM(L10:L28)</f>
        <v>2757834.6599999997</v>
      </c>
    </row>
    <row r="30" spans="2:13" s="210" customFormat="1" ht="18.5" x14ac:dyDescent="0.45">
      <c r="B30"/>
      <c r="C30" s="636" t="s">
        <v>295</v>
      </c>
      <c r="D30" s="636"/>
      <c r="E30" s="636"/>
      <c r="F30" s="636"/>
      <c r="G30" s="636"/>
      <c r="H30" s="636"/>
      <c r="I30" s="636"/>
      <c r="J30" s="637"/>
      <c r="K30" s="294">
        <v>5284293.0199999996</v>
      </c>
      <c r="L30" s="419"/>
      <c r="M30" s="85" t="s">
        <v>296</v>
      </c>
    </row>
    <row r="31" spans="2:13" s="210" customFormat="1" ht="21.5" x14ac:dyDescent="0.45">
      <c r="B31"/>
      <c r="C31" s="636" t="s">
        <v>294</v>
      </c>
      <c r="D31" s="636"/>
      <c r="E31" s="636"/>
      <c r="F31" s="636"/>
      <c r="G31" s="636"/>
      <c r="H31" s="636"/>
      <c r="I31" s="636"/>
      <c r="J31" s="637"/>
      <c r="K31" s="295">
        <f ca="1">SUM(K29:K30)</f>
        <v>7585624.6499999994</v>
      </c>
      <c r="L31" s="420"/>
    </row>
    <row r="32" spans="2:13" x14ac:dyDescent="0.35">
      <c r="C32" s="145"/>
      <c r="D32" s="145"/>
      <c r="E32" s="145"/>
      <c r="F32" s="145"/>
      <c r="G32" s="145"/>
      <c r="H32" s="145"/>
      <c r="I32" s="145"/>
      <c r="J32" s="145"/>
      <c r="K32" s="145"/>
      <c r="L32" s="145"/>
    </row>
    <row r="33" spans="3:12" x14ac:dyDescent="0.35">
      <c r="C33" s="145"/>
      <c r="D33" s="145"/>
      <c r="E33" s="145"/>
      <c r="F33" s="145"/>
      <c r="G33" s="145"/>
      <c r="H33" s="145"/>
      <c r="I33" s="145"/>
      <c r="J33" s="145"/>
      <c r="K33" s="145"/>
      <c r="L33" s="145"/>
    </row>
    <row r="34" spans="3:12" x14ac:dyDescent="0.35">
      <c r="C34" s="145"/>
      <c r="D34" s="145"/>
      <c r="E34" s="145"/>
      <c r="F34" s="145"/>
      <c r="G34" s="145"/>
      <c r="H34" s="145"/>
      <c r="I34" s="145"/>
      <c r="J34" s="145"/>
      <c r="K34" s="145"/>
      <c r="L34" s="145"/>
    </row>
  </sheetData>
  <mergeCells count="14">
    <mergeCell ref="L8:L9"/>
    <mergeCell ref="C30:J30"/>
    <mergeCell ref="C31:J31"/>
    <mergeCell ref="C2:K2"/>
    <mergeCell ref="C3:K3"/>
    <mergeCell ref="C5:K5"/>
    <mergeCell ref="C6:K6"/>
    <mergeCell ref="C8:C9"/>
    <mergeCell ref="D8:D9"/>
    <mergeCell ref="E8:F8"/>
    <mergeCell ref="J8:J9"/>
    <mergeCell ref="K8:K9"/>
    <mergeCell ref="G8:H8"/>
    <mergeCell ref="I8:I9"/>
  </mergeCells>
  <printOptions horizontalCentered="1"/>
  <pageMargins left="0.7" right="0.7" top="0.75" bottom="0.75" header="0.3" footer="0.3"/>
  <pageSetup scale="78" fitToHeight="0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7A10A-AECE-4DED-B06E-4CCB48E0B8BF}">
  <sheetPr codeName="Sheet9">
    <tabColor theme="6" tint="-0.499984740745262"/>
    <pageSetUpPr fitToPage="1"/>
  </sheetPr>
  <dimension ref="B1:S64"/>
  <sheetViews>
    <sheetView showGridLines="0" view="pageBreakPreview" zoomScale="60" zoomScaleNormal="100" workbookViewId="0">
      <selection activeCell="R52" sqref="R52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2" width="20.7265625" customWidth="1"/>
    <col min="13" max="13" width="24.26953125" customWidth="1"/>
    <col min="14" max="15" width="20.7265625" customWidth="1"/>
    <col min="16" max="16" width="28.54296875" customWidth="1"/>
    <col min="17" max="17" width="14.54296875" bestFit="1" customWidth="1"/>
    <col min="18" max="19" width="15.54296875" bestFit="1" customWidth="1"/>
  </cols>
  <sheetData>
    <row r="1" spans="2:19" ht="5.25" customHeight="1" x14ac:dyDescent="0.35"/>
    <row r="2" spans="2:19" ht="23.5" x14ac:dyDescent="0.55000000000000004">
      <c r="C2" s="648" t="str">
        <f>Summary!P6</f>
        <v>NOREBT</v>
      </c>
      <c r="D2" s="648"/>
      <c r="E2" s="648"/>
      <c r="F2" s="648"/>
      <c r="G2" s="648"/>
      <c r="H2" s="648"/>
      <c r="I2" s="648"/>
      <c r="J2" s="648"/>
      <c r="K2" s="648"/>
      <c r="L2" s="648"/>
      <c r="M2" s="648"/>
      <c r="N2" s="648"/>
      <c r="O2" s="648"/>
      <c r="P2" s="648"/>
    </row>
    <row r="3" spans="2:19" ht="18.5" x14ac:dyDescent="0.45">
      <c r="C3" s="649" t="s">
        <v>243</v>
      </c>
      <c r="D3" s="649"/>
      <c r="E3" s="649"/>
      <c r="F3" s="649"/>
      <c r="G3" s="649"/>
      <c r="H3" s="649"/>
      <c r="I3" s="649"/>
      <c r="J3" s="649"/>
      <c r="K3" s="649"/>
      <c r="L3" s="649"/>
      <c r="M3" s="649"/>
      <c r="N3" s="649"/>
      <c r="O3" s="649"/>
      <c r="P3" s="649"/>
    </row>
    <row r="4" spans="2:19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19" ht="18.5" x14ac:dyDescent="0.45">
      <c r="C5" s="650" t="str">
        <f>Addendum!E6</f>
        <v>Claims Paid July 2024 through February 2025</v>
      </c>
      <c r="D5" s="650"/>
      <c r="E5" s="650"/>
      <c r="F5" s="650"/>
      <c r="G5" s="650"/>
      <c r="H5" s="650"/>
      <c r="I5" s="650"/>
      <c r="J5" s="650"/>
      <c r="K5" s="650"/>
      <c r="L5" s="650"/>
      <c r="M5" s="650"/>
      <c r="N5" s="650"/>
      <c r="O5" s="650"/>
      <c r="P5" s="650"/>
    </row>
    <row r="6" spans="2:19" ht="18.5" x14ac:dyDescent="0.45"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  <c r="N6" s="361"/>
      <c r="O6" s="361"/>
      <c r="P6" s="361"/>
    </row>
    <row r="7" spans="2:19" ht="25.5" customHeight="1" x14ac:dyDescent="0.35">
      <c r="B7" s="222"/>
      <c r="C7" s="226" t="s">
        <v>241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253"/>
      <c r="R7" s="223"/>
      <c r="S7" s="224"/>
    </row>
    <row r="8" spans="2:19" ht="18.5" x14ac:dyDescent="0.45">
      <c r="B8" s="221"/>
      <c r="C8" s="254" t="s">
        <v>192</v>
      </c>
      <c r="D8" s="255">
        <f>IF(Conneaut!D8="","",SUM(Conneaut:Wattsburg!D8))</f>
        <v>3387</v>
      </c>
      <c r="E8" s="256">
        <f>IF(Conneaut!E8="","",SUM(Conneaut:Wattsburg!E8))</f>
        <v>3385</v>
      </c>
      <c r="F8" s="257">
        <f>IF(Conneaut!F8="","",SUM(Conneaut:Wattsburg!F8))</f>
        <v>3430</v>
      </c>
      <c r="G8" s="255">
        <f>IF(Conneaut!G8="","",SUM(Conneaut:Wattsburg!G8))</f>
        <v>3428</v>
      </c>
      <c r="H8" s="256">
        <f>IF(Conneaut!H8="","",SUM(Conneaut:Wattsburg!H8))</f>
        <v>3429</v>
      </c>
      <c r="I8" s="257">
        <f>IF(Conneaut!I8="","",SUM(Conneaut:Wattsburg!I8))</f>
        <v>3435</v>
      </c>
      <c r="J8" s="256">
        <f>IF(Conneaut!J8="","",SUM(Conneaut:Wattsburg!J8))</f>
        <v>3435</v>
      </c>
      <c r="K8" s="256">
        <f>IF(Conneaut!K8="","",SUM(Conneaut:Wattsburg!K8))</f>
        <v>3424</v>
      </c>
      <c r="L8" s="256" t="str">
        <f>IF(Conneaut!L8="","",SUM(Conneaut:Wattsburg!L8))</f>
        <v/>
      </c>
      <c r="M8" s="255" t="str">
        <f>IF(Conneaut!M8="","",SUM(Conneaut:Wattsburg!M8))</f>
        <v/>
      </c>
      <c r="N8" s="256" t="str">
        <f>IF(Conneaut!N8="","",SUM(Conneaut:Wattsburg!N8))</f>
        <v/>
      </c>
      <c r="O8" s="258" t="str">
        <f>IF(Conneaut!O8="","",SUM(Conneaut:Wattsburg!O8))</f>
        <v/>
      </c>
      <c r="P8" s="259">
        <f>SUM(D8:O8)</f>
        <v>27353</v>
      </c>
      <c r="Q8" s="260"/>
      <c r="R8" s="221"/>
    </row>
    <row r="9" spans="2:19" ht="18.5" x14ac:dyDescent="0.45">
      <c r="B9" s="221"/>
      <c r="C9" s="254" t="s">
        <v>238</v>
      </c>
      <c r="D9" s="255">
        <f>IF(Conneaut!D9="","",SUM(Conneaut:Wattsburg!D9))</f>
        <v>9554</v>
      </c>
      <c r="E9" s="256">
        <f>IF(Conneaut!E9="","",SUM(Conneaut:Wattsburg!E9))</f>
        <v>9576</v>
      </c>
      <c r="F9" s="257">
        <f>IF(Conneaut!F9="","",SUM(Conneaut:Wattsburg!F9))</f>
        <v>9654</v>
      </c>
      <c r="G9" s="255">
        <f>IF(Conneaut!G9="","",SUM(Conneaut:Wattsburg!G9))</f>
        <v>9653</v>
      </c>
      <c r="H9" s="256">
        <f>IF(Conneaut!H9="","",SUM(Conneaut:Wattsburg!H9))</f>
        <v>9670</v>
      </c>
      <c r="I9" s="257">
        <f>IF(Conneaut!I9="","",SUM(Conneaut:Wattsburg!I9))</f>
        <v>9677</v>
      </c>
      <c r="J9" s="256">
        <f>IF(Conneaut!J9="","",SUM(Conneaut:Wattsburg!J9))</f>
        <v>9690</v>
      </c>
      <c r="K9" s="256">
        <f>IF(Conneaut!K9="","",SUM(Conneaut:Wattsburg!K9))</f>
        <v>9654</v>
      </c>
      <c r="L9" s="256" t="str">
        <f>IF(Conneaut!L9="","",SUM(Conneaut:Wattsburg!L9))</f>
        <v/>
      </c>
      <c r="M9" s="255" t="str">
        <f>IF(Conneaut!M9="","",SUM(Conneaut:Wattsburg!M9))</f>
        <v/>
      </c>
      <c r="N9" s="256" t="str">
        <f>IF(Conneaut!N9="","",SUM(Conneaut:Wattsburg!N9))</f>
        <v/>
      </c>
      <c r="O9" s="258" t="str">
        <f>IF(Conneaut!O9="","",SUM(Conneaut:Wattsburg!O9))</f>
        <v/>
      </c>
      <c r="P9" s="259">
        <f>SUM(D9:O9)</f>
        <v>77128</v>
      </c>
      <c r="Q9" s="260"/>
      <c r="R9" s="221"/>
    </row>
    <row r="10" spans="2:19" s="13" customFormat="1" ht="25" customHeight="1" x14ac:dyDescent="0.35">
      <c r="C10" s="261" t="s">
        <v>193</v>
      </c>
      <c r="D10" s="644" t="str">
        <f>"Projected Funding Rate: "&amp;DOLLAR(Q10,0)</f>
        <v>Projected Funding Rate: $1,831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$1,725.61</v>
      </c>
      <c r="N10" s="645"/>
      <c r="O10" s="647"/>
      <c r="P10" s="265">
        <f>P14</f>
        <v>47200695.780000001</v>
      </c>
      <c r="Q10" s="266">
        <f>SUM(Conneaut:Wattsburg!$R$10)/$P$8</f>
        <v>1830.8156856651922</v>
      </c>
    </row>
    <row r="11" spans="2:19" ht="18.5" x14ac:dyDescent="0.45">
      <c r="B11" s="213"/>
      <c r="C11" s="267" t="s">
        <v>194</v>
      </c>
      <c r="D11" s="268">
        <f>IF(Conneaut!D11="","",SUM(Conneaut:Wattsburg!D11))</f>
        <v>5762432.0800000001</v>
      </c>
      <c r="E11" s="234">
        <f>IF(Conneaut!E11="","",SUM(Conneaut:Wattsburg!E11))</f>
        <v>5952841.9600000009</v>
      </c>
      <c r="F11" s="234">
        <f>IF(Conneaut!F11="","",SUM(Conneaut:Wattsburg!F11))</f>
        <v>5759218.4100000001</v>
      </c>
      <c r="G11" s="268">
        <f>IF(Conneaut!G11="","",SUM(Conneaut:Wattsburg!G11))</f>
        <v>6040198.4699999997</v>
      </c>
      <c r="H11" s="234">
        <f>IF(Conneaut!H11="","",SUM(Conneaut:Wattsburg!H11))</f>
        <v>6026077.8599999994</v>
      </c>
      <c r="I11" s="269">
        <f>IF(Conneaut!I11="","",SUM(Conneaut:Wattsburg!I11))</f>
        <v>6568875.9700000007</v>
      </c>
      <c r="J11" s="234">
        <f>IF(Conneaut!J11="","",SUM(Conneaut:Wattsburg!J11))</f>
        <v>6112801.5799999991</v>
      </c>
      <c r="K11" s="234">
        <f>IF(Conneaut!K11="","",SUM(Conneaut:Wattsburg!K11))</f>
        <v>5019883.1999999993</v>
      </c>
      <c r="L11" s="234" t="str">
        <f>IF(Conneaut!L11="","",SUM(Conneaut:Wattsburg!L11))</f>
        <v/>
      </c>
      <c r="M11" s="268" t="str">
        <f>IF(Conneaut!M11="","",SUM(Conneaut:Wattsburg!M11))</f>
        <v/>
      </c>
      <c r="N11" s="234" t="str">
        <f>IF(Conneaut!N11="","",SUM(Conneaut:Wattsburg!N11))</f>
        <v/>
      </c>
      <c r="O11" s="270" t="str">
        <f>IF(Conneaut!O11="","",SUM(Conneaut:Wattsburg!O11))</f>
        <v/>
      </c>
      <c r="P11" s="234">
        <f>SUM(D11:O11)</f>
        <v>47242329.530000001</v>
      </c>
      <c r="Q11" s="244"/>
    </row>
    <row r="12" spans="2:19" ht="18.5" x14ac:dyDescent="0.45">
      <c r="C12" s="267" t="s">
        <v>195</v>
      </c>
      <c r="D12" s="268">
        <f>IF(Conneaut!D12="","",SUM(Conneaut:Wattsburg!D12))</f>
        <v>-5172.5</v>
      </c>
      <c r="E12" s="234">
        <f>IF(Conneaut!E12="","",SUM(Conneaut:Wattsburg!E12))</f>
        <v>-5457</v>
      </c>
      <c r="F12" s="269">
        <f>IF(Conneaut!F12="","",SUM(Conneaut:Wattsburg!F12))</f>
        <v>-5076.25</v>
      </c>
      <c r="G12" s="268">
        <f>IF(Conneaut!G12="","",SUM(Conneaut:Wattsburg!G12))</f>
        <v>-5543.5</v>
      </c>
      <c r="H12" s="234">
        <f>IF(Conneaut!H12="","",SUM(Conneaut:Wattsburg!H12))</f>
        <v>-5546.5</v>
      </c>
      <c r="I12" s="269">
        <f>IF(Conneaut!I12="","",SUM(Conneaut:Wattsburg!I12))</f>
        <v>-5560</v>
      </c>
      <c r="J12" s="234">
        <f>IF(Conneaut!J12="","",SUM(Conneaut:Wattsburg!J12))</f>
        <v>-5553.5</v>
      </c>
      <c r="K12" s="234">
        <f>IF(Conneaut!K12="","",SUM(Conneaut:Wattsburg!K12))</f>
        <v>-3724.5</v>
      </c>
      <c r="L12" s="234" t="str">
        <f>IF(Conneaut!L12="","",SUM(Conneaut:Wattsburg!L12))</f>
        <v/>
      </c>
      <c r="M12" s="268" t="str">
        <f>IF(Conneaut!M12="","",SUM(Conneaut:Wattsburg!M12))</f>
        <v/>
      </c>
      <c r="N12" s="234" t="str">
        <f>IF(Conneaut!N12="","",SUM(Conneaut:Wattsburg!N12))</f>
        <v/>
      </c>
      <c r="O12" s="270" t="str">
        <f>IF(Conneaut!O12="","",SUM(Conneaut:Wattsburg!O12))</f>
        <v/>
      </c>
      <c r="P12" s="234">
        <f t="shared" ref="P12:P13" si="0">SUM(D12:O12)</f>
        <v>-41633.75</v>
      </c>
      <c r="Q12" s="271"/>
    </row>
    <row r="13" spans="2:19" ht="18.5" x14ac:dyDescent="0.45">
      <c r="B13" s="213"/>
      <c r="C13" s="267" t="s">
        <v>196</v>
      </c>
      <c r="D13" s="268">
        <f>IF(Conneaut!D13="","",SUM(Conneaut:Wattsburg!D13))</f>
        <v>0</v>
      </c>
      <c r="E13" s="234">
        <f>IF(Conneaut!E13="","",SUM(Conneaut:Wattsburg!E13))</f>
        <v>0</v>
      </c>
      <c r="F13" s="269">
        <f>IF(Conneaut!F13="","",SUM(Conneaut:Wattsburg!F13))</f>
        <v>0</v>
      </c>
      <c r="G13" s="268">
        <f>IF(Conneaut!G13="","",SUM(Conneaut:Wattsburg!G13))</f>
        <v>0</v>
      </c>
      <c r="H13" s="234">
        <f>IF(Conneaut!H13="","",SUM(Conneaut:Wattsburg!H13))</f>
        <v>0</v>
      </c>
      <c r="I13" s="269">
        <f>IF(Conneaut!I13="","",SUM(Conneaut:Wattsburg!I13))</f>
        <v>0</v>
      </c>
      <c r="J13" s="234">
        <f>IF(Conneaut!J13="","",SUM(Conneaut:Wattsburg!J13))</f>
        <v>0</v>
      </c>
      <c r="K13" s="234">
        <f>IF(Conneaut!K13="","",SUM(Conneaut:Wattsburg!K13))</f>
        <v>0</v>
      </c>
      <c r="L13" s="234" t="str">
        <f>IF(Conneaut!L13="","",SUM(Conneaut:Wattsburg!L13))</f>
        <v/>
      </c>
      <c r="M13" s="268" t="str">
        <f>IF(Conneaut!M13="","",SUM(Conneaut:Wattsburg!M13))</f>
        <v/>
      </c>
      <c r="N13" s="234" t="str">
        <f>IF(Conneaut!N13="","",SUM(Conneaut:Wattsburg!N13))</f>
        <v/>
      </c>
      <c r="O13" s="270" t="str">
        <f>IF(Conneaut!O13="","",SUM(Conneaut:Wattsburg!O13))</f>
        <v/>
      </c>
      <c r="P13" s="234">
        <f t="shared" si="0"/>
        <v>0</v>
      </c>
      <c r="Q13" s="271"/>
    </row>
    <row r="14" spans="2:19" ht="18.5" x14ac:dyDescent="0.45">
      <c r="C14" s="272" t="s">
        <v>197</v>
      </c>
      <c r="D14" s="273">
        <f>IF(D8="","",SUM(D11:D13))</f>
        <v>5757259.5800000001</v>
      </c>
      <c r="E14" s="274">
        <f t="shared" ref="E14:O14" si="1">IF(E8="","",SUM(E11:E13))</f>
        <v>5947384.9600000009</v>
      </c>
      <c r="F14" s="275">
        <f t="shared" si="1"/>
        <v>5754142.1600000001</v>
      </c>
      <c r="G14" s="273">
        <f t="shared" si="1"/>
        <v>6034654.9699999997</v>
      </c>
      <c r="H14" s="274">
        <f t="shared" si="1"/>
        <v>6020531.3599999994</v>
      </c>
      <c r="I14" s="275">
        <f t="shared" si="1"/>
        <v>6563315.9700000007</v>
      </c>
      <c r="J14" s="274">
        <f t="shared" si="1"/>
        <v>6107248.0799999991</v>
      </c>
      <c r="K14" s="274">
        <f t="shared" si="1"/>
        <v>5016158.6999999993</v>
      </c>
      <c r="L14" s="274" t="str">
        <f t="shared" si="1"/>
        <v/>
      </c>
      <c r="M14" s="273" t="str">
        <f t="shared" si="1"/>
        <v/>
      </c>
      <c r="N14" s="274" t="str">
        <f t="shared" si="1"/>
        <v/>
      </c>
      <c r="O14" s="276" t="str">
        <f t="shared" si="1"/>
        <v/>
      </c>
      <c r="P14" s="274">
        <f>SUM(P11:P13)</f>
        <v>47200695.780000001</v>
      </c>
      <c r="Q14" s="271"/>
    </row>
    <row r="15" spans="2:19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271"/>
    </row>
    <row r="16" spans="2:19" s="13" customFormat="1" ht="25" customHeight="1" x14ac:dyDescent="0.35">
      <c r="C16" s="261" t="s">
        <v>198</v>
      </c>
      <c r="D16" s="644" t="str">
        <f>"Net Claims PEPM: "&amp;DOLLAR($P26/$P$8,0)</f>
        <v>Net Claims PEPM: $1,474</v>
      </c>
      <c r="E16" s="645"/>
      <c r="F16" s="646"/>
      <c r="G16" s="644" t="str">
        <f>"Admin, Reinsurance, &amp; Misc. PEPM: "&amp;DOLLAR(SUM($P36,$P42,$P49)/$P$8,0)</f>
        <v>Admin, Reinsurance, &amp; Misc. PEPM: $531</v>
      </c>
      <c r="H16" s="645"/>
      <c r="I16" s="646"/>
      <c r="J16" s="644" t="str">
        <f>"Total Expenses PEPM: "&amp;DOLLAR($P16/$P$8,0)</f>
        <v>Total Expenses PEPM: $2,005</v>
      </c>
      <c r="K16" s="645"/>
      <c r="L16" s="646"/>
      <c r="M16" s="644" t="str">
        <f>"Projection Variance: "&amp;TEXT(($P$16/$P$8)/$Q$10-1,"0.00%")</f>
        <v>Projection Variance: 9.54%</v>
      </c>
      <c r="N16" s="645"/>
      <c r="O16" s="647"/>
      <c r="P16" s="265">
        <f>SUM(P26,P36,P42,P49)</f>
        <v>54855384.445600003</v>
      </c>
      <c r="Q16" s="280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271"/>
    </row>
    <row r="18" spans="2:17" ht="18.5" x14ac:dyDescent="0.45">
      <c r="B18" s="213"/>
      <c r="C18" s="267" t="s">
        <v>91</v>
      </c>
      <c r="D18" s="268">
        <f>IF(Conneaut!D18="","",SUM(Conneaut:Wattsburg!D18))</f>
        <v>3823352.0599999996</v>
      </c>
      <c r="E18" s="234">
        <f>IF(Conneaut!E18="","",SUM(Conneaut:Wattsburg!E18))</f>
        <v>5545332.4900000012</v>
      </c>
      <c r="F18" s="269">
        <f>IF(Conneaut!F18="","",SUM(Conneaut:Wattsburg!F18))</f>
        <v>3805387.1699999995</v>
      </c>
      <c r="G18" s="268">
        <f>IF(Conneaut!G18="","",SUM(Conneaut:Wattsburg!G18))</f>
        <v>3711357.3199999994</v>
      </c>
      <c r="H18" s="234">
        <f>IF(Conneaut!H18="","",SUM(Conneaut:Wattsburg!H18))</f>
        <v>5070495.7499999991</v>
      </c>
      <c r="I18" s="269">
        <f>IF(Conneaut!I18="","",SUM(Conneaut:Wattsburg!I18))</f>
        <v>4941393.169999999</v>
      </c>
      <c r="J18" s="234">
        <f>IF(Conneaut!J18="","",SUM(Conneaut:Wattsburg!J18))</f>
        <v>5992090.879999999</v>
      </c>
      <c r="K18" s="234">
        <f>IF(Conneaut!K18="","",SUM(Conneaut:Wattsburg!K18))</f>
        <v>4738130.6199999992</v>
      </c>
      <c r="L18" s="234" t="str">
        <f>IF(Conneaut!L18="","",SUM(Conneaut:Wattsburg!L18))</f>
        <v/>
      </c>
      <c r="M18" s="268" t="str">
        <f>IF(Conneaut!M18="","",SUM(Conneaut:Wattsburg!M18))</f>
        <v/>
      </c>
      <c r="N18" s="234" t="str">
        <f>IF(Conneaut!N18="","",SUM(Conneaut:Wattsburg!N18))</f>
        <v/>
      </c>
      <c r="O18" s="270" t="str">
        <f>IF(Conneaut!O18="","",SUM(Conneaut:Wattsburg!O18))</f>
        <v/>
      </c>
      <c r="P18" s="234">
        <f>SUM(D18:O18)</f>
        <v>37627539.459999993</v>
      </c>
      <c r="Q18" s="271"/>
    </row>
    <row r="19" spans="2:17" ht="18.5" x14ac:dyDescent="0.45">
      <c r="B19" s="213"/>
      <c r="C19" s="267" t="s">
        <v>93</v>
      </c>
      <c r="D19" s="268">
        <f>IF(Conneaut!D19="","",SUM(Conneaut:Wattsburg!D19))</f>
        <v>1813006.4000000004</v>
      </c>
      <c r="E19" s="234">
        <f>IF(Conneaut!E19="","",SUM(Conneaut:Wattsburg!E19))</f>
        <v>2331500.6500000004</v>
      </c>
      <c r="F19" s="269">
        <f>IF(Conneaut!F19="","",SUM(Conneaut:Wattsburg!F19))</f>
        <v>1964306.75</v>
      </c>
      <c r="G19" s="268">
        <f>IF(Conneaut!G19="","",SUM(Conneaut:Wattsburg!G19))</f>
        <v>2019687.68</v>
      </c>
      <c r="H19" s="234">
        <f>IF(Conneaut!H19="","",SUM(Conneaut:Wattsburg!H19))</f>
        <v>2421488.2199999997</v>
      </c>
      <c r="I19" s="269">
        <f>IF(Conneaut!I19="","",SUM(Conneaut:Wattsburg!I19))</f>
        <v>1989836.49</v>
      </c>
      <c r="J19" s="234">
        <f>IF(Conneaut!J19="","",SUM(Conneaut:Wattsburg!J19))</f>
        <v>2494112.4700000007</v>
      </c>
      <c r="K19" s="234">
        <f>IF(Conneaut!K19="","",SUM(Conneaut:Wattsburg!K19))</f>
        <v>2076042.2000000002</v>
      </c>
      <c r="L19" s="234" t="str">
        <f>IF(Conneaut!L19="","",SUM(Conneaut:Wattsburg!L19))</f>
        <v/>
      </c>
      <c r="M19" s="268" t="str">
        <f>IF(Conneaut!M19="","",SUM(Conneaut:Wattsburg!M19))</f>
        <v/>
      </c>
      <c r="N19" s="234" t="str">
        <f>IF(Conneaut!N19="","",SUM(Conneaut:Wattsburg!N19))</f>
        <v/>
      </c>
      <c r="O19" s="270" t="str">
        <f>IF(Conneaut!O19="","",SUM(Conneaut:Wattsburg!O19))</f>
        <v/>
      </c>
      <c r="P19" s="234">
        <f>SUM(D19:O19)</f>
        <v>17109980.859999999</v>
      </c>
      <c r="Q19" s="271"/>
    </row>
    <row r="20" spans="2:17" ht="18.5" x14ac:dyDescent="0.45">
      <c r="B20" s="213"/>
      <c r="C20" s="267" t="s">
        <v>321</v>
      </c>
      <c r="D20" s="268">
        <f>IF(Conneaut!D20="","",SUM(Conneaut:Wattsburg!D20))</f>
        <v>885</v>
      </c>
      <c r="E20" s="234">
        <f>IF(Conneaut!E20="","",SUM(Conneaut:Wattsburg!E20))</f>
        <v>1743</v>
      </c>
      <c r="F20" s="234">
        <f>IF(Conneaut!F20="","",SUM(Conneaut:Wattsburg!F20))</f>
        <v>735</v>
      </c>
      <c r="G20" s="268">
        <f>IF(Conneaut!G20="","",SUM(Conneaut:Wattsburg!G20))</f>
        <v>750</v>
      </c>
      <c r="H20" s="234">
        <f>IF(Conneaut!H20="","",SUM(Conneaut:Wattsburg!H20))</f>
        <v>200</v>
      </c>
      <c r="I20" s="234">
        <f>IF(Conneaut!I20="","",SUM(Conneaut:Wattsburg!I20))</f>
        <v>1095</v>
      </c>
      <c r="J20" s="268">
        <f>IF(Conneaut!J20="","",SUM(Conneaut:Wattsburg!J20))</f>
        <v>1105</v>
      </c>
      <c r="K20" s="234">
        <f>IF(Conneaut!K20="","",SUM(Conneaut:Wattsburg!K20))</f>
        <v>730</v>
      </c>
      <c r="L20" s="269" t="str">
        <f>IF(Conneaut!L20="","",SUM(Conneaut:Wattsburg!L20))</f>
        <v/>
      </c>
      <c r="M20" s="234" t="str">
        <f>IF(Conneaut!M20="","",SUM(Conneaut:Wattsburg!M20))</f>
        <v/>
      </c>
      <c r="N20" s="234" t="str">
        <f>IF(Conneaut!N20="","",SUM(Conneaut:Wattsburg!N20))</f>
        <v/>
      </c>
      <c r="O20" s="270" t="str">
        <f>IF(Conneaut!O20="","",SUM(Conneaut:Wattsburg!O20))</f>
        <v/>
      </c>
      <c r="P20" s="234">
        <f>SUM(D20:O20)</f>
        <v>7243</v>
      </c>
      <c r="Q20" s="271"/>
    </row>
    <row r="21" spans="2:17" ht="18.5" x14ac:dyDescent="0.45">
      <c r="B21" s="219"/>
      <c r="C21" s="282" t="s">
        <v>225</v>
      </c>
      <c r="D21" s="283">
        <f>IF(Conneaut!D21="","",SUM(Conneaut:Wattsburg!D21))</f>
        <v>87171.89</v>
      </c>
      <c r="E21" s="284">
        <f>IF(Conneaut!E21="","",SUM(Conneaut:Wattsburg!E21))</f>
        <v>1099372.3599999999</v>
      </c>
      <c r="F21" s="284">
        <f>IF(Conneaut!F21="","",SUM(Conneaut:Wattsburg!F21))</f>
        <v>2151949.0999999996</v>
      </c>
      <c r="G21" s="283">
        <f>IF(Conneaut!G21="","",SUM(Conneaut:Wattsburg!G21))</f>
        <v>2983652.9099999997</v>
      </c>
      <c r="H21" s="284">
        <f>IF(Conneaut!H21="","",SUM(Conneaut:Wattsburg!H21))</f>
        <v>4127687.5999999996</v>
      </c>
      <c r="I21" s="284">
        <f>IF(Conneaut!I21="","",SUM(Conneaut:Wattsburg!I21))</f>
        <v>5610241.6799999997</v>
      </c>
      <c r="J21" s="283">
        <f>IF(Conneaut!J21="","",SUM(Conneaut:Wattsburg!J21))</f>
        <v>6612220.3800000008</v>
      </c>
      <c r="K21" s="284">
        <f>IF(Conneaut!K21="","",SUM(Conneaut:Wattsburg!K21))</f>
        <v>7792458.3299999973</v>
      </c>
      <c r="L21" s="284" t="str">
        <f>IF(Conneaut!L21="","",SUM(Conneaut:Wattsburg!L21))</f>
        <v/>
      </c>
      <c r="M21" s="283" t="str">
        <f>IF(Conneaut!M21="","",SUM(Conneaut:Wattsburg!M21))</f>
        <v/>
      </c>
      <c r="N21" s="284" t="str">
        <f>IF(Conneaut!N21="","",SUM(Conneaut:Wattsburg!N21))</f>
        <v/>
      </c>
      <c r="O21" s="286" t="str">
        <f>IF(Conneaut!O21="","",SUM(Conneaut:Wattsburg!O21))</f>
        <v/>
      </c>
      <c r="P21" s="641">
        <f>SUM(D22:O22)</f>
        <v>-7792458.3299999973</v>
      </c>
      <c r="Q21" s="271"/>
    </row>
    <row r="22" spans="2:17" ht="18.5" x14ac:dyDescent="0.45">
      <c r="C22" s="267" t="s">
        <v>226</v>
      </c>
      <c r="D22" s="268">
        <f>IF(D8="","",-D21)</f>
        <v>-87171.89</v>
      </c>
      <c r="E22" s="234">
        <f t="shared" ref="E22:M22" si="2">IF(E8="","",-(E21-D21))</f>
        <v>-1012200.4699999999</v>
      </c>
      <c r="F22" s="269">
        <f t="shared" si="2"/>
        <v>-1052576.7399999998</v>
      </c>
      <c r="G22" s="268">
        <f t="shared" si="2"/>
        <v>-831703.81</v>
      </c>
      <c r="H22" s="234">
        <f>IF(H8="","",-(H21-G21))</f>
        <v>-1144034.69</v>
      </c>
      <c r="I22" s="269">
        <f>IF(I8="","",-(I21-H21))</f>
        <v>-1482554.08</v>
      </c>
      <c r="J22" s="234">
        <f t="shared" si="2"/>
        <v>-1001978.7000000011</v>
      </c>
      <c r="K22" s="234">
        <f t="shared" si="2"/>
        <v>-1180237.9499999965</v>
      </c>
      <c r="L22" s="234" t="str">
        <f t="shared" si="2"/>
        <v/>
      </c>
      <c r="M22" s="268" t="str">
        <f t="shared" si="2"/>
        <v/>
      </c>
      <c r="N22" s="234" t="str">
        <f>IF(N8="","",-(N21-M21))</f>
        <v/>
      </c>
      <c r="O22" s="270" t="str">
        <f>IF(O8="","",-(O21-N21))</f>
        <v/>
      </c>
      <c r="P22" s="641"/>
      <c r="Q22" s="271"/>
    </row>
    <row r="23" spans="2:17" ht="18.5" x14ac:dyDescent="0.45">
      <c r="C23" s="267" t="s">
        <v>363</v>
      </c>
      <c r="D23" s="268">
        <f>IF(Conneaut!D23="","",SUM(Conneaut:Wattsburg!D23))</f>
        <v>-581176.75</v>
      </c>
      <c r="E23" s="234">
        <f>IF(Conneaut!E23="","",SUM(Conneaut:Wattsburg!E23))</f>
        <v>-177847.22</v>
      </c>
      <c r="F23" s="234">
        <f>IF(Conneaut!F23="","",SUM(Conneaut:Wattsburg!F23))</f>
        <v>0</v>
      </c>
      <c r="G23" s="268">
        <f>IF(Conneaut!G23="","",SUM(Conneaut:Wattsburg!G23))</f>
        <v>-241494.2</v>
      </c>
      <c r="H23" s="234">
        <f>IF(Conneaut!H23="","",SUM(Conneaut:Wattsburg!H23))</f>
        <v>-251789.18</v>
      </c>
      <c r="I23" s="234">
        <f>IF(Conneaut!I23="","",SUM(Conneaut:Wattsburg!I23))</f>
        <v>-615302.64</v>
      </c>
      <c r="J23" s="268">
        <f>IF(Conneaut!J23="","",SUM(Conneaut:Wattsburg!J23))</f>
        <v>-241987.17</v>
      </c>
      <c r="K23" s="234">
        <f>IF(Conneaut!K23="","",SUM(Conneaut:Wattsburg!K23))</f>
        <v>-734180.08000000007</v>
      </c>
      <c r="L23" s="234" t="str">
        <f>IF(Conneaut!L23="","",SUM(Conneaut:Wattsburg!L23))</f>
        <v/>
      </c>
      <c r="M23" s="268" t="str">
        <f>IF(Conneaut!M23="","",SUM(Conneaut:Wattsburg!M23))</f>
        <v/>
      </c>
      <c r="N23" s="234" t="str">
        <f>IF(Conneaut!N23="","",SUM(Conneaut:Wattsburg!N23))</f>
        <v/>
      </c>
      <c r="O23" s="270" t="str">
        <f>IF(Conneaut!O23="","",SUM(Conneaut:Wattsburg!O23))</f>
        <v/>
      </c>
      <c r="P23" s="185">
        <f t="shared" ref="P23:P25" si="3">SUM(D23:O23)</f>
        <v>-2843777.2399999998</v>
      </c>
      <c r="Q23" s="271"/>
    </row>
    <row r="24" spans="2:17" ht="18.5" x14ac:dyDescent="0.45">
      <c r="C24" s="267" t="s">
        <v>25</v>
      </c>
      <c r="D24" s="268">
        <f>IF(Conneaut!D24="","",SUM(Conneaut:Wattsburg!D24))</f>
        <v>-534957.86</v>
      </c>
      <c r="E24" s="234">
        <f>IF(Conneaut!E24="","",SUM(Conneaut:Wattsburg!E24))</f>
        <v>-324164.5</v>
      </c>
      <c r="F24" s="234">
        <f>IF(Conneaut!F24="","",SUM(Conneaut:Wattsburg!F24))</f>
        <v>-330705.83</v>
      </c>
      <c r="G24" s="268">
        <f>IF(Conneaut!G24="","",SUM(Conneaut:Wattsburg!G24))</f>
        <v>-570721.4</v>
      </c>
      <c r="H24" s="234">
        <f>IF(Conneaut!H24="","",SUM(Conneaut:Wattsburg!H24))</f>
        <v>-328191.91000000003</v>
      </c>
      <c r="I24" s="234">
        <f>IF(Conneaut!I24="","",SUM(Conneaut:Wattsburg!I24))</f>
        <v>-596596.66</v>
      </c>
      <c r="J24" s="268">
        <f>IF(Conneaut!J24="","",SUM(Conneaut:Wattsburg!J24))</f>
        <v>-302380.02</v>
      </c>
      <c r="K24" s="234">
        <f>IF(Conneaut!K24="","",SUM(Conneaut:Wattsburg!K24))</f>
        <v>-301400</v>
      </c>
      <c r="L24" s="234" t="str">
        <f>IF(Conneaut!L24="","",SUM(Conneaut:Wattsburg!L24))</f>
        <v/>
      </c>
      <c r="M24" s="268" t="str">
        <f>IF(Conneaut!M24="","",SUM(Conneaut:Wattsburg!M24))</f>
        <v/>
      </c>
      <c r="N24" s="234" t="str">
        <f>IF(Conneaut!N24="","",SUM(Conneaut:Wattsburg!N24))</f>
        <v/>
      </c>
      <c r="O24" s="270" t="str">
        <f>IF(Conneaut!O24="","",SUM(Conneaut:Wattsburg!O24))</f>
        <v/>
      </c>
      <c r="P24" s="234">
        <f t="shared" si="3"/>
        <v>-3289118.18</v>
      </c>
      <c r="Q24" s="271"/>
    </row>
    <row r="25" spans="2:17" ht="18.5" x14ac:dyDescent="0.45">
      <c r="B25" s="213"/>
      <c r="C25" s="267" t="s">
        <v>199</v>
      </c>
      <c r="D25" s="268">
        <f>IF(Conneaut!D25="","",SUM(Conneaut:Wattsburg!D25))</f>
        <v>47577.06</v>
      </c>
      <c r="E25" s="457">
        <f>IF(Conneaut!E25="","",SUM(Conneaut:Wattsburg!E25))</f>
        <v>64960.349999999991</v>
      </c>
      <c r="F25" s="456">
        <f>IF(Conneaut!F25="","",SUM(Conneaut:Wattsburg!F25))</f>
        <v>-557485.70000000007</v>
      </c>
      <c r="G25" s="268">
        <f>IF(Conneaut!G25="","",SUM(Conneaut:Wattsburg!G25))</f>
        <v>61852.490000000005</v>
      </c>
      <c r="H25" s="457">
        <f>IF(Conneaut!H25="","",SUM(Conneaut:Wattsburg!H25))</f>
        <v>27467.84</v>
      </c>
      <c r="I25" s="456">
        <f>IF(Conneaut!I25="","",SUM(Conneaut:Wattsburg!I25))</f>
        <v>693572.51000000013</v>
      </c>
      <c r="J25" s="458">
        <f>IF(Conneaut!J25="","",SUM(Conneaut:Wattsburg!J25))</f>
        <v>-540915.57999999984</v>
      </c>
      <c r="K25" s="234">
        <f>IF(Conneaut!K25="","",SUM(Conneaut:Wattsburg!K25))</f>
        <v>-289013.13</v>
      </c>
      <c r="L25" s="456" t="str">
        <f>IF(Conneaut!L25="","",SUM(Conneaut:Wattsburg!L25))</f>
        <v/>
      </c>
      <c r="M25" s="268" t="str">
        <f>IF(Conneaut!M25="","",SUM(Conneaut:Wattsburg!M25))</f>
        <v/>
      </c>
      <c r="N25" s="234" t="str">
        <f>IF(Conneaut!N25="","",SUM(Conneaut:Wattsburg!N25))</f>
        <v/>
      </c>
      <c r="O25" s="270" t="str">
        <f>IF(Conneaut!O25="","",SUM(Conneaut:Wattsburg!O25))</f>
        <v/>
      </c>
      <c r="P25" s="234">
        <f t="shared" si="3"/>
        <v>-491984.1599999998</v>
      </c>
      <c r="Q25" s="271"/>
    </row>
    <row r="26" spans="2:17" ht="18.5" x14ac:dyDescent="0.45">
      <c r="C26" s="272" t="s">
        <v>200</v>
      </c>
      <c r="D26" s="273">
        <f>IF(D8="","",SUM(D18:D20,D22:D25))</f>
        <v>4481514.0199999996</v>
      </c>
      <c r="E26" s="274">
        <f t="shared" ref="E26:L26" si="4">IF(E8="","",SUM(E18:E20,E22:E25))</f>
        <v>6429324.3000000017</v>
      </c>
      <c r="F26" s="275">
        <f>IF(F8="","",SUM(F18:F20,F22:F25))</f>
        <v>3829660.6499999994</v>
      </c>
      <c r="G26" s="273">
        <f t="shared" si="4"/>
        <v>4149728.0799999996</v>
      </c>
      <c r="H26" s="274">
        <f t="shared" si="4"/>
        <v>5795636.0299999993</v>
      </c>
      <c r="I26" s="275">
        <f t="shared" si="4"/>
        <v>4931443.7899999991</v>
      </c>
      <c r="J26" s="273">
        <f t="shared" si="4"/>
        <v>6400046.879999999</v>
      </c>
      <c r="K26" s="274">
        <f t="shared" si="4"/>
        <v>4310071.6600000029</v>
      </c>
      <c r="L26" s="275" t="str">
        <f t="shared" si="4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>IF(O8="","",SUM(O18:O20,O22:O25))</f>
        <v/>
      </c>
      <c r="P26" s="274">
        <f>SUM(P18:P25)</f>
        <v>40327425.409999996</v>
      </c>
      <c r="Q26" s="271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271"/>
    </row>
    <row r="28" spans="2:17" ht="18.5" x14ac:dyDescent="0.45">
      <c r="C28" s="267" t="s">
        <v>223</v>
      </c>
      <c r="D28" s="268">
        <f>IF(Conneaut!D28="","",SUM(Conneaut:Wattsburg!D28))</f>
        <v>133826.76000000004</v>
      </c>
      <c r="E28" s="234">
        <f>IF(Conneaut!E28="","",SUM(Conneaut:Wattsburg!E28))</f>
        <v>133907.04</v>
      </c>
      <c r="F28" s="234">
        <f>IF(Conneaut!F28="","",SUM(Conneaut:Wattsburg!F28))</f>
        <v>135592.91999999998</v>
      </c>
      <c r="G28" s="268">
        <f>IF(Conneaut!G28="","",SUM(Conneaut:Wattsburg!G28))</f>
        <v>135472.5</v>
      </c>
      <c r="H28" s="234">
        <f>IF(Conneaut!H28="","",SUM(Conneaut:Wattsburg!H28))</f>
        <v>135592.92000000001</v>
      </c>
      <c r="I28" s="234">
        <f>IF(Conneaut!I28="","",SUM(Conneaut:Wattsburg!I28))</f>
        <v>135673.20000000001</v>
      </c>
      <c r="J28" s="268">
        <f>IF(Conneaut!J28="","",SUM(Conneaut:Wattsburg!J28))</f>
        <v>137880.90000000002</v>
      </c>
      <c r="K28" s="234">
        <f>IF(Conneaut!K28="","",SUM(Conneaut:Wattsburg!K28))</f>
        <v>137439.36000000002</v>
      </c>
      <c r="L28" s="234" t="str">
        <f>IF(Conneaut!L28="","",SUM(Conneaut:Wattsburg!L28))</f>
        <v/>
      </c>
      <c r="M28" s="268" t="str">
        <f>IF(Conneaut!M28="","",SUM(Conneaut:Wattsburg!M28))</f>
        <v/>
      </c>
      <c r="N28" s="234" t="str">
        <f>IF(Conneaut!N28="","",SUM(Conneaut:Wattsburg!N28))</f>
        <v/>
      </c>
      <c r="O28" s="270" t="str">
        <f>IF(Conneaut!O28="","",SUM(Conneaut:Wattsburg!O28))</f>
        <v/>
      </c>
      <c r="P28" s="234">
        <f>SUM(D28:O28)</f>
        <v>1085385.6000000001</v>
      </c>
      <c r="Q28" s="271"/>
    </row>
    <row r="29" spans="2:17" ht="18.5" x14ac:dyDescent="0.45">
      <c r="C29" s="267" t="s">
        <v>224</v>
      </c>
      <c r="D29" s="268">
        <f>IF(Conneaut!D29="","",SUM(Conneaut:Wattsburg!D29))</f>
        <v>11680</v>
      </c>
      <c r="E29" s="234">
        <f>IF(Conneaut!E29="","",SUM(Conneaut:Wattsburg!E29))</f>
        <v>11660</v>
      </c>
      <c r="F29" s="234">
        <f>IF(Conneaut!F29="","",SUM(Conneaut:Wattsburg!F29))</f>
        <v>11812</v>
      </c>
      <c r="G29" s="268">
        <f>IF(Conneaut!G29="","",SUM(Conneaut:Wattsburg!G29))</f>
        <v>11832</v>
      </c>
      <c r="H29" s="234">
        <f>IF(Conneaut!H29="","",SUM(Conneaut:Wattsburg!H29))</f>
        <v>11856</v>
      </c>
      <c r="I29" s="234">
        <f>IF(Conneaut!I29="","",SUM(Conneaut:Wattsburg!I29))</f>
        <v>11856</v>
      </c>
      <c r="J29" s="268">
        <f>IF(Conneaut!J29="","",SUM(Conneaut:Wattsburg!J29))</f>
        <v>11000</v>
      </c>
      <c r="K29" s="234">
        <f>IF(Conneaut!K29="","",SUM(Conneaut:Wattsburg!K29))</f>
        <v>10960</v>
      </c>
      <c r="L29" s="234" t="str">
        <f>IF(Conneaut!L29="","",SUM(Conneaut:Wattsburg!L29))</f>
        <v/>
      </c>
      <c r="M29" s="268" t="str">
        <f>IF(Conneaut!M29="","",SUM(Conneaut:Wattsburg!M29))</f>
        <v/>
      </c>
      <c r="N29" s="234" t="str">
        <f>IF(Conneaut!N29="","",SUM(Conneaut:Wattsburg!N29))</f>
        <v/>
      </c>
      <c r="O29" s="270" t="str">
        <f>IF(Conneaut!O29="","",SUM(Conneaut:Wattsburg!O29))</f>
        <v/>
      </c>
      <c r="P29" s="234">
        <f t="shared" ref="P29:P35" si="5">SUM(D29:O29)</f>
        <v>92656</v>
      </c>
      <c r="Q29" s="271"/>
    </row>
    <row r="30" spans="2:17" ht="18.5" x14ac:dyDescent="0.45">
      <c r="C30" s="267" t="s">
        <v>324</v>
      </c>
      <c r="D30" s="268">
        <f>IF(Conneaut!D30="","",SUM(Conneaut:Wattsburg!D30))</f>
        <v>236.16</v>
      </c>
      <c r="E30" s="234">
        <f>IF(Conneaut!E30="","",SUM(Conneaut:Wattsburg!E30))</f>
        <v>237.6</v>
      </c>
      <c r="F30" s="234">
        <f>IF(Conneaut!F30="","",SUM(Conneaut:Wattsburg!F30))</f>
        <v>233.28</v>
      </c>
      <c r="G30" s="268">
        <f>IF(Conneaut!G30="","",SUM(Conneaut:Wattsburg!G30))</f>
        <v>233.28</v>
      </c>
      <c r="H30" s="234">
        <f>IF(Conneaut!H30="","",SUM(Conneaut:Wattsburg!H30))</f>
        <v>233.28</v>
      </c>
      <c r="I30" s="234">
        <f>IF(Conneaut!I30="","",SUM(Conneaut:Wattsburg!I30))</f>
        <v>233.28</v>
      </c>
      <c r="J30" s="268">
        <f>IF(Conneaut!J30="","",SUM(Conneaut:Wattsburg!J30))</f>
        <v>234.72</v>
      </c>
      <c r="K30" s="234">
        <f>IF(Conneaut!K30="","",SUM(Conneaut:Wattsburg!K30))</f>
        <v>237.6</v>
      </c>
      <c r="L30" s="234" t="str">
        <f>IF(Conneaut!L30="","",SUM(Conneaut:Wattsburg!L30))</f>
        <v/>
      </c>
      <c r="M30" s="268" t="str">
        <f>IF(Conneaut!M30="","",SUM(Conneaut:Wattsburg!M30))</f>
        <v/>
      </c>
      <c r="N30" s="234" t="str">
        <f>IF(Conneaut!N30="","",SUM(Conneaut:Wattsburg!N30))</f>
        <v/>
      </c>
      <c r="O30" s="234" t="str">
        <f>IF(Conneaut!O30="","",SUM(Conneaut:Wattsburg!O30))</f>
        <v/>
      </c>
      <c r="P30" s="474">
        <f t="shared" si="5"/>
        <v>1879.1999999999998</v>
      </c>
      <c r="Q30" s="271"/>
    </row>
    <row r="31" spans="2:17" ht="18.5" x14ac:dyDescent="0.45">
      <c r="C31" s="267" t="s">
        <v>325</v>
      </c>
      <c r="D31" s="268">
        <f>IF(Conneaut!D31="","",SUM(Conneaut:Wattsburg!D31))</f>
        <v>3180</v>
      </c>
      <c r="E31" s="234">
        <f>IF(Conneaut!E31="","",SUM(Conneaut:Wattsburg!E31))</f>
        <v>3180</v>
      </c>
      <c r="F31" s="234">
        <f>IF(Conneaut!F31="","",SUM(Conneaut:Wattsburg!F31))</f>
        <v>3180</v>
      </c>
      <c r="G31" s="268">
        <f>IF(Conneaut!G31="","",SUM(Conneaut:Wattsburg!G31))</f>
        <v>3180</v>
      </c>
      <c r="H31" s="234">
        <f>IF(Conneaut!H31="","",SUM(Conneaut:Wattsburg!H31))</f>
        <v>3180</v>
      </c>
      <c r="I31" s="234">
        <f>IF(Conneaut!I31="","",SUM(Conneaut:Wattsburg!I31))</f>
        <v>3180</v>
      </c>
      <c r="J31" s="268">
        <f>IF(Conneaut!J31="","",SUM(Conneaut:Wattsburg!J31))</f>
        <v>0</v>
      </c>
      <c r="K31" s="234">
        <f>IF(Conneaut!K31="","",SUM(Conneaut:Wattsburg!K31))</f>
        <v>0</v>
      </c>
      <c r="L31" s="234" t="str">
        <f>IF(Conneaut!L31="","",SUM(Conneaut:Wattsburg!L31))</f>
        <v/>
      </c>
      <c r="M31" s="268" t="str">
        <f>IF(Conneaut!M31="","",SUM(Conneaut:Wattsburg!M31))</f>
        <v/>
      </c>
      <c r="N31" s="234" t="str">
        <f>IF(Conneaut!N31="","",SUM(Conneaut:Wattsburg!N31))</f>
        <v/>
      </c>
      <c r="O31" s="270" t="str">
        <f>IF(Conneaut!O31="","",SUM(Conneaut:Wattsburg!O31))</f>
        <v/>
      </c>
      <c r="P31" s="234">
        <f t="shared" si="5"/>
        <v>19080</v>
      </c>
      <c r="Q31" s="271"/>
    </row>
    <row r="32" spans="2:17" ht="18.5" x14ac:dyDescent="0.45">
      <c r="C32" s="267" t="s">
        <v>247</v>
      </c>
      <c r="D32" s="268">
        <f>IF(Conneaut!D32="","",SUM(Conneaut:Wattsburg!D32))</f>
        <v>5574.0655500000003</v>
      </c>
      <c r="E32" s="234">
        <f>IF(Conneaut!E32="","",SUM(Conneaut:Wattsburg!E32))</f>
        <v>5734.7217999999993</v>
      </c>
      <c r="F32" s="234">
        <f>IF(Conneaut!F32="","",SUM(Conneaut:Wattsburg!F32))</f>
        <v>7266.1201499999997</v>
      </c>
      <c r="G32" s="268">
        <f>IF(Conneaut!G32="","",SUM(Conneaut:Wattsburg!G32))</f>
        <v>6238.75425</v>
      </c>
      <c r="H32" s="234">
        <f>IF(Conneaut!H32="","",SUM(Conneaut:Wattsburg!H32))</f>
        <v>6134.8248500000009</v>
      </c>
      <c r="I32" s="234">
        <f>IF(Conneaut!I32="","",SUM(Conneaut:Wattsburg!I32))</f>
        <v>7274.0971500000005</v>
      </c>
      <c r="J32" s="268">
        <f>IF(Conneaut!J32="","",SUM(Conneaut:Wattsburg!J32))</f>
        <v>8044.215549999999</v>
      </c>
      <c r="K32" s="234">
        <f>IF(Conneaut!K32="","",SUM(Conneaut:Wattsburg!K32))</f>
        <v>7176.0463</v>
      </c>
      <c r="L32" s="234" t="str">
        <f>IF(Conneaut!L32="","",SUM(Conneaut:Wattsburg!L32))</f>
        <v/>
      </c>
      <c r="M32" s="268" t="str">
        <f>IF(Conneaut!M32="","",SUM(Conneaut:Wattsburg!M32))</f>
        <v/>
      </c>
      <c r="N32" s="234" t="str">
        <f>IF(Conneaut!N32="","",SUM(Conneaut:Wattsburg!N32))</f>
        <v/>
      </c>
      <c r="O32" s="270" t="str">
        <f>IF(Conneaut!O32="","",SUM(Conneaut:Wattsburg!O32))</f>
        <v/>
      </c>
      <c r="P32" s="234">
        <f t="shared" si="5"/>
        <v>53442.845600000001</v>
      </c>
      <c r="Q32" s="271"/>
    </row>
    <row r="33" spans="2:18" ht="18.5" x14ac:dyDescent="0.45">
      <c r="C33" s="267" t="s">
        <v>227</v>
      </c>
      <c r="D33" s="268">
        <f>IF(Conneaut!D33="","",SUM(Conneaut:Wattsburg!D33))</f>
        <v>5927.25</v>
      </c>
      <c r="E33" s="234">
        <f>IF(Conneaut!E33="","",SUM(Conneaut:Wattsburg!E33))</f>
        <v>5923.75</v>
      </c>
      <c r="F33" s="234">
        <f>IF(Conneaut!F33="","",SUM(Conneaut:Wattsburg!F33))</f>
        <v>6002.5</v>
      </c>
      <c r="G33" s="268">
        <f>IF(Conneaut!G33="","",SUM(Conneaut:Wattsburg!G33))</f>
        <v>5999</v>
      </c>
      <c r="H33" s="234">
        <f>IF(Conneaut!H33="","",SUM(Conneaut:Wattsburg!H33))</f>
        <v>6000.75</v>
      </c>
      <c r="I33" s="234">
        <f>IF(Conneaut!I33="","",SUM(Conneaut:Wattsburg!I33))</f>
        <v>6011.25</v>
      </c>
      <c r="J33" s="268">
        <f>IF(Conneaut!J33="","",SUM(Conneaut:Wattsburg!J33))</f>
        <v>6011.25</v>
      </c>
      <c r="K33" s="234">
        <f>IF(Conneaut!K33="","",SUM(Conneaut:Wattsburg!K33))</f>
        <v>5992</v>
      </c>
      <c r="L33" s="234" t="str">
        <f>IF(Conneaut!L33="","",SUM(Conneaut:Wattsburg!L33))</f>
        <v/>
      </c>
      <c r="M33" s="268" t="str">
        <f>IF(Conneaut!M33="","",SUM(Conneaut:Wattsburg!M33))</f>
        <v/>
      </c>
      <c r="N33" s="234" t="str">
        <f>IF(Conneaut!N33="","",SUM(Conneaut:Wattsburg!N33))</f>
        <v/>
      </c>
      <c r="O33" s="270" t="str">
        <f>IF(Conneaut!O33="","",SUM(Conneaut:Wattsburg!O33))</f>
        <v/>
      </c>
      <c r="P33" s="234">
        <f t="shared" si="5"/>
        <v>47867.75</v>
      </c>
      <c r="Q33" s="271"/>
    </row>
    <row r="34" spans="2:18" ht="18.5" x14ac:dyDescent="0.45">
      <c r="C34" s="267" t="s">
        <v>228</v>
      </c>
      <c r="D34" s="268">
        <f>IF(Conneaut!D34="","",SUM(Conneaut:Wattsburg!D34))</f>
        <v>11177.1</v>
      </c>
      <c r="E34" s="234">
        <f>IF(Conneaut!E34="","",SUM(Conneaut:Wattsburg!E34))</f>
        <v>11170.500000000002</v>
      </c>
      <c r="F34" s="234">
        <f>IF(Conneaut!F34="","",SUM(Conneaut:Wattsburg!F34))</f>
        <v>11319.000000000002</v>
      </c>
      <c r="G34" s="268">
        <f>IF(Conneaut!G34="","",SUM(Conneaut:Wattsburg!G34))</f>
        <v>11312.400000000001</v>
      </c>
      <c r="H34" s="234">
        <f>IF(Conneaut!H34="","",SUM(Conneaut:Wattsburg!H34))</f>
        <v>11315.7</v>
      </c>
      <c r="I34" s="234">
        <f>IF(Conneaut!I34="","",SUM(Conneaut:Wattsburg!I34))</f>
        <v>11335.500000000002</v>
      </c>
      <c r="J34" s="268">
        <f>IF(Conneaut!J34="","",SUM(Conneaut:Wattsburg!J34))</f>
        <v>11335.499999999998</v>
      </c>
      <c r="K34" s="234">
        <f>IF(Conneaut!K34="","",SUM(Conneaut:Wattsburg!K34))</f>
        <v>11299.2</v>
      </c>
      <c r="L34" s="234" t="str">
        <f>IF(Conneaut!L34="","",SUM(Conneaut:Wattsburg!L34))</f>
        <v/>
      </c>
      <c r="M34" s="268" t="str">
        <f>IF(Conneaut!M34="","",SUM(Conneaut:Wattsburg!M34))</f>
        <v/>
      </c>
      <c r="N34" s="234" t="str">
        <f>IF(Conneaut!N34="","",SUM(Conneaut:Wattsburg!N34))</f>
        <v/>
      </c>
      <c r="O34" s="270" t="str">
        <f>IF(Conneaut!O34="","",SUM(Conneaut:Wattsburg!O34))</f>
        <v/>
      </c>
      <c r="P34" s="234">
        <f t="shared" si="5"/>
        <v>90264.900000000009</v>
      </c>
      <c r="Q34" s="271"/>
    </row>
    <row r="35" spans="2:18" ht="18.5" x14ac:dyDescent="0.45">
      <c r="C35" s="267" t="s">
        <v>202</v>
      </c>
      <c r="D35" s="268">
        <f>IF(Conneaut!D35="","",SUM(Conneaut:Wattsburg!D35))</f>
        <v>13412.52</v>
      </c>
      <c r="E35" s="457">
        <f>IF(Conneaut!E35="","",SUM(Conneaut:Wattsburg!E35))</f>
        <v>13404.599999999999</v>
      </c>
      <c r="F35" s="456">
        <f>IF(Conneaut!F35="","",SUM(Conneaut:Wattsburg!F35))</f>
        <v>13582.8</v>
      </c>
      <c r="G35" s="458">
        <f>IF(Conneaut!G35="","",SUM(Conneaut:Wattsburg!G35))</f>
        <v>13574.880000000001</v>
      </c>
      <c r="H35" s="457">
        <f>IF(Conneaut!H35="","",SUM(Conneaut:Wattsburg!H35))</f>
        <v>13578.839999999998</v>
      </c>
      <c r="I35" s="234">
        <f>IF(Conneaut!I35="","",SUM(Conneaut:Wattsburg!I35))</f>
        <v>13602.599999999997</v>
      </c>
      <c r="J35" s="268">
        <f>IF(Conneaut!J35="","",SUM(Conneaut:Wattsburg!J35))</f>
        <v>13602.599999999999</v>
      </c>
      <c r="K35" s="457">
        <f>IF(Conneaut!K35="","",SUM(Conneaut:Wattsburg!K35))</f>
        <v>13559.039999999999</v>
      </c>
      <c r="L35" s="456" t="str">
        <f>IF(Conneaut!L35="","",SUM(Conneaut:Wattsburg!L35))</f>
        <v/>
      </c>
      <c r="M35" s="268" t="str">
        <f>IF(Conneaut!M35="","",SUM(Conneaut:Wattsburg!M35))</f>
        <v/>
      </c>
      <c r="N35" s="234" t="str">
        <f>IF(Conneaut!N35="","",SUM(Conneaut:Wattsburg!N35))</f>
        <v/>
      </c>
      <c r="O35" s="270" t="str">
        <f>IF(Conneaut!O35="","",SUM(Conneaut:Wattsburg!O35))</f>
        <v/>
      </c>
      <c r="P35" s="234">
        <f t="shared" si="5"/>
        <v>108317.87999999999</v>
      </c>
      <c r="Q35" s="271"/>
    </row>
    <row r="36" spans="2:18" ht="18.5" x14ac:dyDescent="0.45">
      <c r="C36" s="272" t="s">
        <v>203</v>
      </c>
      <c r="D36" s="273">
        <f t="shared" ref="D36:P36" si="6">IF(D$8="","",SUM(D28:D35))</f>
        <v>185013.85555000004</v>
      </c>
      <c r="E36" s="274">
        <f t="shared" si="6"/>
        <v>185218.21180000002</v>
      </c>
      <c r="F36" s="275">
        <f t="shared" si="6"/>
        <v>188988.62014999997</v>
      </c>
      <c r="G36" s="273">
        <f t="shared" si="6"/>
        <v>187842.81425</v>
      </c>
      <c r="H36" s="274">
        <f t="shared" si="6"/>
        <v>187892.31485000002</v>
      </c>
      <c r="I36" s="274">
        <f t="shared" si="6"/>
        <v>189165.92715</v>
      </c>
      <c r="J36" s="273">
        <f t="shared" si="6"/>
        <v>188109.18555000002</v>
      </c>
      <c r="K36" s="274">
        <f t="shared" si="6"/>
        <v>186663.24630000003</v>
      </c>
      <c r="L36" s="274" t="str">
        <f t="shared" si="6"/>
        <v/>
      </c>
      <c r="M36" s="273" t="str">
        <f t="shared" si="6"/>
        <v/>
      </c>
      <c r="N36" s="274" t="str">
        <f t="shared" si="6"/>
        <v/>
      </c>
      <c r="O36" s="276" t="str">
        <f t="shared" si="6"/>
        <v/>
      </c>
      <c r="P36" s="274">
        <f t="shared" si="6"/>
        <v>1498894.1755999997</v>
      </c>
      <c r="Q36" s="271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161"/>
      <c r="J37" s="277"/>
      <c r="K37" s="161"/>
      <c r="L37" s="161"/>
      <c r="M37" s="277"/>
      <c r="N37" s="161"/>
      <c r="O37" s="279"/>
      <c r="P37" s="161"/>
      <c r="Q37" s="271"/>
    </row>
    <row r="38" spans="2:18" ht="18.5" x14ac:dyDescent="0.45">
      <c r="C38" s="267" t="s">
        <v>362</v>
      </c>
      <c r="D38" s="268">
        <f>IF(Conneaut!D38="","",SUM(Conneaut:Wattsburg!D38))</f>
        <v>334533.99000000005</v>
      </c>
      <c r="E38" s="234">
        <f>IF(Conneaut!E38="","",SUM(Conneaut:Wattsburg!E38))</f>
        <v>334336.44999999995</v>
      </c>
      <c r="F38" s="234">
        <f>IF(Conneaut!F38="","",SUM(Conneaut:Wattsburg!F38))</f>
        <v>338781.1</v>
      </c>
      <c r="G38" s="268">
        <f>IF(Conneaut!G38="","",SUM(Conneaut:Wattsburg!G38))</f>
        <v>338583.56000000011</v>
      </c>
      <c r="H38" s="234">
        <f>IF(Conneaut!H38="","",SUM(Conneaut:Wattsburg!H38))</f>
        <v>338682.3299999999</v>
      </c>
      <c r="I38" s="234">
        <f>IF(Conneaut!I38="","",SUM(Conneaut:Wattsburg!I38))</f>
        <v>339274.94999999995</v>
      </c>
      <c r="J38" s="268">
        <f>IF(Conneaut!J38="","",SUM(Conneaut:Wattsburg!J38))</f>
        <v>339274.94999999995</v>
      </c>
      <c r="K38" s="234">
        <f>IF(Conneaut!K38="","",SUM(Conneaut:Wattsburg!K38))</f>
        <v>338188.47999999992</v>
      </c>
      <c r="L38" s="234" t="str">
        <f>IF(Conneaut!L38="","",SUM(Conneaut:Wattsburg!L38))</f>
        <v/>
      </c>
      <c r="M38" s="268" t="str">
        <f>IF(Conneaut!M38="","",SUM(Conneaut:Wattsburg!M38))</f>
        <v/>
      </c>
      <c r="N38" s="234" t="str">
        <f>IF(Conneaut!N38="","",SUM(Conneaut:Wattsburg!N38))</f>
        <v/>
      </c>
      <c r="O38" s="270" t="str">
        <f>IF(Conneaut!O38="","",SUM(Conneaut:Wattsburg!O38))</f>
        <v/>
      </c>
      <c r="P38" s="234">
        <f>SUM(D38:O38)</f>
        <v>2701655.81</v>
      </c>
      <c r="Q38" s="271"/>
      <c r="R38" s="11"/>
    </row>
    <row r="39" spans="2:18" ht="18.5" x14ac:dyDescent="0.45">
      <c r="C39" s="267" t="s">
        <v>205</v>
      </c>
      <c r="D39" s="268">
        <f>IF(Conneaut!D39="","",SUM(Conneaut:Wattsburg!D39))</f>
        <v>1502453.6200000003</v>
      </c>
      <c r="E39" s="234">
        <f>IF(Conneaut!E39="","",SUM(Conneaut:Wattsburg!E39))</f>
        <v>1502619.7099999997</v>
      </c>
      <c r="F39" s="234">
        <f>IF(Conneaut!F39="","",SUM(Conneaut:Wattsburg!F39))</f>
        <v>1524819.7399999998</v>
      </c>
      <c r="G39" s="268">
        <f>IF(Conneaut!G39="","",SUM(Conneaut:Wattsburg!G39))</f>
        <v>1523578.6500000004</v>
      </c>
      <c r="H39" s="234">
        <f>IF(Conneaut!H39="","",SUM(Conneaut:Wattsburg!H39))</f>
        <v>1523790.5799999998</v>
      </c>
      <c r="I39" s="234">
        <f>IF(Conneaut!I39="","",SUM(Conneaut:Wattsburg!I39))</f>
        <v>839681.72000000009</v>
      </c>
      <c r="J39" s="268">
        <f>IF(Conneaut!J39="","",SUM(Conneaut:Wattsburg!J39))</f>
        <v>839799.86</v>
      </c>
      <c r="K39" s="234">
        <f>IF(Conneaut!K39="","",SUM(Conneaut:Wattsburg!K39))</f>
        <v>837046.08</v>
      </c>
      <c r="L39" s="234" t="str">
        <f>IF(Conneaut!L39="","",SUM(Conneaut:Wattsburg!L39))</f>
        <v/>
      </c>
      <c r="M39" s="268" t="str">
        <f>IF(Conneaut!M39="","",SUM(Conneaut:Wattsburg!M39))</f>
        <v/>
      </c>
      <c r="N39" s="234" t="str">
        <f>IF(Conneaut!N39="","",SUM(Conneaut:Wattsburg!N39))</f>
        <v/>
      </c>
      <c r="O39" s="270" t="str">
        <f>IF(Conneaut!O39="","",SUM(Conneaut:Wattsburg!O39))</f>
        <v/>
      </c>
      <c r="P39" s="234">
        <f t="shared" ref="P39:P41" si="7">SUM(D39:O39)</f>
        <v>10093789.960000001</v>
      </c>
      <c r="Q39" s="271"/>
    </row>
    <row r="40" spans="2:18" ht="18.5" x14ac:dyDescent="0.45">
      <c r="C40" s="267" t="s">
        <v>322</v>
      </c>
      <c r="D40" s="268">
        <f>IF(Conneaut!D40="","",SUM(Conneaut:Wattsburg!D40))</f>
        <v>13548</v>
      </c>
      <c r="E40" s="234">
        <f>IF(Conneaut!E40="","",SUM(Conneaut:Wattsburg!E40))</f>
        <v>13540</v>
      </c>
      <c r="F40" s="234">
        <f>IF(Conneaut!F40="","",SUM(Conneaut:Wattsburg!F40))</f>
        <v>13720</v>
      </c>
      <c r="G40" s="268">
        <f>IF(Conneaut!G40="","",SUM(Conneaut:Wattsburg!G40))</f>
        <v>13712</v>
      </c>
      <c r="H40" s="234">
        <f>IF(Conneaut!H40="","",SUM(Conneaut:Wattsburg!H40))</f>
        <v>13716</v>
      </c>
      <c r="I40" s="234">
        <f>IF(Conneaut!I40="","",SUM(Conneaut:Wattsburg!I40))</f>
        <v>13740</v>
      </c>
      <c r="J40" s="268">
        <f>IF(Conneaut!J40="","",SUM(Conneaut:Wattsburg!J40))</f>
        <v>13740</v>
      </c>
      <c r="K40" s="234">
        <f>IF(Conneaut!K40="","",SUM(Conneaut:Wattsburg!K40))</f>
        <v>13696</v>
      </c>
      <c r="L40" s="234" t="str">
        <f>IF(Conneaut!L40="","",SUM(Conneaut:Wattsburg!L40))</f>
        <v/>
      </c>
      <c r="M40" s="268" t="str">
        <f>IF(Conneaut!M40="","",SUM(Conneaut:Wattsburg!M40))</f>
        <v/>
      </c>
      <c r="N40" s="234" t="str">
        <f>IF(Conneaut!N40="","",SUM(Conneaut:Wattsburg!N40))</f>
        <v/>
      </c>
      <c r="O40" s="234" t="str">
        <f>IF(Conneaut!O40="","",SUM(Conneaut:Wattsburg!O40))</f>
        <v/>
      </c>
      <c r="P40" s="474">
        <f t="shared" si="7"/>
        <v>109412</v>
      </c>
      <c r="Q40" s="271"/>
    </row>
    <row r="41" spans="2:18" ht="18.5" x14ac:dyDescent="0.45">
      <c r="C41" s="267" t="s">
        <v>206</v>
      </c>
      <c r="D41" s="458">
        <f>IF(Conneaut!D41="","",SUM(Conneaut:Wattsburg!D41))</f>
        <v>9754.5599999999977</v>
      </c>
      <c r="E41" s="457">
        <f>IF(Conneaut!E41="","",SUM(Conneaut:Wattsburg!E41))</f>
        <v>9748.8000000000011</v>
      </c>
      <c r="F41" s="456">
        <f>IF(Conneaut!F41="","",SUM(Conneaut:Wattsburg!F41))</f>
        <v>9878.3999999999978</v>
      </c>
      <c r="G41" s="458">
        <f>IF(Conneaut!G41="","",SUM(Conneaut:Wattsburg!G41))</f>
        <v>9872.6400000000012</v>
      </c>
      <c r="H41" s="457">
        <f>IF(Conneaut!H41="","",SUM(Conneaut:Wattsburg!H41))</f>
        <v>9875.52</v>
      </c>
      <c r="I41" s="457">
        <f>IF(Conneaut!I41="","",SUM(Conneaut:Wattsburg!I41))</f>
        <v>9892.8000000000011</v>
      </c>
      <c r="J41" s="458">
        <f>IF(Conneaut!J41="","",SUM(Conneaut:Wattsburg!J41))</f>
        <v>9892.8000000000011</v>
      </c>
      <c r="K41" s="457">
        <f>IF(Conneaut!K41="","",SUM(Conneaut:Wattsburg!K41))</f>
        <v>9861.1200000000008</v>
      </c>
      <c r="L41" s="456" t="str">
        <f>IF(Conneaut!L41="","",SUM(Conneaut:Wattsburg!L41))</f>
        <v/>
      </c>
      <c r="M41" s="458" t="str">
        <f>IF(Conneaut!M41="","",SUM(Conneaut:Wattsburg!M41))</f>
        <v/>
      </c>
      <c r="N41" s="457" t="str">
        <f>IF(Conneaut!N41="","",SUM(Conneaut:Wattsburg!N41))</f>
        <v/>
      </c>
      <c r="O41" s="457" t="str">
        <f>IF(Conneaut!O41="","",SUM(Conneaut:Wattsburg!O41))</f>
        <v/>
      </c>
      <c r="P41" s="475">
        <f t="shared" si="7"/>
        <v>78776.639999999999</v>
      </c>
      <c r="Q41" s="271"/>
    </row>
    <row r="42" spans="2:18" ht="18.5" x14ac:dyDescent="0.45">
      <c r="C42" s="272" t="s">
        <v>207</v>
      </c>
      <c r="D42" s="273">
        <f t="shared" ref="D42:O42" si="8">IF(D$8="","",SUM(D38:D41))</f>
        <v>1860290.1700000004</v>
      </c>
      <c r="E42" s="274">
        <f t="shared" si="8"/>
        <v>1860244.9599999997</v>
      </c>
      <c r="F42" s="275">
        <f t="shared" si="8"/>
        <v>1887199.2399999998</v>
      </c>
      <c r="G42" s="273">
        <f t="shared" si="8"/>
        <v>1885746.8500000003</v>
      </c>
      <c r="H42" s="274">
        <f t="shared" si="8"/>
        <v>1886064.4299999997</v>
      </c>
      <c r="I42" s="274">
        <f t="shared" si="8"/>
        <v>1202589.47</v>
      </c>
      <c r="J42" s="273">
        <f t="shared" si="8"/>
        <v>1202707.6100000001</v>
      </c>
      <c r="K42" s="274">
        <f t="shared" si="8"/>
        <v>1198791.6799999999</v>
      </c>
      <c r="L42" s="274" t="str">
        <f t="shared" si="8"/>
        <v/>
      </c>
      <c r="M42" s="273" t="str">
        <f t="shared" si="8"/>
        <v/>
      </c>
      <c r="N42" s="274" t="str">
        <f t="shared" si="8"/>
        <v/>
      </c>
      <c r="O42" s="276" t="str">
        <f t="shared" si="8"/>
        <v/>
      </c>
      <c r="P42" s="274">
        <f>IF(P$8="","",SUM(P38:P41))</f>
        <v>12983634.410000002</v>
      </c>
      <c r="Q42" s="271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161"/>
      <c r="J43" s="277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/>
      <c r="C44" s="267" t="s">
        <v>209</v>
      </c>
      <c r="D44" s="268">
        <f>IF(Conneaut!D44="","",SUM(Conneaut:Wattsburg!D44))</f>
        <v>0</v>
      </c>
      <c r="E44" s="234">
        <f>IF(Conneaut!E44="","",SUM(Conneaut:Wattsburg!E44))</f>
        <v>0</v>
      </c>
      <c r="F44" s="234">
        <f>IF(Conneaut!F44="","",SUM(Conneaut:Wattsburg!F44))</f>
        <v>0</v>
      </c>
      <c r="G44" s="268">
        <f>IF(Conneaut!G44="","",SUM(Conneaut:Wattsburg!G44))</f>
        <v>416.50000000000017</v>
      </c>
      <c r="H44" s="234">
        <f>IF(Conneaut!H44="","",SUM(Conneaut:Wattsburg!H44))</f>
        <v>0</v>
      </c>
      <c r="I44" s="234">
        <f>IF(Conneaut!I44="","",SUM(Conneaut:Wattsburg!I44))</f>
        <v>229.94999999999987</v>
      </c>
      <c r="J44" s="268">
        <f>IF(Conneaut!J44="","",SUM(Conneaut:Wattsburg!J44))</f>
        <v>595</v>
      </c>
      <c r="K44" s="234">
        <f>IF(Conneaut!K44="","",SUM(Conneaut:Wattsburg!K44))</f>
        <v>1070.9999999999998</v>
      </c>
      <c r="L44" s="234" t="str">
        <f>IF(Conneaut!L44="","",SUM(Conneaut:Wattsburg!L44))</f>
        <v/>
      </c>
      <c r="M44" s="268" t="str">
        <f>IF(Conneaut!M44="","",SUM(Conneaut:Wattsburg!M44))</f>
        <v/>
      </c>
      <c r="N44" s="234" t="str">
        <f>IF(Conneaut!N44="","",SUM(Conneaut:Wattsburg!N44))</f>
        <v/>
      </c>
      <c r="O44" s="270" t="str">
        <f>IF(Conneaut!O44="","",SUM(Conneaut:Wattsburg!O44))</f>
        <v/>
      </c>
      <c r="P44" s="234">
        <f>SUM(D44:O44)</f>
        <v>2312.4499999999998</v>
      </c>
      <c r="Q44" s="244"/>
    </row>
    <row r="45" spans="2:18" ht="18.5" x14ac:dyDescent="0.45">
      <c r="B45" s="213"/>
      <c r="C45" s="267" t="s">
        <v>210</v>
      </c>
      <c r="D45" s="268">
        <f>IF(Conneaut!D45="","",SUM(Conneaut:Wattsburg!D45))</f>
        <v>0</v>
      </c>
      <c r="E45" s="234">
        <f>IF(Conneaut!E45="","",SUM(Conneaut:Wattsburg!E45))</f>
        <v>0</v>
      </c>
      <c r="F45" s="234">
        <f>IF(Conneaut!F45="","",SUM(Conneaut:Wattsburg!F45))</f>
        <v>0</v>
      </c>
      <c r="G45" s="268">
        <f>IF(Conneaut!G45="","",SUM(Conneaut:Wattsburg!G45))</f>
        <v>0</v>
      </c>
      <c r="H45" s="234">
        <f>IF(Conneaut!H45="","",SUM(Conneaut:Wattsburg!H45))</f>
        <v>15599.999999999993</v>
      </c>
      <c r="I45" s="234">
        <f>IF(Conneaut!I45="","",SUM(Conneaut:Wattsburg!I45))</f>
        <v>0</v>
      </c>
      <c r="J45" s="268">
        <f>IF(Conneaut!J45="","",SUM(Conneaut:Wattsburg!J45))</f>
        <v>0</v>
      </c>
      <c r="K45" s="234">
        <f>IF(Conneaut!K45="","",SUM(Conneaut:Wattsburg!K45))</f>
        <v>0</v>
      </c>
      <c r="L45" s="234" t="str">
        <f>IF(Conneaut!L45="","",SUM(Conneaut:Wattsburg!L45))</f>
        <v/>
      </c>
      <c r="M45" s="268" t="str">
        <f>IF(Conneaut!M45="","",SUM(Conneaut:Wattsburg!M45))</f>
        <v/>
      </c>
      <c r="N45" s="234" t="str">
        <f>IF(Conneaut!N45="","",SUM(Conneaut:Wattsburg!N45))</f>
        <v/>
      </c>
      <c r="O45" s="270" t="str">
        <f>IF(Conneaut!O45="","",SUM(Conneaut:Wattsburg!O45))</f>
        <v/>
      </c>
      <c r="P45" s="234">
        <f t="shared" ref="P45:P48" si="9">SUM(D45:O45)</f>
        <v>15599.999999999993</v>
      </c>
      <c r="Q45" s="244"/>
    </row>
    <row r="46" spans="2:18" ht="18.5" x14ac:dyDescent="0.45">
      <c r="B46" s="213"/>
      <c r="C46" s="267" t="s">
        <v>297</v>
      </c>
      <c r="D46" s="268">
        <f>IF(Conneaut!D46="","",SUM(Conneaut:Wattsburg!D46))</f>
        <v>0</v>
      </c>
      <c r="E46" s="234">
        <f>IF(Conneaut!E46="","",SUM(Conneaut:Wattsburg!E46))</f>
        <v>5300</v>
      </c>
      <c r="F46" s="234">
        <f>IF(Conneaut!F46="","",SUM(Conneaut:Wattsburg!F46))</f>
        <v>4500</v>
      </c>
      <c r="G46" s="268">
        <f>IF(Conneaut!G46="","",SUM(Conneaut:Wattsburg!G46))</f>
        <v>0</v>
      </c>
      <c r="H46" s="234">
        <f>IF(Conneaut!H46="","",SUM(Conneaut:Wattsburg!H46))</f>
        <v>6400</v>
      </c>
      <c r="I46" s="234">
        <f>IF(Conneaut!I46="","",SUM(Conneaut:Wattsburg!I46))</f>
        <v>6400</v>
      </c>
      <c r="J46" s="268">
        <f>IF(Conneaut!J46="","",SUM(Conneaut:Wattsburg!J46))</f>
        <v>0</v>
      </c>
      <c r="K46" s="234">
        <f>IF(Conneaut!K46="","",SUM(Conneaut:Wattsburg!K46))</f>
        <v>0</v>
      </c>
      <c r="L46" s="234" t="str">
        <f>IF(Conneaut!L46="","",SUM(Conneaut:Wattsburg!L46))</f>
        <v/>
      </c>
      <c r="M46" s="268" t="str">
        <f>IF(Conneaut!M46="","",SUM(Conneaut:Wattsburg!M46))</f>
        <v/>
      </c>
      <c r="N46" s="234" t="str">
        <f>IF(Conneaut!N46="","",SUM(Conneaut:Wattsburg!N46))</f>
        <v/>
      </c>
      <c r="O46" s="270" t="str">
        <f>IF(Conneaut!O46="","",SUM(Conneaut:Wattsburg!O46))</f>
        <v/>
      </c>
      <c r="P46" s="234">
        <f t="shared" si="9"/>
        <v>22600</v>
      </c>
      <c r="Q46" s="244"/>
    </row>
    <row r="47" spans="2:18" ht="18.5" x14ac:dyDescent="0.45">
      <c r="B47" s="213"/>
      <c r="C47" s="267" t="s">
        <v>214</v>
      </c>
      <c r="D47" s="268">
        <f>IF(Conneaut!D47="","",SUM(Conneaut:Wattsburg!D47))</f>
        <v>0</v>
      </c>
      <c r="E47" s="234">
        <f>IF(Conneaut!E47="","",SUM(Conneaut:Wattsburg!E47))</f>
        <v>0</v>
      </c>
      <c r="F47" s="234">
        <f>IF(Conneaut!F47="","",SUM(Conneaut:Wattsburg!F47))</f>
        <v>0</v>
      </c>
      <c r="G47" s="268">
        <f>IF(Conneaut!G47="","",SUM(Conneaut:Wattsburg!G47))</f>
        <v>0</v>
      </c>
      <c r="H47" s="234">
        <f>IF(Conneaut!H47="","",SUM(Conneaut:Wattsburg!H47))</f>
        <v>0</v>
      </c>
      <c r="I47" s="234">
        <f>IF(Conneaut!I47="","",SUM(Conneaut:Wattsburg!I47))</f>
        <v>0</v>
      </c>
      <c r="J47" s="268">
        <f>IF(Conneaut!J47="","",SUM(Conneaut:Wattsburg!J47))</f>
        <v>0</v>
      </c>
      <c r="K47" s="234">
        <f>IF(Conneaut!K47="","",SUM(Conneaut:Wattsburg!K47))</f>
        <v>0</v>
      </c>
      <c r="L47" s="234" t="str">
        <f>IF(Conneaut!L47="","",SUM(Conneaut:Wattsburg!L47))</f>
        <v/>
      </c>
      <c r="M47" s="268" t="str">
        <f>IF(Conneaut!M47="","",SUM(Conneaut:Wattsburg!M47))</f>
        <v/>
      </c>
      <c r="N47" s="234" t="str">
        <f>IF(Conneaut!N47="","",SUM(Conneaut:Wattsburg!N47))</f>
        <v/>
      </c>
      <c r="O47" s="270" t="str">
        <f>IF(Conneaut!O47="","",SUM(Conneaut:Wattsburg!O47))</f>
        <v/>
      </c>
      <c r="P47" s="234">
        <f t="shared" si="9"/>
        <v>0</v>
      </c>
      <c r="Q47" s="244"/>
    </row>
    <row r="48" spans="2:18" ht="18.5" x14ac:dyDescent="0.45">
      <c r="B48" s="213"/>
      <c r="C48" s="267" t="s">
        <v>211</v>
      </c>
      <c r="D48" s="268">
        <f>IF(Conneaut!D48="","",SUM(Conneaut:Wattsburg!D48))</f>
        <v>636</v>
      </c>
      <c r="E48" s="457">
        <f>IF(Conneaut!E48="","",SUM(Conneaut:Wattsburg!E48))</f>
        <v>614</v>
      </c>
      <c r="F48" s="456">
        <f>IF(Conneaut!F48="","",SUM(Conneaut:Wattsburg!F48))</f>
        <v>614</v>
      </c>
      <c r="G48" s="268">
        <f>IF(Conneaut!G48="","",SUM(Conneaut:Wattsburg!G48))</f>
        <v>614</v>
      </c>
      <c r="H48" s="457">
        <f>IF(Conneaut!H48="","",SUM(Conneaut:Wattsburg!H48))</f>
        <v>612</v>
      </c>
      <c r="I48" s="456">
        <f>IF(Conneaut!I48="","",SUM(Conneaut:Wattsburg!I48))</f>
        <v>612</v>
      </c>
      <c r="J48" s="458">
        <f>IF(Conneaut!J48="","",SUM(Conneaut:Wattsburg!J48))</f>
        <v>610</v>
      </c>
      <c r="K48" s="457">
        <f>IF(Conneaut!K48="","",SUM(Conneaut:Wattsburg!K48))</f>
        <v>606</v>
      </c>
      <c r="L48" s="456" t="str">
        <f>IF(Conneaut!L48="","",SUM(Conneaut:Wattsburg!L48))</f>
        <v/>
      </c>
      <c r="M48" s="268" t="str">
        <f>IF(Conneaut!M48="","",SUM(Conneaut:Wattsburg!M48))</f>
        <v/>
      </c>
      <c r="N48" s="234" t="str">
        <f>IF(Conneaut!N48="","",SUM(Conneaut:Wattsburg!N48))</f>
        <v/>
      </c>
      <c r="O48" s="270" t="str">
        <f>IF(Conneaut!O48="","",SUM(Conneaut:Wattsburg!O48))</f>
        <v/>
      </c>
      <c r="P48" s="234">
        <f t="shared" si="9"/>
        <v>4918</v>
      </c>
      <c r="Q48" s="244"/>
    </row>
    <row r="49" spans="2:17" ht="22.5" customHeight="1" x14ac:dyDescent="0.45">
      <c r="C49" s="272" t="s">
        <v>229</v>
      </c>
      <c r="D49" s="273">
        <f t="shared" ref="D49:N49" si="10">IF(D$8="","",SUM(D44:D48))</f>
        <v>636</v>
      </c>
      <c r="E49" s="274">
        <f t="shared" si="10"/>
        <v>5914</v>
      </c>
      <c r="F49" s="275">
        <f t="shared" si="10"/>
        <v>5114</v>
      </c>
      <c r="G49" s="273">
        <f t="shared" si="10"/>
        <v>1030.5000000000002</v>
      </c>
      <c r="H49" s="274">
        <f t="shared" si="10"/>
        <v>22611.999999999993</v>
      </c>
      <c r="I49" s="275">
        <f t="shared" si="10"/>
        <v>7241.95</v>
      </c>
      <c r="J49" s="274">
        <f t="shared" si="10"/>
        <v>1205</v>
      </c>
      <c r="K49" s="274">
        <f t="shared" si="10"/>
        <v>1676.9999999999998</v>
      </c>
      <c r="L49" s="274" t="str">
        <f t="shared" si="10"/>
        <v/>
      </c>
      <c r="M49" s="273" t="str">
        <f t="shared" si="10"/>
        <v/>
      </c>
      <c r="N49" s="274" t="str">
        <f t="shared" si="10"/>
        <v/>
      </c>
      <c r="O49" s="276" t="str">
        <f>IF(O$8="","",SUM(O44:O48))</f>
        <v/>
      </c>
      <c r="P49" s="274">
        <f>IF(P$8="","",SUM(P44:P48))</f>
        <v>45430.45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161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-770194.46554999985</v>
      </c>
      <c r="E51" s="289">
        <f>IF(E8="","",E14-SUM(E26,E36,E42,E49))</f>
        <v>-2533316.5118000004</v>
      </c>
      <c r="F51" s="290">
        <f>IF(F8="","",F14-SUM(F26,F36,F42,F49))</f>
        <v>-156820.35014999844</v>
      </c>
      <c r="G51" s="288">
        <f>IF(G8="","",G14-SUM(G26,G36,G42,G49))</f>
        <v>-189693.27425000072</v>
      </c>
      <c r="H51" s="289">
        <f>IF(H8="","",H14-SUM(H26,H36,H42,H49))</f>
        <v>-1871673.4148499994</v>
      </c>
      <c r="I51" s="290">
        <f>IF(I8="","",I14-SUM(I26,I36,I42,I49))</f>
        <v>232874.83285000175</v>
      </c>
      <c r="J51" s="289">
        <f>IF(J8="","",J14-SUM(J26,J36,J42,J49))</f>
        <v>-1684820.5955499997</v>
      </c>
      <c r="K51" s="289">
        <f>IF(K8="","",K14-SUM(K26,K36,K42,K49))</f>
        <v>-681044.88630000316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-7654688.6656000018</v>
      </c>
      <c r="Q51" s="293"/>
    </row>
    <row r="52" spans="2:17" ht="25" customHeight="1" x14ac:dyDescent="0.45">
      <c r="B52" s="213"/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7005230.1600000001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-649458.50560000166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546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5172.5</v>
      </c>
      <c r="E56" s="234">
        <f>IF(E12="","",-E12)</f>
        <v>5457</v>
      </c>
      <c r="F56" s="269">
        <f>IF(F12="","",-F12)</f>
        <v>5076.25</v>
      </c>
      <c r="G56" s="268">
        <f>IF(G12="","",-G12)</f>
        <v>5543.5</v>
      </c>
      <c r="H56" s="234">
        <f>IF(H12="","",-H12)</f>
        <v>5546.5</v>
      </c>
      <c r="I56" s="269">
        <f>IF(I12="","",-I12)</f>
        <v>5560</v>
      </c>
      <c r="J56" s="234">
        <f>IF(J12="","",-J12)</f>
        <v>5553.5</v>
      </c>
      <c r="K56" s="234">
        <f>IF(K12="","",-K12)</f>
        <v>3724.5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41633.75</v>
      </c>
      <c r="Q56" s="244"/>
    </row>
    <row r="57" spans="2:17" ht="18.5" x14ac:dyDescent="0.45">
      <c r="B57" s="213"/>
      <c r="C57" s="267" t="s">
        <v>233</v>
      </c>
      <c r="D57" s="458">
        <f>IF(D$8="","",SUM(Conneaut:Wattsburg!D58))</f>
        <v>3904.45</v>
      </c>
      <c r="E57" s="234">
        <f>IF(E$8="","",SUM(Conneaut:Wattsburg!E58))</f>
        <v>5457</v>
      </c>
      <c r="F57" s="456">
        <f>IF(F$8="","",SUM(Conneaut:Wattsburg!F58))</f>
        <v>-25866.799999999999</v>
      </c>
      <c r="G57" s="268">
        <f>IF(G$8="","",SUM(Conneaut:Wattsburg!G58))</f>
        <v>-1275.1800000000003</v>
      </c>
      <c r="H57" s="457">
        <f>IF(H$8="","",SUM(Conneaut:Wattsburg!H58))</f>
        <v>5546.5</v>
      </c>
      <c r="I57" s="456">
        <f>IF(I$8="","",SUM(Conneaut:Wattsburg!I58))</f>
        <v>-13552.05</v>
      </c>
      <c r="J57" s="458">
        <f>IF(J$8="","",SUM(Conneaut:Wattsburg!J58))</f>
        <v>5553.5</v>
      </c>
      <c r="K57" s="234">
        <f>IF(K$8="","",SUM(Conneaut:Wattsburg!K58))</f>
        <v>3724.5</v>
      </c>
      <c r="L57" s="456" t="str">
        <f>IF(L$8="","",SUM(Conneaut:Wattsburg!L58))</f>
        <v/>
      </c>
      <c r="M57" s="268" t="str">
        <f>IF(M$8="","",SUM(Conneaut:Wattsburg!M58))</f>
        <v/>
      </c>
      <c r="N57" s="457" t="str">
        <f>IF(N$8="","",SUM(Conneaut:Wattsburg!N58))</f>
        <v/>
      </c>
      <c r="O57" s="457" t="str">
        <f>IF(O$8="","",SUM(Conneaut:Wattsburg!O58))</f>
        <v/>
      </c>
      <c r="P57" s="475">
        <f>SUM(D57:O57)</f>
        <v>-16508.079999999998</v>
      </c>
      <c r="Q57" s="244"/>
    </row>
    <row r="58" spans="2:17" ht="18.5" x14ac:dyDescent="0.45">
      <c r="C58" s="296" t="s">
        <v>234</v>
      </c>
      <c r="D58" s="297">
        <f>IF(D$8="","",SUM(D56:D57))</f>
        <v>9076.9500000000007</v>
      </c>
      <c r="E58" s="298">
        <f t="shared" ref="E58:O58" si="11">IF(E$8="","",SUM(E56:E57))</f>
        <v>10914</v>
      </c>
      <c r="F58" s="299">
        <f t="shared" si="11"/>
        <v>-20790.55</v>
      </c>
      <c r="G58" s="297">
        <f t="shared" si="11"/>
        <v>4268.32</v>
      </c>
      <c r="H58" s="298">
        <f t="shared" si="11"/>
        <v>11093</v>
      </c>
      <c r="I58" s="299">
        <f t="shared" si="11"/>
        <v>-7992.0499999999993</v>
      </c>
      <c r="J58" s="298">
        <f t="shared" si="11"/>
        <v>11107</v>
      </c>
      <c r="K58" s="298">
        <f t="shared" si="11"/>
        <v>7449</v>
      </c>
      <c r="L58" s="298" t="str">
        <f t="shared" si="11"/>
        <v/>
      </c>
      <c r="M58" s="297" t="str">
        <f t="shared" si="11"/>
        <v/>
      </c>
      <c r="N58" s="298" t="str">
        <f t="shared" si="11"/>
        <v/>
      </c>
      <c r="O58" s="300" t="str">
        <f t="shared" si="11"/>
        <v/>
      </c>
      <c r="P58" s="298">
        <f>SUM(P56:P57)</f>
        <v>25125.670000000002</v>
      </c>
      <c r="Q58" s="244"/>
    </row>
    <row r="59" spans="2:17" ht="25" customHeight="1" x14ac:dyDescent="0.45">
      <c r="B59" s="213"/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f>IF(Conneaut!P59="","",SUM(Conneaut:Wattsburg!P60))</f>
        <v>631970.12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657095.79</v>
      </c>
      <c r="Q60" s="244"/>
    </row>
    <row r="64" spans="2:17" x14ac:dyDescent="0.35">
      <c r="P64" s="524"/>
    </row>
  </sheetData>
  <mergeCells count="14">
    <mergeCell ref="D16:F16"/>
    <mergeCell ref="G16:I16"/>
    <mergeCell ref="J16:L16"/>
    <mergeCell ref="M16:O16"/>
    <mergeCell ref="C2:P2"/>
    <mergeCell ref="C3:P3"/>
    <mergeCell ref="C5:P5"/>
    <mergeCell ref="D10:F10"/>
    <mergeCell ref="M10:O10"/>
    <mergeCell ref="P21:P22"/>
    <mergeCell ref="C52:O52"/>
    <mergeCell ref="C53:O53"/>
    <mergeCell ref="C59:O59"/>
    <mergeCell ref="C60:O60"/>
  </mergeCells>
  <conditionalFormatting sqref="D51:P51">
    <cfRule type="cellIs" dxfId="19" priority="1" operator="lessThan">
      <formula>0</formula>
    </cfRule>
  </conditionalFormatting>
  <printOptions horizontalCentered="1"/>
  <pageMargins left="0.25" right="0.25" top="0.75" bottom="0.75" header="0.3" footer="0.3"/>
  <pageSetup scale="4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B9AD1-D241-424B-A3FD-E3DD31978FFE}">
  <sheetPr codeName="Sheet10">
    <tabColor theme="6" tint="0.39997558519241921"/>
    <pageSetUpPr fitToPage="1"/>
  </sheetPr>
  <dimension ref="B1:U80"/>
  <sheetViews>
    <sheetView view="pageBreakPreview" topLeftCell="A6" zoomScale="60" zoomScaleNormal="100" workbookViewId="0">
      <selection activeCell="K19" sqref="K18:K19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5" width="20.7265625" customWidth="1"/>
    <col min="16" max="16" width="33.81640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tr">
        <f>'HCC Summary'!B9</f>
        <v>Conneaut School District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Entry'!$D$3:$D$500,MATCH(1,INDEX((Conneaut!$C$7='Cash Flow Entry'!$B$3:$B$500)*(VALUE(Conneaut!D$7)='Cash Flow Entry'!$C$3:$C$500),0,1),0)),"")</f>
        <v>209</v>
      </c>
      <c r="E8" s="256" cm="1">
        <f t="array" ref="E8">IFERROR(INDEX('Cash Flow Entry'!$D$3:$D$500,MATCH(1,INDEX((Conneaut!$C$7='Cash Flow Entry'!$B$3:$B$500)*(VALUE(Conneaut!E$7)='Cash Flow Entry'!$C$3:$C$500),0,1),0)),"")</f>
        <v>210</v>
      </c>
      <c r="F8" s="257" cm="1">
        <f t="array" ref="F8">IFERROR(INDEX('Cash Flow Entry'!$D$3:$D$500,MATCH(1,INDEX((Conneaut!$C$7='Cash Flow Entry'!$B$3:$B$500)*(VALUE(Conneaut!F$7)='Cash Flow Entry'!$C$3:$C$500),0,1),0)),"")</f>
        <v>219</v>
      </c>
      <c r="G8" s="255" cm="1">
        <f t="array" ref="G8">IFERROR(INDEX('Cash Flow Entry'!$D$3:$D$500,MATCH(1,INDEX((Conneaut!$C$7='Cash Flow Entry'!$B$3:$B$500)*(VALUE(Conneaut!G$7)='Cash Flow Entry'!$C$3:$C$500),0,1),0)),"")</f>
        <v>218</v>
      </c>
      <c r="H8" s="256" cm="1">
        <f t="array" ref="H8">IFERROR(INDEX('Cash Flow Entry'!$D$3:$D$500,MATCH(1,INDEX((Conneaut!$C$7='Cash Flow Entry'!$B$3:$B$500)*(VALUE(Conneaut!H$7)='Cash Flow Entry'!$C$3:$C$500),0,1),0)),"")</f>
        <v>217</v>
      </c>
      <c r="I8" s="257" cm="1">
        <f t="array" ref="I8">IFERROR(INDEX('Cash Flow Entry'!$D$3:$D$500,MATCH(1,INDEX((Conneaut!$C$7='Cash Flow Entry'!$B$3:$B$500)*(VALUE(Conneaut!I$7)='Cash Flow Entry'!$C$3:$C$500),0,1),0)),"")</f>
        <v>215</v>
      </c>
      <c r="J8" s="256" cm="1">
        <f t="array" ref="J8">IFERROR(INDEX('Cash Flow Entry'!$D$3:$D$500,MATCH(1,INDEX((Conneaut!$C$7='Cash Flow Entry'!$B$3:$B$500)*(VALUE(Conneaut!J$7)='Cash Flow Entry'!$C$3:$C$500),0,1),0)),"")</f>
        <v>214</v>
      </c>
      <c r="K8" s="256" cm="1">
        <f t="array" ref="K8">IFERROR(INDEX('Cash Flow Entry'!$D$3:$D$500,MATCH(1,INDEX((Conneaut!$C$7='Cash Flow Entry'!$B$3:$B$500)*(VALUE(Conneaut!K$7)='Cash Flow Entry'!$C$3:$C$500),0,1),0)),"")</f>
        <v>213</v>
      </c>
      <c r="L8" s="256" t="str" cm="1">
        <f t="array" ref="L8">IFERROR(INDEX('Cash Flow Entry'!$D$3:$D$500,MATCH(1,INDEX((Conneaut!$C$7='Cash Flow Entry'!$B$3:$B$500)*(VALUE(Conneaut!L$7)='Cash Flow Entry'!$C$3:$C$500),0,1),0)),"")</f>
        <v/>
      </c>
      <c r="M8" s="255" t="str" cm="1">
        <f t="array" ref="M8">IFERROR(INDEX('Cash Flow Entry'!$D$3:$D$500,MATCH(1,INDEX((Conneaut!$C$7='Cash Flow Entry'!$B$3:$B$500)*(VALUE(Conneaut!M$7)='Cash Flow Entry'!$C$3:$C$500),0,1),0)),"")</f>
        <v/>
      </c>
      <c r="N8" s="256" t="str" cm="1">
        <f t="array" ref="N8">IFERROR(INDEX('Cash Flow Entry'!$D$3:$D$500,MATCH(1,INDEX((Conneaut!$C$7='Cash Flow Entry'!$B$3:$B$500)*(VALUE(Conneaut!N$7)='Cash Flow Entry'!$C$3:$C$500),0,1),0)),"")</f>
        <v/>
      </c>
      <c r="O8" s="258" t="str" cm="1">
        <f t="array" ref="O8">IFERROR(INDEX('Cash Flow Entry'!$D$3:$D$500,MATCH(1,INDEX((Conneaut!$C$7='Cash Flow Entry'!$B$3:$B$500)*(VALUE(Conneaut!O$7)='Cash Flow Entry'!$C$3:$C$500),0,1),0)),"")</f>
        <v/>
      </c>
      <c r="P8" s="259">
        <f>SUM(D8:O8)</f>
        <v>1715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Entry'!$E$3:$E$500,MATCH(1,INDEX((Conneaut!$C$7='Cash Flow Entry'!$B$3:$B$500)*(VALUE(Conneaut!D$7)='Cash Flow Entry'!$C$3:$C$500),0,1),0)),"")</f>
        <v>561</v>
      </c>
      <c r="E9" s="256" cm="1">
        <f t="array" ref="E9">IFERROR(INDEX('Cash Flow Entry'!$E$3:$E$500,MATCH(1,INDEX((Conneaut!$C$7='Cash Flow Entry'!$B$3:$B$500)*(VALUE(Conneaut!E$7)='Cash Flow Entry'!$C$3:$C$500),0,1),0)),"")</f>
        <v>565</v>
      </c>
      <c r="F9" s="257" cm="1">
        <f t="array" ref="F9">IFERROR(INDEX('Cash Flow Entry'!$E$3:$E$500,MATCH(1,INDEX((Conneaut!$C$7='Cash Flow Entry'!$B$3:$B$500)*(VALUE(Conneaut!F$7)='Cash Flow Entry'!$C$3:$C$500),0,1),0)),"")</f>
        <v>587</v>
      </c>
      <c r="G9" s="255" cm="1">
        <f t="array" ref="G9">IFERROR(INDEX('Cash Flow Entry'!$E$3:$E$500,MATCH(1,INDEX((Conneaut!$C$7='Cash Flow Entry'!$B$3:$B$500)*(VALUE(Conneaut!G$7)='Cash Flow Entry'!$C$3:$C$500),0,1),0)),"")</f>
        <v>585</v>
      </c>
      <c r="H9" s="256" cm="1">
        <f t="array" ref="H9">IFERROR(INDEX('Cash Flow Entry'!$E$3:$E$500,MATCH(1,INDEX((Conneaut!$C$7='Cash Flow Entry'!$B$3:$B$500)*(VALUE(Conneaut!H$7)='Cash Flow Entry'!$C$3:$C$500),0,1),0)),"")</f>
        <v>583</v>
      </c>
      <c r="I9" s="257" cm="1">
        <f t="array" ref="I9">IFERROR(INDEX('Cash Flow Entry'!$E$3:$E$500,MATCH(1,INDEX((Conneaut!$C$7='Cash Flow Entry'!$B$3:$B$500)*(VALUE(Conneaut!I$7)='Cash Flow Entry'!$C$3:$C$500),0,1),0)),"")</f>
        <v>582</v>
      </c>
      <c r="J9" s="256" cm="1">
        <f t="array" ref="J9">IFERROR(INDEX('Cash Flow Entry'!$E$3:$E$500,MATCH(1,INDEX((Conneaut!$C$7='Cash Flow Entry'!$B$3:$B$500)*(VALUE(Conneaut!J$7)='Cash Flow Entry'!$C$3:$C$500),0,1),0)),"")</f>
        <v>579</v>
      </c>
      <c r="K9" s="256" cm="1">
        <f t="array" ref="K9">IFERROR(INDEX('Cash Flow Entry'!$E$3:$E$500,MATCH(1,INDEX((Conneaut!$C$7='Cash Flow Entry'!$B$3:$B$500)*(VALUE(Conneaut!K$7)='Cash Flow Entry'!$C$3:$C$500),0,1),0)),"")</f>
        <v>579</v>
      </c>
      <c r="L9" s="256" t="str" cm="1">
        <f t="array" ref="L9">IFERROR(INDEX('Cash Flow Entry'!$E$3:$E$500,MATCH(1,INDEX((Conneaut!$C$7='Cash Flow Entry'!$B$3:$B$500)*(VALUE(Conneaut!L$7)='Cash Flow Entry'!$C$3:$C$500),0,1),0)),"")</f>
        <v/>
      </c>
      <c r="M9" s="255" t="str" cm="1">
        <f t="array" ref="M9">IFERROR(INDEX('Cash Flow Entry'!$E$3:$E$500,MATCH(1,INDEX((Conneaut!$C$7='Cash Flow Entry'!$B$3:$B$500)*(VALUE(Conneaut!M$7)='Cash Flow Entry'!$C$3:$C$500),0,1),0)),"")</f>
        <v/>
      </c>
      <c r="N9" s="256" t="str" cm="1">
        <f t="array" ref="N9">IFERROR(INDEX('Cash Flow Entry'!$E$3:$E$500,MATCH(1,INDEX((Conneaut!$C$7='Cash Flow Entry'!$B$3:$B$500)*(VALUE(Conneaut!N$7)='Cash Flow Entry'!$C$3:$C$500),0,1),0)),"")</f>
        <v/>
      </c>
      <c r="O9" s="258" t="str" cm="1">
        <f t="array" ref="O9">IFERROR(INDEX('Cash Flow Entry'!$E$3:$E$500,MATCH(1,INDEX((Conneaut!$C$7='Cash Flow Entry'!$B$3:$B$500)*(VALUE(Conneaut!O$7)='Cash Flow Entry'!$C$3:$C$500),0,1),0)),"")</f>
        <v/>
      </c>
      <c r="P9" s="259">
        <f>SUM(D9:O9)</f>
        <v>4621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$2,054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$1,936.71</v>
      </c>
      <c r="N10" s="645"/>
      <c r="O10" s="647"/>
      <c r="P10" s="265">
        <f>P14</f>
        <v>3321453.85</v>
      </c>
      <c r="Q10" s="534">
        <v>2054.25</v>
      </c>
      <c r="R10" s="305">
        <f>Q10*P8</f>
        <v>3523038.75</v>
      </c>
      <c r="S10" s="305"/>
    </row>
    <row r="11" spans="2:20" ht="18.5" x14ac:dyDescent="0.45">
      <c r="B11" s="213" t="s">
        <v>191</v>
      </c>
      <c r="C11" s="267" t="s">
        <v>194</v>
      </c>
      <c r="D11" s="268">
        <v>401831.11</v>
      </c>
      <c r="E11" s="234">
        <v>401831.11</v>
      </c>
      <c r="F11" s="234">
        <v>425332.01</v>
      </c>
      <c r="G11" s="268">
        <v>423074.09</v>
      </c>
      <c r="H11" s="234">
        <v>421019.84</v>
      </c>
      <c r="I11" s="269">
        <v>416650.73</v>
      </c>
      <c r="J11" s="234">
        <v>416650.73</v>
      </c>
      <c r="K11" s="234">
        <v>415064.23</v>
      </c>
      <c r="L11" s="234"/>
      <c r="M11" s="268"/>
      <c r="N11" s="234"/>
      <c r="O11" s="270"/>
      <c r="P11" s="234">
        <f>SUM(D11:O11)</f>
        <v>3321453.85</v>
      </c>
      <c r="Q11" s="302"/>
    </row>
    <row r="12" spans="2:20" ht="18.5" x14ac:dyDescent="0.45">
      <c r="C12" s="267" t="s">
        <v>195</v>
      </c>
      <c r="D12" s="268">
        <f>IF(D$8="","",IF(D$11=0,0,D$8*$Q12))</f>
        <v>0</v>
      </c>
      <c r="E12" s="234">
        <f t="shared" ref="E12:O12" si="0">IF(E$8="","",IF(E$11=0,0,E$8*$Q12))</f>
        <v>0</v>
      </c>
      <c r="F12" s="269">
        <f t="shared" si="0"/>
        <v>0</v>
      </c>
      <c r="G12" s="268">
        <f t="shared" si="0"/>
        <v>0</v>
      </c>
      <c r="H12" s="234">
        <f t="shared" si="0"/>
        <v>0</v>
      </c>
      <c r="I12" s="269">
        <f t="shared" si="0"/>
        <v>0</v>
      </c>
      <c r="J12" s="234">
        <f t="shared" si="0"/>
        <v>0</v>
      </c>
      <c r="K12" s="234">
        <f t="shared" si="0"/>
        <v>0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0</v>
      </c>
      <c r="Q12" s="533">
        <v>0</v>
      </c>
    </row>
    <row r="13" spans="2:20" ht="18.5" x14ac:dyDescent="0.45">
      <c r="B13" s="213" t="s">
        <v>191</v>
      </c>
      <c r="C13" s="267" t="s">
        <v>196</v>
      </c>
      <c r="D13" s="458">
        <f>IF(D$8="","",0)</f>
        <v>0</v>
      </c>
      <c r="E13" s="234">
        <f>IF(E$8="","",0)</f>
        <v>0</v>
      </c>
      <c r="F13" s="269">
        <f t="shared" ref="F13:O13" si="2">IF(F$8="","",0)</f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401831.11</v>
      </c>
      <c r="E14" s="274">
        <f t="shared" ref="E14:O14" si="3">IF(E8="","",SUM(E11:E13))</f>
        <v>401831.11</v>
      </c>
      <c r="F14" s="275">
        <f t="shared" si="3"/>
        <v>425332.01</v>
      </c>
      <c r="G14" s="273">
        <f t="shared" si="3"/>
        <v>423074.09</v>
      </c>
      <c r="H14" s="274">
        <f t="shared" si="3"/>
        <v>421019.84</v>
      </c>
      <c r="I14" s="275">
        <f t="shared" si="3"/>
        <v>416650.73</v>
      </c>
      <c r="J14" s="274">
        <f t="shared" si="3"/>
        <v>416650.73</v>
      </c>
      <c r="K14" s="274">
        <f t="shared" si="3"/>
        <v>415064.23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3321453.85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$1,554</v>
      </c>
      <c r="E16" s="645"/>
      <c r="F16" s="646"/>
      <c r="G16" s="644" t="str">
        <f>"Admin, Reinsurance, &amp; Misc. PEPM: "&amp;DOLLAR(SUM($P36,$P42,$P49)/$P$8,0)</f>
        <v>Admin, Reinsurance, &amp; Misc. PEPM: $571</v>
      </c>
      <c r="H16" s="645"/>
      <c r="I16" s="646"/>
      <c r="J16" s="644" t="str">
        <f>"Total Expenses PEPM: "&amp;DOLLAR($P16/$P$8,0)</f>
        <v>Total Expenses PEPM: $2,125</v>
      </c>
      <c r="K16" s="645"/>
      <c r="L16" s="646"/>
      <c r="M16" s="644" t="str">
        <f>"Projection Variance: "&amp;TEXT(($P$16/$P$8)/$Q$10-1,"0.00%")</f>
        <v>Projection Variance: 3.44%</v>
      </c>
      <c r="N16" s="645"/>
      <c r="O16" s="647"/>
      <c r="P16" s="265">
        <f>SUM(P26,P36,P42,P49)</f>
        <v>3644182.8205263154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Entry'!$F$3:$F$500,MATCH(1,INDEX((Conneaut!$C$7='Cash Flow Entry'!$B$3:$B$500)*(VALUE(Conneaut!D$7)='Cash Flow Entry'!$C$3:$C$500),0,1),0)),"")+IFERROR(INDEX('Cash Flow Entry'!$H$3:$H$500,MATCH(1,INDEX((Conneaut!$C$7='Cash Flow Entry'!$B$3:$B$500)*(VALUE(Conneaut!D$7)='Cash Flow Entry'!$C$3:$C$500),0,1),0)),""),"")</f>
        <v>288825.51999999996</v>
      </c>
      <c r="E18" s="234" cm="1">
        <f t="array" ref="E18">IFERROR(IFERROR(INDEX('Cash Flow Entry'!$F$3:$F$500,MATCH(1,INDEX((Conneaut!$C$7='Cash Flow Entry'!$B$3:$B$500)*(VALUE(Conneaut!E$7)='Cash Flow Entry'!$C$3:$C$500),0,1),0)),"")+IFERROR(INDEX('Cash Flow Entry'!$H$3:$H$500,MATCH(1,INDEX((Conneaut!$C$7='Cash Flow Entry'!$B$3:$B$500)*(VALUE(Conneaut!E$7)='Cash Flow Entry'!$C$3:$C$500),0,1),0)),""),"")</f>
        <v>325550.34000000003</v>
      </c>
      <c r="F18" s="269" cm="1">
        <f t="array" ref="F18">IFERROR(IFERROR(INDEX('Cash Flow Entry'!$F$3:$F$500,MATCH(1,INDEX((Conneaut!$C$7='Cash Flow Entry'!$B$3:$B$500)*(VALUE(Conneaut!F$7)='Cash Flow Entry'!$C$3:$C$500),0,1),0)),"")+IFERROR(INDEX('Cash Flow Entry'!$H$3:$H$500,MATCH(1,INDEX((Conneaut!$C$7='Cash Flow Entry'!$B$3:$B$500)*(VALUE(Conneaut!F$7)='Cash Flow Entry'!$C$3:$C$500),0,1),0)),""),"")</f>
        <v>286231.55</v>
      </c>
      <c r="G18" s="268" cm="1">
        <f t="array" ref="G18">IFERROR(IFERROR(INDEX('Cash Flow Entry'!$F$3:$F$500,MATCH(1,INDEX((Conneaut!$C$7='Cash Flow Entry'!$B$3:$B$500)*(VALUE(Conneaut!G$7)='Cash Flow Entry'!$C$3:$C$500),0,1),0)),"")+IFERROR(INDEX('Cash Flow Entry'!$H$3:$H$500,MATCH(1,INDEX((Conneaut!$C$7='Cash Flow Entry'!$B$3:$B$500)*(VALUE(Conneaut!G$7)='Cash Flow Entry'!$C$3:$C$500),0,1),0)),""),"")</f>
        <v>188251</v>
      </c>
      <c r="H18" s="234" cm="1">
        <f t="array" ref="H18">IFERROR(IFERROR(INDEX('Cash Flow Entry'!$F$3:$F$500,MATCH(1,INDEX((Conneaut!$C$7='Cash Flow Entry'!$B$3:$B$500)*(VALUE(Conneaut!H$7)='Cash Flow Entry'!$C$3:$C$500),0,1),0)),"")+IFERROR(INDEX('Cash Flow Entry'!$H$3:$H$500,MATCH(1,INDEX((Conneaut!$C$7='Cash Flow Entry'!$B$3:$B$500)*(VALUE(Conneaut!H$7)='Cash Flow Entry'!$C$3:$C$500),0,1),0)),""),"")</f>
        <v>230054.68999999997</v>
      </c>
      <c r="I18" s="269" cm="1">
        <f t="array" ref="I18">IFERROR(IFERROR(INDEX('Cash Flow Entry'!$F$3:$F$500,MATCH(1,INDEX((Conneaut!$C$7='Cash Flow Entry'!$B$3:$B$500)*(VALUE(Conneaut!I$7)='Cash Flow Entry'!$C$3:$C$500),0,1),0)),"")+IFERROR(INDEX('Cash Flow Entry'!$H$3:$H$500,MATCH(1,INDEX((Conneaut!$C$7='Cash Flow Entry'!$B$3:$B$500)*(VALUE(Conneaut!I$7)='Cash Flow Entry'!$C$3:$C$500),0,1),0)),""),"")</f>
        <v>326496.5</v>
      </c>
      <c r="J18" s="234" cm="1">
        <f t="array" ref="J18">IFERROR(IFERROR(INDEX('Cash Flow Entry'!$F$3:$F$500,MATCH(1,INDEX((Conneaut!$C$7='Cash Flow Entry'!$B$3:$B$500)*(VALUE(Conneaut!J$7)='Cash Flow Entry'!$C$3:$C$500),0,1),0)),"")+IFERROR(INDEX('Cash Flow Entry'!$H$3:$H$500,MATCH(1,INDEX((Conneaut!$C$7='Cash Flow Entry'!$B$3:$B$500)*(VALUE(Conneaut!J$7)='Cash Flow Entry'!$C$3:$C$500),0,1),0)),""),"")</f>
        <v>412065.62</v>
      </c>
      <c r="K18" s="234" cm="1">
        <f t="array" ref="K18">IFERROR(IFERROR(INDEX('Cash Flow Entry'!$F$3:$F$500,MATCH(1,INDEX((Conneaut!$C$7='Cash Flow Entry'!$B$3:$B$500)*(VALUE(Conneaut!K$7)='Cash Flow Entry'!$C$3:$C$500),0,1),0)),"")+IFERROR(INDEX('Cash Flow Entry'!$H$3:$H$500,MATCH(1,INDEX((Conneaut!$C$7='Cash Flow Entry'!$B$3:$B$500)*(VALUE(Conneaut!K$7)='Cash Flow Entry'!$C$3:$C$500),0,1),0)),""),"")</f>
        <v>281102.02</v>
      </c>
      <c r="L18" s="234" t="str" cm="1">
        <f t="array" ref="L18">IFERROR(IFERROR(INDEX('Cash Flow Entry'!$F$3:$F$500,MATCH(1,INDEX((Conneaut!$C$7='Cash Flow Entry'!$B$3:$B$500)*(VALUE(Conneaut!L$7)='Cash Flow Entry'!$C$3:$C$500),0,1),0)),"")+IFERROR(INDEX('Cash Flow Entry'!$H$3:$H$500,MATCH(1,INDEX((Conneaut!$C$7='Cash Flow Entry'!$B$3:$B$500)*(VALUE(Conneaut!L$7)='Cash Flow Entry'!$C$3:$C$500),0,1),0)),""),"")</f>
        <v/>
      </c>
      <c r="M18" s="268" t="str" cm="1">
        <f t="array" ref="M18">IFERROR(IFERROR(INDEX('Cash Flow Entry'!$F$3:$F$500,MATCH(1,INDEX((Conneaut!$C$7='Cash Flow Entry'!$B$3:$B$500)*(VALUE(Conneaut!M$7)='Cash Flow Entry'!$C$3:$C$500),0,1),0)),"")+IFERROR(INDEX('Cash Flow Entry'!$H$3:$H$500,MATCH(1,INDEX((Conneaut!$C$7='Cash Flow Entry'!$B$3:$B$500)*(VALUE(Conneaut!M$7)='Cash Flow Entry'!$C$3:$C$500),0,1),0)),""),"")</f>
        <v/>
      </c>
      <c r="N18" s="234" t="str" cm="1">
        <f t="array" ref="N18">IFERROR(IFERROR(INDEX('Cash Flow Entry'!$F$3:$F$500,MATCH(1,INDEX((Conneaut!$C$7='Cash Flow Entry'!$B$3:$B$500)*(VALUE(Conneaut!N$7)='Cash Flow Entry'!$C$3:$C$500),0,1),0)),"")+IFERROR(INDEX('Cash Flow Entry'!$H$3:$H$500,MATCH(1,INDEX((Conneaut!$C$7='Cash Flow Entry'!$B$3:$B$500)*(VALUE(Conneaut!N$7)='Cash Flow Entry'!$C$3:$C$500),0,1),0)),""),"")</f>
        <v/>
      </c>
      <c r="O18" s="270" t="str" cm="1">
        <f t="array" ref="O18">IFERROR(IFERROR(INDEX('Cash Flow Entry'!$F$3:$F$500,MATCH(1,INDEX((Conneaut!$C$7='Cash Flow Entry'!$B$3:$B$500)*(VALUE(Conneaut!O$7)='Cash Flow Entry'!$C$3:$C$500),0,1),0)),"")+IFERROR(INDEX('Cash Flow Entry'!$H$3:$H$500,MATCH(1,INDEX((Conneaut!$C$7='Cash Flow Entry'!$B$3:$B$500)*(VALUE(Conneaut!O$7)='Cash Flow Entry'!$C$3:$C$500),0,1),0)),""),"")</f>
        <v/>
      </c>
      <c r="P18" s="234">
        <f>SUM(D18:O18)</f>
        <v>2338577.2399999998</v>
      </c>
      <c r="Q18" s="533">
        <v>927.23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Entry'!$G$3:$G$500,MATCH(1,INDEX((Conneaut!$C$7='Cash Flow Entry'!$B$3:$B$500)*(VALUE(Conneaut!D$7)='Cash Flow Entry'!$C$3:$C$500),0,1),0)),"")</f>
        <v>157642.53</v>
      </c>
      <c r="E19" s="234" cm="1">
        <f t="array" ref="E19">IFERROR(INDEX('Cash Flow Entry'!$G$3:$G$500,MATCH(1,INDEX((Conneaut!$C$7='Cash Flow Entry'!$B$3:$B$500)*(VALUE(Conneaut!E$7)='Cash Flow Entry'!$C$3:$C$500),0,1),0)),"")</f>
        <v>180284.95</v>
      </c>
      <c r="F19" s="269" cm="1">
        <f t="array" ref="F19">IFERROR(INDEX('Cash Flow Entry'!$G$3:$G$500,MATCH(1,INDEX((Conneaut!$C$7='Cash Flow Entry'!$B$3:$B$500)*(VALUE(Conneaut!F$7)='Cash Flow Entry'!$C$3:$C$500),0,1),0)),"")</f>
        <v>117260.98</v>
      </c>
      <c r="G19" s="268" cm="1">
        <f t="array" ref="G19">IFERROR(INDEX('Cash Flow Entry'!$G$3:$G$500,MATCH(1,INDEX((Conneaut!$C$7='Cash Flow Entry'!$B$3:$B$500)*(VALUE(Conneaut!G$7)='Cash Flow Entry'!$C$3:$C$500),0,1),0)),"")</f>
        <v>136242</v>
      </c>
      <c r="H19" s="234" cm="1">
        <f t="array" ref="H19">IFERROR(INDEX('Cash Flow Entry'!$G$3:$G$500,MATCH(1,INDEX((Conneaut!$C$7='Cash Flow Entry'!$B$3:$B$500)*(VALUE(Conneaut!H$7)='Cash Flow Entry'!$C$3:$C$500),0,1),0)),"")</f>
        <v>161379.51999999999</v>
      </c>
      <c r="I19" s="269" cm="1">
        <f t="array" ref="I19">IFERROR(INDEX('Cash Flow Entry'!$G$3:$G$500,MATCH(1,INDEX((Conneaut!$C$7='Cash Flow Entry'!$B$3:$B$500)*(VALUE(Conneaut!I$7)='Cash Flow Entry'!$C$3:$C$500),0,1),0)),"")</f>
        <v>106183.27</v>
      </c>
      <c r="J19" s="234" cm="1">
        <f t="array" ref="J19">IFERROR(INDEX('Cash Flow Entry'!$G$3:$G$500,MATCH(1,INDEX((Conneaut!$C$7='Cash Flow Entry'!$B$3:$B$500)*(VALUE(Conneaut!J$7)='Cash Flow Entry'!$C$3:$C$500),0,1),0)),"")</f>
        <v>167370.35999999999</v>
      </c>
      <c r="K19" s="234" cm="1">
        <f t="array" ref="K19">IFERROR(INDEX('Cash Flow Entry'!$G$3:$G$500,MATCH(1,INDEX((Conneaut!$C$7='Cash Flow Entry'!$B$3:$B$500)*(VALUE(Conneaut!K$7)='Cash Flow Entry'!$C$3:$C$500),0,1),0)),"")</f>
        <v>127517.25</v>
      </c>
      <c r="L19" s="234" t="str" cm="1">
        <f t="array" ref="L19">IFERROR(INDEX('Cash Flow Entry'!$G$3:$G$500,MATCH(1,INDEX((Conneaut!$C$7='Cash Flow Entry'!$B$3:$B$500)*(VALUE(Conneaut!L$7)='Cash Flow Entry'!$C$3:$C$500),0,1),0)),"")</f>
        <v/>
      </c>
      <c r="M19" s="268" t="str" cm="1">
        <f t="array" ref="M19">IFERROR(INDEX('Cash Flow Entry'!$G$3:$G$500,MATCH(1,INDEX((Conneaut!$C$7='Cash Flow Entry'!$B$3:$B$500)*(VALUE(Conneaut!M$7)='Cash Flow Entry'!$C$3:$C$500),0,1),0)),"")</f>
        <v/>
      </c>
      <c r="N19" s="234" t="str" cm="1">
        <f t="array" ref="N19">IFERROR(INDEX('Cash Flow Entry'!$G$3:$G$500,MATCH(1,INDEX((Conneaut!$C$7='Cash Flow Entry'!$B$3:$B$500)*(VALUE(Conneaut!N$7)='Cash Flow Entry'!$C$3:$C$500),0,1),0)),"")</f>
        <v/>
      </c>
      <c r="O19" s="270" t="str" cm="1">
        <f t="array" ref="O19">IFERROR(INDEX('Cash Flow Entry'!$G$3:$G$500,MATCH(1,INDEX((Conneaut!$C$7='Cash Flow Entry'!$B$3:$B$500)*(VALUE(Conneaut!O$7)='Cash Flow Entry'!$C$3:$C$500),0,1),0)),"")</f>
        <v/>
      </c>
      <c r="P19" s="234">
        <f>SUM(D19:O19)</f>
        <v>1153880.8599999999</v>
      </c>
      <c r="Q19" s="533">
        <v>507.79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303"/>
    </row>
    <row r="21" spans="2:17" ht="18.5" x14ac:dyDescent="0.45">
      <c r="B21" s="219">
        <f>INDEX('HCC Summary'!$I$9:$I$27,MATCH(Conneaut!C7,'HCC Summary'!B9:B27, 0))</f>
        <v>531070.79</v>
      </c>
      <c r="C21" s="282" t="s">
        <v>225</v>
      </c>
      <c r="D21" s="283">
        <v>0</v>
      </c>
      <c r="E21" s="284">
        <v>43249.07</v>
      </c>
      <c r="F21" s="285">
        <v>86229.28</v>
      </c>
      <c r="G21" s="283">
        <v>104133.88</v>
      </c>
      <c r="H21" s="284">
        <v>178210.59</v>
      </c>
      <c r="I21" s="285">
        <v>281871.28999999998</v>
      </c>
      <c r="J21" s="284">
        <v>367878.01</v>
      </c>
      <c r="K21" s="284">
        <v>531070.79</v>
      </c>
      <c r="L21" s="284"/>
      <c r="M21" s="283"/>
      <c r="N21" s="284"/>
      <c r="O21" s="286"/>
      <c r="P21" s="641">
        <f>SUM(D22:O22)</f>
        <v>-531070.79</v>
      </c>
      <c r="Q21" s="303"/>
    </row>
    <row r="22" spans="2:17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-43249.07</v>
      </c>
      <c r="F22" s="269">
        <f t="shared" si="5"/>
        <v>-42980.21</v>
      </c>
      <c r="G22" s="268">
        <f t="shared" si="5"/>
        <v>-17904.600000000006</v>
      </c>
      <c r="H22" s="234">
        <f t="shared" si="5"/>
        <v>-74076.709999999992</v>
      </c>
      <c r="I22" s="269">
        <f t="shared" si="5"/>
        <v>-103660.69999999998</v>
      </c>
      <c r="J22" s="234">
        <f t="shared" si="5"/>
        <v>-86006.72000000003</v>
      </c>
      <c r="K22" s="234">
        <f t="shared" si="5"/>
        <v>-163192.78000000003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303"/>
    </row>
    <row r="23" spans="2:17" ht="18.5" x14ac:dyDescent="0.45">
      <c r="C23" s="267" t="s">
        <v>363</v>
      </c>
      <c r="D23" s="268">
        <f>IF(D$8="","",$U68)</f>
        <v>-83948.63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-29737.18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>SUM(D23:O23)</f>
        <v>-113685.81</v>
      </c>
      <c r="Q23" s="303"/>
    </row>
    <row r="24" spans="2:17" ht="18.5" x14ac:dyDescent="0.45">
      <c r="C24" s="267" t="s">
        <v>25</v>
      </c>
      <c r="D24" s="268">
        <f t="shared" ref="D24:O24" si="6">IF(D$8="","",D$8*$Q$24)</f>
        <v>-22990</v>
      </c>
      <c r="E24" s="234">
        <f>IF(E$8="","",E$8*$Q$24)</f>
        <v>-23100</v>
      </c>
      <c r="F24" s="269">
        <f t="shared" si="6"/>
        <v>-24090</v>
      </c>
      <c r="G24" s="268">
        <f t="shared" si="6"/>
        <v>-23980</v>
      </c>
      <c r="H24" s="234">
        <f t="shared" si="6"/>
        <v>-23870</v>
      </c>
      <c r="I24" s="269">
        <f t="shared" si="6"/>
        <v>-23650</v>
      </c>
      <c r="J24" s="234">
        <f t="shared" si="6"/>
        <v>-23540</v>
      </c>
      <c r="K24" s="234">
        <f t="shared" si="6"/>
        <v>-23430</v>
      </c>
      <c r="L24" s="234" t="str">
        <f t="shared" si="6"/>
        <v/>
      </c>
      <c r="M24" s="268" t="str">
        <f t="shared" si="6"/>
        <v/>
      </c>
      <c r="N24" s="234" t="str">
        <f t="shared" si="6"/>
        <v/>
      </c>
      <c r="O24" s="270" t="str">
        <f t="shared" si="6"/>
        <v/>
      </c>
      <c r="P24" s="234">
        <f>SUM(D24:O24)</f>
        <v>-188650</v>
      </c>
      <c r="Q24" s="533">
        <v>-110</v>
      </c>
    </row>
    <row r="25" spans="2:17" ht="18.5" x14ac:dyDescent="0.45">
      <c r="B25" s="213"/>
      <c r="C25" s="267" t="s">
        <v>199</v>
      </c>
      <c r="D25" s="268">
        <f>IF(D$8="","",SUM($L68:$R68))</f>
        <v>622.55999999999995</v>
      </c>
      <c r="E25" s="234">
        <f>IF(E$8="","",SUM($L69:$R69))</f>
        <v>4753.7700000000004</v>
      </c>
      <c r="F25" s="269">
        <f>IF(F$8="","",SUM($L70:$R70))</f>
        <v>11353.119999999999</v>
      </c>
      <c r="G25" s="268">
        <f>IF(G$8="","",SUM($L71:$R71))</f>
        <v>1600.3600000000001</v>
      </c>
      <c r="H25" s="234">
        <f>IF(H$8="","",SUM($L72:$R72))</f>
        <v>2365.2000000000003</v>
      </c>
      <c r="I25" s="269">
        <f>IF(I$8="","",SUM($L73:$R73))</f>
        <v>2214.9299999999998</v>
      </c>
      <c r="J25" s="234">
        <f>IF(J$8="","",SUM($L74:$R74))</f>
        <v>6777.8300000000008</v>
      </c>
      <c r="K25" s="234">
        <f>IF(K$8="","",SUM($L75:$S75))</f>
        <v>-24371.81</v>
      </c>
      <c r="L25" s="456" t="str">
        <f>IF(L$8="","",SUM($L75:$S75))</f>
        <v/>
      </c>
      <c r="M25" s="234" t="str">
        <f>IF(M$8="","",SUM($L75:$S75))</f>
        <v/>
      </c>
      <c r="N25" s="234" t="str">
        <f>IF(N$8="","",SUM($L75:$S75))</f>
        <v/>
      </c>
      <c r="O25" s="525" t="str">
        <f>IF(O$8="","",SUM($L75:$S75))</f>
        <v/>
      </c>
      <c r="P25" s="234">
        <f>SUM(D25:O25)</f>
        <v>5315.9599999999991</v>
      </c>
      <c r="Q25" s="303"/>
    </row>
    <row r="26" spans="2:17" ht="18.5" x14ac:dyDescent="0.45">
      <c r="C26" s="272" t="s">
        <v>200</v>
      </c>
      <c r="D26" s="273">
        <f>IF(D8="","",SUM(D18:D20,D22:D25))</f>
        <v>340151.97999999992</v>
      </c>
      <c r="E26" s="274">
        <f t="shared" ref="E26:L26" si="7">IF(E8="","",SUM(E18:E20,E22:E25))</f>
        <v>444239.99000000005</v>
      </c>
      <c r="F26" s="275">
        <f t="shared" si="7"/>
        <v>347775.43999999994</v>
      </c>
      <c r="G26" s="273">
        <f t="shared" si="7"/>
        <v>284208.76</v>
      </c>
      <c r="H26" s="274">
        <f t="shared" si="7"/>
        <v>295852.7</v>
      </c>
      <c r="I26" s="275">
        <f t="shared" si="7"/>
        <v>307584.00000000006</v>
      </c>
      <c r="J26" s="273">
        <f t="shared" si="7"/>
        <v>476667.08999999997</v>
      </c>
      <c r="K26" s="274">
        <f t="shared" si="7"/>
        <v>167887.5</v>
      </c>
      <c r="L26" s="275" t="str">
        <f t="shared" si="7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8">IF(O8="","",SUM(O18:O19,O22:O25))</f>
        <v/>
      </c>
      <c r="P26" s="274">
        <f>SUM(P18:P25)</f>
        <v>2664367.4599999995</v>
      </c>
      <c r="Q26" s="30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303"/>
    </row>
    <row r="28" spans="2:17" ht="18.5" x14ac:dyDescent="0.45">
      <c r="C28" s="267" t="s">
        <v>223</v>
      </c>
      <c r="D28" s="268">
        <f>IF(D$8="","",D$8*$Q28)</f>
        <v>8389.26</v>
      </c>
      <c r="E28" s="234">
        <f t="shared" ref="E28:O35" si="9">IF(E$8="","",E$8*$Q28)</f>
        <v>8429.4</v>
      </c>
      <c r="F28" s="269">
        <f t="shared" si="9"/>
        <v>8790.66</v>
      </c>
      <c r="G28" s="268">
        <f t="shared" si="9"/>
        <v>8750.52</v>
      </c>
      <c r="H28" s="234">
        <f t="shared" si="9"/>
        <v>8710.380000000001</v>
      </c>
      <c r="I28" s="269">
        <f t="shared" si="9"/>
        <v>8630.1</v>
      </c>
      <c r="J28" s="234">
        <f t="shared" si="9"/>
        <v>8589.9600000000009</v>
      </c>
      <c r="K28" s="234">
        <f t="shared" si="9"/>
        <v>8549.82</v>
      </c>
      <c r="L28" s="234" t="str">
        <f t="shared" si="9"/>
        <v/>
      </c>
      <c r="M28" s="268" t="str">
        <f t="shared" si="9"/>
        <v/>
      </c>
      <c r="N28" s="234" t="str">
        <f t="shared" si="9"/>
        <v/>
      </c>
      <c r="O28" s="270" t="str">
        <f t="shared" si="9"/>
        <v/>
      </c>
      <c r="P28" s="234">
        <f>SUM(D28:O28)</f>
        <v>68840.100000000006</v>
      </c>
      <c r="Q28" s="533">
        <v>40.14</v>
      </c>
    </row>
    <row r="29" spans="2:17" ht="18.5" x14ac:dyDescent="0.45">
      <c r="C29" s="267" t="s">
        <v>224</v>
      </c>
      <c r="D29" s="268">
        <f t="shared" ref="D29:O35" si="10">IF(D$8="","",D$8*$Q29)</f>
        <v>836</v>
      </c>
      <c r="E29" s="234">
        <f t="shared" si="9"/>
        <v>840</v>
      </c>
      <c r="F29" s="269">
        <f t="shared" si="9"/>
        <v>876</v>
      </c>
      <c r="G29" s="268">
        <f t="shared" si="9"/>
        <v>872</v>
      </c>
      <c r="H29" s="234">
        <f t="shared" si="9"/>
        <v>868</v>
      </c>
      <c r="I29" s="269">
        <f t="shared" si="9"/>
        <v>860</v>
      </c>
      <c r="J29" s="234">
        <f t="shared" si="9"/>
        <v>856</v>
      </c>
      <c r="K29" s="234">
        <f t="shared" si="9"/>
        <v>852</v>
      </c>
      <c r="L29" s="234" t="str">
        <f t="shared" si="9"/>
        <v/>
      </c>
      <c r="M29" s="268" t="str">
        <f t="shared" si="9"/>
        <v/>
      </c>
      <c r="N29" s="234" t="str">
        <f t="shared" si="9"/>
        <v/>
      </c>
      <c r="O29" s="270" t="str">
        <f t="shared" si="9"/>
        <v/>
      </c>
      <c r="P29" s="234">
        <f>SUM(D29:O29)</f>
        <v>6860</v>
      </c>
      <c r="Q29" s="533">
        <v>4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9"/>
        <v>0</v>
      </c>
      <c r="F30" s="234">
        <f t="shared" si="9"/>
        <v>0</v>
      </c>
      <c r="G30" s="268">
        <f t="shared" si="9"/>
        <v>0</v>
      </c>
      <c r="H30" s="234">
        <f t="shared" si="9"/>
        <v>0</v>
      </c>
      <c r="I30" s="234">
        <f t="shared" si="9"/>
        <v>0</v>
      </c>
      <c r="J30" s="268">
        <f t="shared" si="9"/>
        <v>0</v>
      </c>
      <c r="K30" s="234">
        <f t="shared" si="9"/>
        <v>0</v>
      </c>
      <c r="L30" s="234" t="str">
        <f t="shared" si="9"/>
        <v/>
      </c>
      <c r="M30" s="268" t="str">
        <f t="shared" si="9"/>
        <v/>
      </c>
      <c r="N30" s="234" t="str">
        <f t="shared" si="9"/>
        <v/>
      </c>
      <c r="O30" s="270" t="str">
        <f t="shared" si="9"/>
        <v/>
      </c>
      <c r="P30" s="234">
        <f t="shared" ref="P30:P35" si="11">SUM(D30:O30)</f>
        <v>0</v>
      </c>
      <c r="Q30" s="303">
        <v>0</v>
      </c>
    </row>
    <row r="31" spans="2:17" ht="18.5" x14ac:dyDescent="0.45">
      <c r="C31" s="267" t="s">
        <v>325</v>
      </c>
      <c r="D31" s="268">
        <f t="shared" si="10"/>
        <v>0</v>
      </c>
      <c r="E31" s="234">
        <f t="shared" si="10"/>
        <v>0</v>
      </c>
      <c r="F31" s="234">
        <f t="shared" si="10"/>
        <v>0</v>
      </c>
      <c r="G31" s="268">
        <f t="shared" si="10"/>
        <v>0</v>
      </c>
      <c r="H31" s="234">
        <f t="shared" si="10"/>
        <v>0</v>
      </c>
      <c r="I31" s="234">
        <f t="shared" si="10"/>
        <v>0</v>
      </c>
      <c r="J31" s="268">
        <f t="shared" si="10"/>
        <v>0</v>
      </c>
      <c r="K31" s="234">
        <f t="shared" si="10"/>
        <v>0</v>
      </c>
      <c r="L31" s="234" t="str">
        <f t="shared" si="10"/>
        <v/>
      </c>
      <c r="M31" s="268" t="str">
        <f t="shared" si="10"/>
        <v/>
      </c>
      <c r="N31" s="234" t="str">
        <f t="shared" si="10"/>
        <v/>
      </c>
      <c r="O31" s="270" t="str">
        <f t="shared" si="10"/>
        <v/>
      </c>
      <c r="P31" s="234">
        <f t="shared" si="11"/>
        <v>0</v>
      </c>
      <c r="Q31" s="303">
        <v>0</v>
      </c>
    </row>
    <row r="32" spans="2:17" ht="18.5" x14ac:dyDescent="0.45">
      <c r="C32" s="267" t="s">
        <v>247</v>
      </c>
      <c r="D32" s="268">
        <f t="shared" si="10"/>
        <v>0</v>
      </c>
      <c r="E32" s="234">
        <f t="shared" si="10"/>
        <v>0</v>
      </c>
      <c r="F32" s="269">
        <f t="shared" si="10"/>
        <v>0</v>
      </c>
      <c r="G32" s="268">
        <f t="shared" si="10"/>
        <v>0</v>
      </c>
      <c r="H32" s="234">
        <f t="shared" si="10"/>
        <v>0</v>
      </c>
      <c r="I32" s="269">
        <f t="shared" si="10"/>
        <v>0</v>
      </c>
      <c r="J32" s="234">
        <f t="shared" si="10"/>
        <v>0</v>
      </c>
      <c r="K32" s="234">
        <f t="shared" si="10"/>
        <v>0</v>
      </c>
      <c r="L32" s="234" t="str">
        <f t="shared" si="10"/>
        <v/>
      </c>
      <c r="M32" s="268" t="str">
        <f t="shared" si="10"/>
        <v/>
      </c>
      <c r="N32" s="234" t="str">
        <f t="shared" si="10"/>
        <v/>
      </c>
      <c r="O32" s="270" t="str">
        <f t="shared" si="10"/>
        <v/>
      </c>
      <c r="P32" s="234">
        <f t="shared" si="11"/>
        <v>0</v>
      </c>
      <c r="Q32" s="303">
        <v>0</v>
      </c>
    </row>
    <row r="33" spans="2:18" ht="18.5" x14ac:dyDescent="0.45">
      <c r="C33" s="267" t="s">
        <v>227</v>
      </c>
      <c r="D33" s="268">
        <f t="shared" si="10"/>
        <v>365.75</v>
      </c>
      <c r="E33" s="234">
        <f t="shared" si="9"/>
        <v>367.5</v>
      </c>
      <c r="F33" s="269">
        <f t="shared" si="9"/>
        <v>383.25</v>
      </c>
      <c r="G33" s="268">
        <f t="shared" si="9"/>
        <v>381.5</v>
      </c>
      <c r="H33" s="234">
        <f t="shared" si="9"/>
        <v>379.75</v>
      </c>
      <c r="I33" s="269">
        <f t="shared" si="9"/>
        <v>376.25</v>
      </c>
      <c r="J33" s="234">
        <f t="shared" si="9"/>
        <v>374.5</v>
      </c>
      <c r="K33" s="234">
        <f t="shared" si="9"/>
        <v>372.75</v>
      </c>
      <c r="L33" s="234" t="str">
        <f t="shared" si="9"/>
        <v/>
      </c>
      <c r="M33" s="268" t="str">
        <f t="shared" si="9"/>
        <v/>
      </c>
      <c r="N33" s="234" t="str">
        <f t="shared" si="9"/>
        <v/>
      </c>
      <c r="O33" s="270" t="str">
        <f t="shared" si="9"/>
        <v/>
      </c>
      <c r="P33" s="234">
        <f t="shared" si="11"/>
        <v>3001.25</v>
      </c>
      <c r="Q33" s="533">
        <v>1.75</v>
      </c>
    </row>
    <row r="34" spans="2:18" ht="18.5" x14ac:dyDescent="0.45">
      <c r="C34" s="267" t="s">
        <v>228</v>
      </c>
      <c r="D34" s="268">
        <f t="shared" si="10"/>
        <v>689.69999999999993</v>
      </c>
      <c r="E34" s="234">
        <f t="shared" si="9"/>
        <v>693</v>
      </c>
      <c r="F34" s="269">
        <f t="shared" si="9"/>
        <v>722.69999999999993</v>
      </c>
      <c r="G34" s="268">
        <f t="shared" si="9"/>
        <v>719.4</v>
      </c>
      <c r="H34" s="234">
        <f t="shared" si="9"/>
        <v>716.09999999999991</v>
      </c>
      <c r="I34" s="269">
        <f t="shared" si="9"/>
        <v>709.5</v>
      </c>
      <c r="J34" s="234">
        <f t="shared" si="9"/>
        <v>706.19999999999993</v>
      </c>
      <c r="K34" s="234">
        <f t="shared" si="9"/>
        <v>702.9</v>
      </c>
      <c r="L34" s="234" t="str">
        <f t="shared" si="9"/>
        <v/>
      </c>
      <c r="M34" s="268" t="str">
        <f t="shared" si="9"/>
        <v/>
      </c>
      <c r="N34" s="234" t="str">
        <f t="shared" si="9"/>
        <v/>
      </c>
      <c r="O34" s="270" t="str">
        <f t="shared" si="9"/>
        <v/>
      </c>
      <c r="P34" s="234">
        <f t="shared" si="11"/>
        <v>5659.4999999999991</v>
      </c>
      <c r="Q34" s="533">
        <v>3.3</v>
      </c>
    </row>
    <row r="35" spans="2:18" ht="18.5" x14ac:dyDescent="0.45">
      <c r="C35" s="267" t="s">
        <v>202</v>
      </c>
      <c r="D35" s="268">
        <f t="shared" si="10"/>
        <v>827.64</v>
      </c>
      <c r="E35" s="234">
        <f t="shared" si="9"/>
        <v>831.6</v>
      </c>
      <c r="F35" s="269">
        <f t="shared" si="9"/>
        <v>867.24</v>
      </c>
      <c r="G35" s="268">
        <f t="shared" si="9"/>
        <v>863.28</v>
      </c>
      <c r="H35" s="234">
        <f t="shared" si="9"/>
        <v>859.31999999999994</v>
      </c>
      <c r="I35" s="269">
        <f t="shared" si="9"/>
        <v>851.4</v>
      </c>
      <c r="J35" s="234">
        <f t="shared" si="9"/>
        <v>847.43999999999994</v>
      </c>
      <c r="K35" s="234">
        <f t="shared" si="9"/>
        <v>843.48</v>
      </c>
      <c r="L35" s="234" t="str">
        <f t="shared" si="9"/>
        <v/>
      </c>
      <c r="M35" s="268" t="str">
        <f t="shared" si="9"/>
        <v/>
      </c>
      <c r="N35" s="234" t="str">
        <f t="shared" si="9"/>
        <v/>
      </c>
      <c r="O35" s="270" t="str">
        <f t="shared" si="9"/>
        <v/>
      </c>
      <c r="P35" s="234">
        <f t="shared" si="11"/>
        <v>6791.4</v>
      </c>
      <c r="Q35" s="533">
        <v>3.96</v>
      </c>
    </row>
    <row r="36" spans="2:18" ht="18.5" x14ac:dyDescent="0.45">
      <c r="C36" s="272" t="s">
        <v>203</v>
      </c>
      <c r="D36" s="273">
        <f t="shared" ref="D36:P36" si="12">IF(D$8="","",SUM(D28:D35))</f>
        <v>11108.35</v>
      </c>
      <c r="E36" s="274">
        <f t="shared" si="12"/>
        <v>11161.5</v>
      </c>
      <c r="F36" s="275">
        <f t="shared" si="12"/>
        <v>11639.85</v>
      </c>
      <c r="G36" s="273">
        <f t="shared" si="12"/>
        <v>11586.7</v>
      </c>
      <c r="H36" s="274">
        <f t="shared" si="12"/>
        <v>11533.550000000001</v>
      </c>
      <c r="I36" s="275">
        <f t="shared" si="12"/>
        <v>11427.25</v>
      </c>
      <c r="J36" s="274">
        <f t="shared" si="12"/>
        <v>11374.100000000002</v>
      </c>
      <c r="K36" s="274">
        <f t="shared" si="12"/>
        <v>11320.949999999999</v>
      </c>
      <c r="L36" s="274" t="str">
        <f t="shared" si="12"/>
        <v/>
      </c>
      <c r="M36" s="273" t="str">
        <f t="shared" si="12"/>
        <v/>
      </c>
      <c r="N36" s="274" t="str">
        <f t="shared" si="12"/>
        <v/>
      </c>
      <c r="O36" s="276" t="str">
        <f t="shared" si="12"/>
        <v/>
      </c>
      <c r="P36" s="274">
        <f t="shared" si="12"/>
        <v>91152.25</v>
      </c>
      <c r="Q36" s="30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303"/>
    </row>
    <row r="38" spans="2:18" ht="18.5" x14ac:dyDescent="0.45">
      <c r="C38" s="267" t="s">
        <v>362</v>
      </c>
      <c r="D38" s="268">
        <f>IF(D$8="","",D$8*$Q38)</f>
        <v>20642.93</v>
      </c>
      <c r="E38" s="234">
        <f t="shared" ref="E38:O41" si="13">IF(E$8="","",E$8*$Q38)</f>
        <v>20741.7</v>
      </c>
      <c r="F38" s="269">
        <f t="shared" si="13"/>
        <v>21630.629999999997</v>
      </c>
      <c r="G38" s="268">
        <f t="shared" si="13"/>
        <v>21531.86</v>
      </c>
      <c r="H38" s="234">
        <f t="shared" si="13"/>
        <v>21433.09</v>
      </c>
      <c r="I38" s="269">
        <f t="shared" si="13"/>
        <v>21235.55</v>
      </c>
      <c r="J38" s="234">
        <f t="shared" si="13"/>
        <v>21136.78</v>
      </c>
      <c r="K38" s="234">
        <f t="shared" si="13"/>
        <v>21038.01</v>
      </c>
      <c r="L38" s="234" t="str">
        <f t="shared" si="13"/>
        <v/>
      </c>
      <c r="M38" s="268" t="str">
        <f t="shared" si="13"/>
        <v/>
      </c>
      <c r="N38" s="234" t="str">
        <f t="shared" si="13"/>
        <v/>
      </c>
      <c r="O38" s="270" t="str">
        <f t="shared" si="13"/>
        <v/>
      </c>
      <c r="P38" s="234">
        <f>SUM(D38:O38)</f>
        <v>169390.55</v>
      </c>
      <c r="Q38" s="533">
        <v>98.77</v>
      </c>
    </row>
    <row r="39" spans="2:18" ht="18.5" x14ac:dyDescent="0.45">
      <c r="C39" s="267" t="s">
        <v>205</v>
      </c>
      <c r="D39" s="268">
        <f t="shared" ref="D39:D41" si="14">IF(D$8="","",D$8*$Q39)</f>
        <v>101749.56</v>
      </c>
      <c r="E39" s="234">
        <f t="shared" si="13"/>
        <v>102236.4</v>
      </c>
      <c r="F39" s="269">
        <f t="shared" si="13"/>
        <v>106617.95999999999</v>
      </c>
      <c r="G39" s="268">
        <f t="shared" si="13"/>
        <v>106131.12</v>
      </c>
      <c r="H39" s="234">
        <f t="shared" si="13"/>
        <v>105644.28</v>
      </c>
      <c r="I39" s="269">
        <f t="shared" ref="I39:O39" si="15">IF(I$8="","",I$8*$R39)</f>
        <v>61670.599999999991</v>
      </c>
      <c r="J39" s="234">
        <f t="shared" si="15"/>
        <v>61383.759999999995</v>
      </c>
      <c r="K39" s="234">
        <f t="shared" si="15"/>
        <v>61096.92</v>
      </c>
      <c r="L39" s="234" t="str">
        <f t="shared" si="15"/>
        <v/>
      </c>
      <c r="M39" s="268" t="str">
        <f t="shared" si="15"/>
        <v/>
      </c>
      <c r="N39" s="234" t="str">
        <f t="shared" si="15"/>
        <v/>
      </c>
      <c r="O39" s="270" t="str">
        <f t="shared" si="15"/>
        <v/>
      </c>
      <c r="P39" s="234">
        <f t="shared" ref="P39:P41" si="16">SUM(D39:O39)</f>
        <v>706530.6</v>
      </c>
      <c r="Q39" s="533">
        <v>486.84</v>
      </c>
      <c r="R39" s="11">
        <f>Q39-200</f>
        <v>286.83999999999997</v>
      </c>
    </row>
    <row r="40" spans="2:18" ht="18.5" x14ac:dyDescent="0.45">
      <c r="C40" s="267" t="s">
        <v>322</v>
      </c>
      <c r="D40" s="268">
        <f t="shared" ref="D40:O40" si="17">IF(D$8="","",D$8*$Q40)</f>
        <v>836</v>
      </c>
      <c r="E40" s="234">
        <f t="shared" si="17"/>
        <v>840</v>
      </c>
      <c r="F40" s="269">
        <f t="shared" si="17"/>
        <v>876</v>
      </c>
      <c r="G40" s="234">
        <f t="shared" si="17"/>
        <v>872</v>
      </c>
      <c r="H40" s="234">
        <f t="shared" si="17"/>
        <v>868</v>
      </c>
      <c r="I40" s="269">
        <f t="shared" si="17"/>
        <v>860</v>
      </c>
      <c r="J40" s="234">
        <f t="shared" si="17"/>
        <v>856</v>
      </c>
      <c r="K40" s="234">
        <f t="shared" si="17"/>
        <v>852</v>
      </c>
      <c r="L40" s="234" t="str">
        <f t="shared" si="17"/>
        <v/>
      </c>
      <c r="M40" s="268" t="str">
        <f t="shared" si="17"/>
        <v/>
      </c>
      <c r="N40" s="234" t="str">
        <f t="shared" si="17"/>
        <v/>
      </c>
      <c r="O40" s="270" t="str">
        <f t="shared" si="17"/>
        <v/>
      </c>
      <c r="P40" s="234">
        <f>SUM(D40:O40)</f>
        <v>6860</v>
      </c>
      <c r="Q40" s="533">
        <v>4</v>
      </c>
    </row>
    <row r="41" spans="2:18" ht="18.5" x14ac:dyDescent="0.45">
      <c r="C41" s="267" t="s">
        <v>206</v>
      </c>
      <c r="D41" s="268">
        <f t="shared" si="14"/>
        <v>601.91999999999996</v>
      </c>
      <c r="E41" s="234">
        <f t="shared" si="13"/>
        <v>604.79999999999995</v>
      </c>
      <c r="F41" s="269">
        <f t="shared" si="13"/>
        <v>630.72</v>
      </c>
      <c r="G41" s="268">
        <f t="shared" si="13"/>
        <v>627.84</v>
      </c>
      <c r="H41" s="234">
        <f t="shared" si="13"/>
        <v>624.95999999999992</v>
      </c>
      <c r="I41" s="269">
        <f t="shared" si="13"/>
        <v>619.19999999999993</v>
      </c>
      <c r="J41" s="234">
        <f t="shared" si="13"/>
        <v>616.31999999999994</v>
      </c>
      <c r="K41" s="234">
        <f t="shared" si="13"/>
        <v>613.43999999999994</v>
      </c>
      <c r="L41" s="234" t="str">
        <f t="shared" si="13"/>
        <v/>
      </c>
      <c r="M41" s="268" t="str">
        <f t="shared" si="13"/>
        <v/>
      </c>
      <c r="N41" s="234" t="str">
        <f t="shared" si="13"/>
        <v/>
      </c>
      <c r="O41" s="270" t="str">
        <f t="shared" si="13"/>
        <v/>
      </c>
      <c r="P41" s="234">
        <f t="shared" si="16"/>
        <v>4939.1999999999989</v>
      </c>
      <c r="Q41" s="533">
        <v>2.88</v>
      </c>
    </row>
    <row r="42" spans="2:18" ht="18.5" x14ac:dyDescent="0.45">
      <c r="C42" s="272" t="s">
        <v>207</v>
      </c>
      <c r="D42" s="273">
        <f t="shared" ref="D42:O42" si="18">IF(D$8="","",SUM(D38:D41))</f>
        <v>123830.40999999999</v>
      </c>
      <c r="E42" s="274">
        <f t="shared" si="18"/>
        <v>124422.9</v>
      </c>
      <c r="F42" s="275">
        <f t="shared" si="18"/>
        <v>129755.31</v>
      </c>
      <c r="G42" s="273">
        <f t="shared" si="18"/>
        <v>129162.81999999999</v>
      </c>
      <c r="H42" s="274">
        <f t="shared" si="18"/>
        <v>128570.33</v>
      </c>
      <c r="I42" s="275">
        <f t="shared" si="18"/>
        <v>84385.349999999991</v>
      </c>
      <c r="J42" s="274">
        <f t="shared" si="18"/>
        <v>83992.86</v>
      </c>
      <c r="K42" s="274">
        <f t="shared" si="18"/>
        <v>83600.37</v>
      </c>
      <c r="L42" s="274" t="str">
        <f t="shared" si="18"/>
        <v/>
      </c>
      <c r="M42" s="273" t="str">
        <f t="shared" si="18"/>
        <v/>
      </c>
      <c r="N42" s="274" t="str">
        <f t="shared" si="18"/>
        <v/>
      </c>
      <c r="O42" s="276" t="str">
        <f t="shared" si="18"/>
        <v/>
      </c>
      <c r="P42" s="274">
        <f>IF(P$8="","",SUM(P38:P41))</f>
        <v>887720.34999999986</v>
      </c>
      <c r="Q42" s="30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 t="s">
        <v>191</v>
      </c>
      <c r="C44" s="267" t="s">
        <v>209</v>
      </c>
      <c r="D44" s="268">
        <f t="shared" ref="D44:O48" si="19">IF(D$8="","",0)</f>
        <v>0</v>
      </c>
      <c r="E44" s="234">
        <f t="shared" si="19"/>
        <v>0</v>
      </c>
      <c r="F44" s="234">
        <f t="shared" si="19"/>
        <v>0</v>
      </c>
      <c r="G44" s="268">
        <f>416.5/19</f>
        <v>21.921052631578949</v>
      </c>
      <c r="H44" s="234">
        <f t="shared" si="19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19"/>
        <v/>
      </c>
      <c r="M44" s="268" t="str">
        <f t="shared" si="19"/>
        <v/>
      </c>
      <c r="N44" s="234" t="str">
        <f t="shared" si="19"/>
        <v/>
      </c>
      <c r="O44" s="234" t="str">
        <f t="shared" si="19"/>
        <v/>
      </c>
      <c r="P44" s="474">
        <f>SUM(D44:O44)</f>
        <v>121.70789473684209</v>
      </c>
      <c r="Q44" s="246"/>
    </row>
    <row r="45" spans="2:18" ht="18.5" x14ac:dyDescent="0.45">
      <c r="B45" s="213" t="s">
        <v>191</v>
      </c>
      <c r="C45" s="267" t="s">
        <v>210</v>
      </c>
      <c r="D45" s="268">
        <f t="shared" si="19"/>
        <v>0</v>
      </c>
      <c r="E45" s="234">
        <f t="shared" si="19"/>
        <v>0</v>
      </c>
      <c r="F45" s="269">
        <f t="shared" si="19"/>
        <v>0</v>
      </c>
      <c r="G45" s="268">
        <f t="shared" si="19"/>
        <v>0</v>
      </c>
      <c r="H45" s="234">
        <f>15600/19</f>
        <v>821.0526315789474</v>
      </c>
      <c r="I45" s="234">
        <f t="shared" si="19"/>
        <v>0</v>
      </c>
      <c r="J45" s="268">
        <f t="shared" si="19"/>
        <v>0</v>
      </c>
      <c r="K45" s="234">
        <f t="shared" si="19"/>
        <v>0</v>
      </c>
      <c r="L45" s="234" t="str">
        <f t="shared" si="19"/>
        <v/>
      </c>
      <c r="M45" s="268" t="str">
        <f t="shared" si="19"/>
        <v/>
      </c>
      <c r="N45" s="234" t="str">
        <f t="shared" si="19"/>
        <v/>
      </c>
      <c r="O45" s="234" t="str">
        <f t="shared" si="19"/>
        <v/>
      </c>
      <c r="P45" s="474">
        <f t="shared" ref="P45:P48" si="20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19"/>
        <v>0</v>
      </c>
      <c r="E46" s="234">
        <f t="shared" si="19"/>
        <v>0</v>
      </c>
      <c r="F46" s="269">
        <f t="shared" si="19"/>
        <v>0</v>
      </c>
      <c r="G46" s="268">
        <f t="shared" si="19"/>
        <v>0</v>
      </c>
      <c r="H46" s="234">
        <f t="shared" si="19"/>
        <v>0</v>
      </c>
      <c r="I46" s="234">
        <f t="shared" si="19"/>
        <v>0</v>
      </c>
      <c r="J46" s="268">
        <f t="shared" si="19"/>
        <v>0</v>
      </c>
      <c r="K46" s="234">
        <f t="shared" si="19"/>
        <v>0</v>
      </c>
      <c r="L46" s="234" t="str">
        <f t="shared" si="19"/>
        <v/>
      </c>
      <c r="M46" s="268" t="str">
        <f t="shared" si="19"/>
        <v/>
      </c>
      <c r="N46" s="234" t="str">
        <f t="shared" si="19"/>
        <v/>
      </c>
      <c r="O46" s="234" t="str">
        <f t="shared" si="19"/>
        <v/>
      </c>
      <c r="P46" s="474">
        <f t="shared" si="20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19"/>
        <v>0</v>
      </c>
      <c r="E47" s="234">
        <f t="shared" si="19"/>
        <v>0</v>
      </c>
      <c r="F47" s="234">
        <f t="shared" si="19"/>
        <v>0</v>
      </c>
      <c r="G47" s="268">
        <f t="shared" si="19"/>
        <v>0</v>
      </c>
      <c r="H47" s="234">
        <f t="shared" si="19"/>
        <v>0</v>
      </c>
      <c r="I47" s="234">
        <f t="shared" si="19"/>
        <v>0</v>
      </c>
      <c r="J47" s="268">
        <f t="shared" si="19"/>
        <v>0</v>
      </c>
      <c r="K47" s="234">
        <f t="shared" si="19"/>
        <v>0</v>
      </c>
      <c r="L47" s="234" t="str">
        <f t="shared" si="19"/>
        <v/>
      </c>
      <c r="M47" s="268" t="str">
        <f t="shared" si="19"/>
        <v/>
      </c>
      <c r="N47" s="234" t="str">
        <f t="shared" si="19"/>
        <v/>
      </c>
      <c r="O47" s="270" t="str">
        <f t="shared" si="19"/>
        <v/>
      </c>
      <c r="P47" s="234">
        <f t="shared" si="20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19"/>
        <v>0</v>
      </c>
      <c r="F48" s="456">
        <f t="shared" si="19"/>
        <v>0</v>
      </c>
      <c r="G48" s="458">
        <f t="shared" si="19"/>
        <v>0</v>
      </c>
      <c r="H48" s="234">
        <f t="shared" si="19"/>
        <v>0</v>
      </c>
      <c r="I48" s="456">
        <f t="shared" si="19"/>
        <v>0</v>
      </c>
      <c r="J48" s="268">
        <f t="shared" si="19"/>
        <v>0</v>
      </c>
      <c r="K48" s="457">
        <f t="shared" si="19"/>
        <v>0</v>
      </c>
      <c r="L48" s="456" t="str">
        <f t="shared" si="19"/>
        <v/>
      </c>
      <c r="M48" s="458" t="str">
        <f t="shared" si="19"/>
        <v/>
      </c>
      <c r="N48" s="234" t="str">
        <f t="shared" si="19"/>
        <v/>
      </c>
      <c r="O48" s="525" t="str">
        <f t="shared" si="19"/>
        <v/>
      </c>
      <c r="P48" s="475">
        <f t="shared" si="20"/>
        <v>0</v>
      </c>
      <c r="Q48" s="244"/>
    </row>
    <row r="49" spans="2:17" ht="18.5" x14ac:dyDescent="0.45">
      <c r="C49" s="272" t="s">
        <v>229</v>
      </c>
      <c r="D49" s="273">
        <f t="shared" ref="D49:O49" si="21">IF(D$8="","",SUM(D44:D48))</f>
        <v>0</v>
      </c>
      <c r="E49" s="274">
        <f t="shared" si="21"/>
        <v>0</v>
      </c>
      <c r="F49" s="275">
        <f t="shared" si="21"/>
        <v>0</v>
      </c>
      <c r="G49" s="273">
        <f t="shared" si="21"/>
        <v>21.921052631578949</v>
      </c>
      <c r="H49" s="274">
        <f t="shared" si="21"/>
        <v>821.0526315789474</v>
      </c>
      <c r="I49" s="275">
        <f t="shared" si="21"/>
        <v>12.102631578947367</v>
      </c>
      <c r="J49" s="274">
        <f t="shared" si="21"/>
        <v>31.315789473684209</v>
      </c>
      <c r="K49" s="274">
        <f t="shared" si="21"/>
        <v>56.368421052631582</v>
      </c>
      <c r="L49" s="274" t="str">
        <f t="shared" si="21"/>
        <v/>
      </c>
      <c r="M49" s="273" t="str">
        <f t="shared" si="21"/>
        <v/>
      </c>
      <c r="N49" s="274" t="str">
        <f t="shared" si="21"/>
        <v/>
      </c>
      <c r="O49" s="276" t="str">
        <f t="shared" si="21"/>
        <v/>
      </c>
      <c r="P49" s="557">
        <f>IF(P$8="","",SUM(P44:P48))</f>
        <v>942.76052631578955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-73259.629999999888</v>
      </c>
      <c r="E51" s="289">
        <f>IF(E8="","",E14-SUM(E26,E36,E42,E49))</f>
        <v>-177993.28000000003</v>
      </c>
      <c r="F51" s="290">
        <f>IF(F8="","",F14-SUM(F26,F36,F42,F49))</f>
        <v>-63838.589999999909</v>
      </c>
      <c r="G51" s="288">
        <f>IF(G8="","",G14-SUM(G26,G36,G42,G49))</f>
        <v>-1906.1110526315751</v>
      </c>
      <c r="H51" s="289">
        <f>IF(H8="","",H14-SUM(H26,H36,H42,H49))</f>
        <v>-15757.792631578923</v>
      </c>
      <c r="I51" s="290">
        <f>IF(I8="","",I14-SUM(I26,I36,I42,I49))</f>
        <v>13242.027368421026</v>
      </c>
      <c r="J51" s="289">
        <f>IF(J8="","",J14-SUM(J26,J36,J42,J49))</f>
        <v>-155414.63578947366</v>
      </c>
      <c r="K51" s="289">
        <f>IF(K8="","",K14-SUM(K26,K36,K42,K49))</f>
        <v>152199.04157894733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-322728.97052631527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-1265196.74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-1587925.7105263153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0</v>
      </c>
      <c r="E56" s="234">
        <f>IF(E12="","",-E12)</f>
        <v>0</v>
      </c>
      <c r="F56" s="269">
        <f>IF(F12="","",-F12)</f>
        <v>0</v>
      </c>
      <c r="G56" s="268">
        <f>IF(G12="","",-G12)</f>
        <v>0</v>
      </c>
      <c r="H56" s="234">
        <f>IF(H12="","",-H12)</f>
        <v>0</v>
      </c>
      <c r="I56" s="269">
        <f>IF(I12="","",-I12)</f>
        <v>0</v>
      </c>
      <c r="J56" s="234">
        <f>IF(J12="","",-J12)</f>
        <v>0</v>
      </c>
      <c r="K56" s="234">
        <f>IF(K12="","",-K12)</f>
        <v>0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0</v>
      </c>
      <c r="Q56" s="244"/>
    </row>
    <row r="57" spans="2:17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2">IF(E$8="","",0)</f>
        <v>0</v>
      </c>
      <c r="F57" s="269">
        <f t="shared" si="22"/>
        <v>0</v>
      </c>
      <c r="G57" s="268">
        <f t="shared" si="22"/>
        <v>0</v>
      </c>
      <c r="H57" s="234">
        <f t="shared" si="22"/>
        <v>0</v>
      </c>
      <c r="I57" s="269">
        <f t="shared" si="22"/>
        <v>0</v>
      </c>
      <c r="J57" s="234">
        <f t="shared" si="22"/>
        <v>0</v>
      </c>
      <c r="K57" s="234">
        <f t="shared" si="22"/>
        <v>0</v>
      </c>
      <c r="L57" s="234" t="str">
        <f t="shared" si="22"/>
        <v/>
      </c>
      <c r="M57" s="268" t="str">
        <f t="shared" si="22"/>
        <v/>
      </c>
      <c r="N57" s="234" t="str">
        <f t="shared" si="22"/>
        <v/>
      </c>
      <c r="O57" s="270" t="str">
        <f t="shared" si="22"/>
        <v/>
      </c>
      <c r="P57" s="234">
        <f>SUM(D57:O57)</f>
        <v>0</v>
      </c>
      <c r="Q57" s="244"/>
    </row>
    <row r="58" spans="2:17" ht="18.5" x14ac:dyDescent="0.45">
      <c r="C58" s="296" t="s">
        <v>234</v>
      </c>
      <c r="D58" s="297">
        <f>IF(D$8="","",SUM(D56:D57))</f>
        <v>0</v>
      </c>
      <c r="E58" s="298">
        <f t="shared" ref="E58:O58" si="23">IF(E$8="","",SUM(E56:E57))</f>
        <v>0</v>
      </c>
      <c r="F58" s="299">
        <f t="shared" si="23"/>
        <v>0</v>
      </c>
      <c r="G58" s="297">
        <f t="shared" si="23"/>
        <v>0</v>
      </c>
      <c r="H58" s="298">
        <f t="shared" si="23"/>
        <v>0</v>
      </c>
      <c r="I58" s="299">
        <f t="shared" si="23"/>
        <v>0</v>
      </c>
      <c r="J58" s="298">
        <f t="shared" si="23"/>
        <v>0</v>
      </c>
      <c r="K58" s="298">
        <f t="shared" si="23"/>
        <v>0</v>
      </c>
      <c r="L58" s="298" t="str">
        <f t="shared" si="23"/>
        <v/>
      </c>
      <c r="M58" s="297" t="str">
        <f t="shared" si="23"/>
        <v/>
      </c>
      <c r="N58" s="298" t="str">
        <f t="shared" si="23"/>
        <v/>
      </c>
      <c r="O58" s="300" t="str">
        <f t="shared" si="23"/>
        <v/>
      </c>
      <c r="P58" s="298">
        <f>SUM(P56:P57)</f>
        <v>0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13498.95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13498.95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87547.51</v>
      </c>
      <c r="E68" s="246">
        <v>163372.35</v>
      </c>
      <c r="F68" s="246">
        <v>61593.63</v>
      </c>
      <c r="G68" s="246">
        <v>133954.56</v>
      </c>
      <c r="H68" s="246">
        <v>0</v>
      </c>
      <c r="I68" s="308">
        <v>-12719.74</v>
      </c>
      <c r="J68" s="309">
        <f>SUM(D68:I68)</f>
        <v>433748.31</v>
      </c>
      <c r="K68" s="310">
        <v>209</v>
      </c>
      <c r="L68" s="307">
        <f>112.68+151.66+28.94</f>
        <v>293.28000000000003</v>
      </c>
      <c r="M68" s="246">
        <v>0</v>
      </c>
      <c r="N68" s="246">
        <v>0</v>
      </c>
      <c r="O68" s="246">
        <f>110+100+220</f>
        <v>430</v>
      </c>
      <c r="P68" s="246">
        <f>128.12</f>
        <v>128.12</v>
      </c>
      <c r="Q68" s="246">
        <f>215.01+1.64+23.8+30.16</f>
        <v>270.61</v>
      </c>
      <c r="R68" s="246">
        <v>-499.45</v>
      </c>
      <c r="S68" s="246">
        <v>0</v>
      </c>
      <c r="T68" s="246">
        <v>0</v>
      </c>
      <c r="U68" s="323">
        <f>-32310.84-51637.79</f>
        <v>-83948.63</v>
      </c>
    </row>
    <row r="69" spans="3:21" ht="18.5" x14ac:dyDescent="0.45">
      <c r="C69" s="306" t="str">
        <f>Addendum!E11</f>
        <v>August</v>
      </c>
      <c r="D69" s="307">
        <v>76827.490000000005</v>
      </c>
      <c r="E69" s="246">
        <v>87403.29</v>
      </c>
      <c r="F69" s="246">
        <v>144943.46</v>
      </c>
      <c r="G69" s="246">
        <v>64335.03</v>
      </c>
      <c r="H69" s="246">
        <v>132326.01999999999</v>
      </c>
      <c r="I69" s="308">
        <v>-12719.74</v>
      </c>
      <c r="J69" s="309">
        <f t="shared" ref="J69:J79" si="24">SUM(D69:I69)</f>
        <v>493115.55000000005</v>
      </c>
      <c r="K69" s="311">
        <v>209</v>
      </c>
      <c r="L69" s="307">
        <f>-12.67-8.31+110.23</f>
        <v>89.25</v>
      </c>
      <c r="M69" s="246">
        <v>0</v>
      </c>
      <c r="N69" s="246">
        <v>0</v>
      </c>
      <c r="O69" s="246">
        <f>240+330+880</f>
        <v>1450</v>
      </c>
      <c r="P69" s="246">
        <f>200</f>
        <v>200</v>
      </c>
      <c r="Q69" s="246">
        <f>43.72+2936.72+11.9+12.57+9.61</f>
        <v>3014.52</v>
      </c>
      <c r="R69" s="246">
        <v>0</v>
      </c>
      <c r="S69" s="246">
        <v>0</v>
      </c>
      <c r="T69" s="246">
        <v>0</v>
      </c>
      <c r="U69" s="323">
        <v>0</v>
      </c>
    </row>
    <row r="70" spans="3:21" ht="18.5" x14ac:dyDescent="0.45">
      <c r="C70" s="306" t="str">
        <f>Addendum!E12</f>
        <v>September</v>
      </c>
      <c r="D70" s="307">
        <v>114222.25</v>
      </c>
      <c r="E70" s="246">
        <v>105915.42</v>
      </c>
      <c r="F70" s="246">
        <v>95829.73</v>
      </c>
      <c r="G70" s="246">
        <v>87525.13</v>
      </c>
      <c r="H70" s="246">
        <v>0</v>
      </c>
      <c r="I70" s="308">
        <v>-13328.34</v>
      </c>
      <c r="J70" s="309">
        <f>SUM(D70:I70)</f>
        <v>390164.18999999994</v>
      </c>
      <c r="K70" s="311">
        <v>219</v>
      </c>
      <c r="L70" s="307">
        <f>407.7+1281.13+864.28-74</f>
        <v>2479.11</v>
      </c>
      <c r="M70" s="246">
        <v>0</v>
      </c>
      <c r="N70" s="246">
        <v>0</v>
      </c>
      <c r="O70" s="246">
        <f>140+110+330</f>
        <v>580</v>
      </c>
      <c r="P70" s="246">
        <f>600+7432.53</f>
        <v>8032.53</v>
      </c>
      <c r="Q70" s="246">
        <f>255.31+6.17</f>
        <v>261.48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118726.25</v>
      </c>
      <c r="E71" s="246">
        <v>75182.39</v>
      </c>
      <c r="F71" s="246">
        <v>45032.31</v>
      </c>
      <c r="G71" s="246">
        <v>85552.05</v>
      </c>
      <c r="H71" s="246">
        <v>0</v>
      </c>
      <c r="I71" s="308">
        <v>-13267.48</v>
      </c>
      <c r="J71" s="309">
        <f t="shared" si="24"/>
        <v>311225.52</v>
      </c>
      <c r="K71" s="311">
        <v>218</v>
      </c>
      <c r="L71" s="307">
        <f>5.1+3.1+47.43+32.34</f>
        <v>87.97</v>
      </c>
      <c r="M71" s="246">
        <v>0</v>
      </c>
      <c r="N71" s="246">
        <v>0</v>
      </c>
      <c r="O71" s="246">
        <f>260+1100</f>
        <v>1360</v>
      </c>
      <c r="P71" s="246">
        <v>0</v>
      </c>
      <c r="Q71" s="246">
        <f>38.65+101.84+11.9</f>
        <v>152.39000000000001</v>
      </c>
      <c r="R71" s="246">
        <v>0</v>
      </c>
      <c r="S71" s="246">
        <v>0</v>
      </c>
      <c r="T71" s="246">
        <v>0</v>
      </c>
      <c r="U71" s="323">
        <v>0</v>
      </c>
    </row>
    <row r="72" spans="3:21" ht="18.5" x14ac:dyDescent="0.45">
      <c r="C72" s="306" t="str">
        <f>Addendum!E14</f>
        <v>November</v>
      </c>
      <c r="D72" s="307">
        <v>96365.86</v>
      </c>
      <c r="E72" s="246">
        <v>75149.740000000005</v>
      </c>
      <c r="F72" s="246">
        <v>42916.39</v>
      </c>
      <c r="G72" s="246">
        <v>111128.6</v>
      </c>
      <c r="H72" s="246">
        <v>65873.62</v>
      </c>
      <c r="I72" s="308">
        <v>-13206.62</v>
      </c>
      <c r="J72" s="309">
        <f t="shared" si="24"/>
        <v>378227.58999999997</v>
      </c>
      <c r="K72" s="311">
        <v>217</v>
      </c>
      <c r="L72" s="307">
        <f>1.57+25.74-788.44+69.76-748.15</f>
        <v>-1439.52</v>
      </c>
      <c r="M72" s="246">
        <v>0</v>
      </c>
      <c r="N72" s="246">
        <v>0</v>
      </c>
      <c r="O72" s="246">
        <f>200+110+880</f>
        <v>1190</v>
      </c>
      <c r="P72" s="246">
        <f>459.78+16.88+44.22</f>
        <v>520.88</v>
      </c>
      <c r="Q72" s="246">
        <f>31.15+31.01+105.55-460.98+291.69+2087.77+7.65</f>
        <v>2093.84</v>
      </c>
      <c r="R72" s="246">
        <v>0</v>
      </c>
      <c r="S72" s="246">
        <v>0</v>
      </c>
      <c r="T72" s="246">
        <v>0</v>
      </c>
      <c r="U72" s="323">
        <v>0</v>
      </c>
    </row>
    <row r="73" spans="3:21" ht="18.5" x14ac:dyDescent="0.45">
      <c r="C73" s="306" t="str">
        <f>Addendum!E15</f>
        <v>December</v>
      </c>
      <c r="D73" s="307">
        <v>91542.6</v>
      </c>
      <c r="E73" s="246">
        <v>173648.62</v>
      </c>
      <c r="F73" s="246">
        <v>101775.08</v>
      </c>
      <c r="G73" s="246">
        <v>72632.27</v>
      </c>
      <c r="H73" s="246">
        <v>0</v>
      </c>
      <c r="I73" s="308">
        <v>-13206.04</v>
      </c>
      <c r="J73" s="309">
        <f t="shared" si="24"/>
        <v>426392.53</v>
      </c>
      <c r="K73" s="311">
        <v>214</v>
      </c>
      <c r="L73" s="307">
        <f>87.9+589.75+34.34</f>
        <v>711.99</v>
      </c>
      <c r="M73" s="246">
        <v>0</v>
      </c>
      <c r="N73" s="246">
        <v>0</v>
      </c>
      <c r="O73" s="246">
        <f>120+440+550</f>
        <v>1110</v>
      </c>
      <c r="P73" s="246">
        <f>200</f>
        <v>200</v>
      </c>
      <c r="Q73" s="246">
        <f>68.23+65.16+40.3+19.25</f>
        <v>192.94</v>
      </c>
      <c r="R73" s="246">
        <v>0</v>
      </c>
      <c r="S73" s="246">
        <v>0</v>
      </c>
      <c r="T73" s="246">
        <v>0</v>
      </c>
      <c r="U73" s="323">
        <v>0</v>
      </c>
    </row>
    <row r="74" spans="3:21" ht="18.5" x14ac:dyDescent="0.45">
      <c r="C74" s="306" t="str">
        <f>Addendum!E16</f>
        <v>January 2025</v>
      </c>
      <c r="D74" s="307">
        <v>103109.09</v>
      </c>
      <c r="E74" s="246">
        <v>51804.14</v>
      </c>
      <c r="F74" s="246">
        <v>210412.61</v>
      </c>
      <c r="G74" s="246">
        <v>145337.25</v>
      </c>
      <c r="H74" s="246">
        <v>68772.89</v>
      </c>
      <c r="I74" s="308">
        <v>-13024.04</v>
      </c>
      <c r="J74" s="309">
        <f t="shared" si="24"/>
        <v>566411.93999999994</v>
      </c>
      <c r="K74" s="311">
        <v>214</v>
      </c>
      <c r="L74" s="307">
        <f>-54.44+1.79-385.61+4039.34+407.94</f>
        <v>4009.02</v>
      </c>
      <c r="M74" s="246">
        <v>0</v>
      </c>
      <c r="N74" s="246">
        <v>0</v>
      </c>
      <c r="O74" s="246">
        <f>200+330+1210</f>
        <v>1740</v>
      </c>
      <c r="P74" s="246">
        <f>221.89</f>
        <v>221.89</v>
      </c>
      <c r="Q74" s="246">
        <f>30.51+43.72+114.98+75.63+297.12+95.3+11.9</f>
        <v>669.16</v>
      </c>
      <c r="R74" s="246">
        <f>137.76</f>
        <v>137.76</v>
      </c>
      <c r="S74" s="246">
        <v>0</v>
      </c>
      <c r="T74" s="246">
        <v>0</v>
      </c>
      <c r="U74" s="323">
        <v>0</v>
      </c>
    </row>
    <row r="75" spans="3:21" ht="18.5" x14ac:dyDescent="0.45">
      <c r="C75" s="306" t="str">
        <f>Addendum!E17</f>
        <v>February</v>
      </c>
      <c r="D75" s="307">
        <v>135972.57999999999</v>
      </c>
      <c r="E75" s="246">
        <v>50575.839999999997</v>
      </c>
      <c r="F75" s="246">
        <v>53994.42</v>
      </c>
      <c r="G75" s="246">
        <v>164076.43</v>
      </c>
      <c r="H75" s="246">
        <v>0</v>
      </c>
      <c r="I75" s="308">
        <v>-12841.46</v>
      </c>
      <c r="J75" s="309">
        <f t="shared" si="24"/>
        <v>391777.80999999994</v>
      </c>
      <c r="K75" s="311">
        <v>211</v>
      </c>
      <c r="L75" s="307">
        <f>994.25+8.58-45.18+157.28</f>
        <v>1114.93</v>
      </c>
      <c r="M75" s="246">
        <v>0</v>
      </c>
      <c r="N75" s="246">
        <v>0</v>
      </c>
      <c r="O75" s="246">
        <f>260+110+550</f>
        <v>920</v>
      </c>
      <c r="P75" s="246">
        <f>57.97</f>
        <v>57.97</v>
      </c>
      <c r="Q75" s="246">
        <f>102.57+43.72</f>
        <v>146.29</v>
      </c>
      <c r="R75" s="246">
        <v>0</v>
      </c>
      <c r="S75" s="246">
        <v>-26611</v>
      </c>
      <c r="T75" s="246">
        <v>0</v>
      </c>
      <c r="U75" s="323">
        <v>-29737.18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4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4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4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4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824313.62999999989</v>
      </c>
      <c r="E80" s="314">
        <f t="shared" ref="E80:J80" si="25">SUM(E68:E79)</f>
        <v>783051.79</v>
      </c>
      <c r="F80" s="314">
        <f t="shared" si="25"/>
        <v>756497.63</v>
      </c>
      <c r="G80" s="314">
        <f t="shared" si="25"/>
        <v>864541.32000000007</v>
      </c>
      <c r="H80" s="314">
        <f>SUM(H68:H79)</f>
        <v>266972.52999999997</v>
      </c>
      <c r="I80" s="315">
        <f t="shared" si="25"/>
        <v>-104313.45999999999</v>
      </c>
      <c r="J80" s="316">
        <f t="shared" si="25"/>
        <v>3391063.4400000004</v>
      </c>
      <c r="K80" s="317">
        <f>SUM(K68:K79)</f>
        <v>1711</v>
      </c>
      <c r="L80" s="313">
        <f>SUM(L68:L79)</f>
        <v>7346.0300000000007</v>
      </c>
      <c r="M80" s="314">
        <f t="shared" ref="M80:U80" si="26">SUM(M68:M79)</f>
        <v>0</v>
      </c>
      <c r="N80" s="314">
        <f t="shared" si="26"/>
        <v>0</v>
      </c>
      <c r="O80" s="314">
        <f t="shared" si="26"/>
        <v>8780</v>
      </c>
      <c r="P80" s="314">
        <f t="shared" si="26"/>
        <v>9361.3899999999976</v>
      </c>
      <c r="Q80" s="314">
        <f t="shared" si="26"/>
        <v>6801.23</v>
      </c>
      <c r="R80" s="314">
        <f t="shared" si="26"/>
        <v>-361.69</v>
      </c>
      <c r="S80" s="314">
        <f>SUM(S68:S79)</f>
        <v>-26611</v>
      </c>
      <c r="T80" s="314">
        <f t="shared" si="26"/>
        <v>0</v>
      </c>
      <c r="U80" s="322">
        <f t="shared" si="26"/>
        <v>-113685.81</v>
      </c>
    </row>
  </sheetData>
  <mergeCells count="20">
    <mergeCell ref="C60:O60"/>
    <mergeCell ref="C2:P2"/>
    <mergeCell ref="C3:P3"/>
    <mergeCell ref="C5:P5"/>
    <mergeCell ref="D65:U65"/>
    <mergeCell ref="C59:O59"/>
    <mergeCell ref="D10:F10"/>
    <mergeCell ref="M10:O10"/>
    <mergeCell ref="P21:P22"/>
    <mergeCell ref="C52:O52"/>
    <mergeCell ref="C53:O53"/>
    <mergeCell ref="D16:F16"/>
    <mergeCell ref="G16:I16"/>
    <mergeCell ref="J16:L16"/>
    <mergeCell ref="M16:O16"/>
    <mergeCell ref="D66:H66"/>
    <mergeCell ref="I66:I67"/>
    <mergeCell ref="J66:J67"/>
    <mergeCell ref="K66:K67"/>
    <mergeCell ref="L66:U66"/>
  </mergeCells>
  <conditionalFormatting sqref="D51:P51">
    <cfRule type="cellIs" dxfId="18" priority="1" operator="lessThan">
      <formula>0</formula>
    </cfRule>
  </conditionalFormatting>
  <printOptions horizontalCentered="1"/>
  <pageMargins left="0.25" right="0.25" top="0.75" bottom="0.75" header="0.3" footer="0.3"/>
  <pageSetup scale="4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0E701-D8B4-4297-8702-729D6F9F71C3}">
  <sheetPr codeName="Sheet11">
    <tabColor theme="6" tint="0.39997558519241921"/>
    <pageSetUpPr fitToPage="1"/>
  </sheetPr>
  <dimension ref="B1:U80"/>
  <sheetViews>
    <sheetView view="pageBreakPreview" topLeftCell="A40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5" width="20.7265625" customWidth="1"/>
    <col min="16" max="16" width="28.4531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167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Entry'!$D$3:$D$500,MATCH(1,INDEX((Corry!$C$7='Cash Flow Entry'!$B$3:$B$500)*(VALUE(Corry!D$7)='Cash Flow Entry'!$C$3:$C$500),0,1),0)),"")</f>
        <v>256</v>
      </c>
      <c r="E8" s="256" cm="1">
        <f t="array" ref="E8">IFERROR(INDEX('Cash Flow Entry'!$D$3:$D$500,MATCH(1,INDEX((Corry!$C$7='Cash Flow Entry'!$B$3:$B$500)*(VALUE(Corry!E$7)='Cash Flow Entry'!$C$3:$C$500),0,1),0)),"")</f>
        <v>256</v>
      </c>
      <c r="F8" s="257" cm="1">
        <f t="array" ref="F8">IFERROR(INDEX('Cash Flow Entry'!$D$3:$D$500,MATCH(1,INDEX((Corry!$C$7='Cash Flow Entry'!$B$3:$B$500)*(VALUE(Corry!F$7)='Cash Flow Entry'!$C$3:$C$500),0,1),0)),"")</f>
        <v>257</v>
      </c>
      <c r="G8" s="255" cm="1">
        <f t="array" ref="G8">IFERROR(INDEX('Cash Flow Entry'!$D$3:$D$500,MATCH(1,INDEX((Corry!$C$7='Cash Flow Entry'!$B$3:$B$500)*(VALUE(Corry!G$7)='Cash Flow Entry'!$C$3:$C$500),0,1),0)),"")</f>
        <v>256</v>
      </c>
      <c r="H8" s="256" cm="1">
        <f t="array" ref="H8">IFERROR(INDEX('Cash Flow Entry'!$D$3:$D$500,MATCH(1,INDEX((Corry!$C$7='Cash Flow Entry'!$B$3:$B$500)*(VALUE(Corry!H$7)='Cash Flow Entry'!$C$3:$C$500),0,1),0)),"")</f>
        <v>256</v>
      </c>
      <c r="I8" s="257" cm="1">
        <f t="array" ref="I8">IFERROR(INDEX('Cash Flow Entry'!$D$3:$D$500,MATCH(1,INDEX((Corry!$C$7='Cash Flow Entry'!$B$3:$B$500)*(VALUE(Corry!I$7)='Cash Flow Entry'!$C$3:$C$500),0,1),0)),"")</f>
        <v>255</v>
      </c>
      <c r="J8" s="256" cm="1">
        <f t="array" ref="J8">IFERROR(INDEX('Cash Flow Entry'!$D$3:$D$500,MATCH(1,INDEX((Corry!$C$7='Cash Flow Entry'!$B$3:$B$500)*(VALUE(Corry!J$7)='Cash Flow Entry'!$C$3:$C$500),0,1),0)),"")</f>
        <v>253</v>
      </c>
      <c r="K8" s="256" cm="1">
        <f t="array" ref="K8">IFERROR(INDEX('Cash Flow Entry'!$D$3:$D$500,MATCH(1,INDEX((Corry!$C$7='Cash Flow Entry'!$B$3:$B$500)*(VALUE(Corry!K$7)='Cash Flow Entry'!$C$3:$C$500),0,1),0)),"")</f>
        <v>253</v>
      </c>
      <c r="L8" s="256" t="str" cm="1">
        <f t="array" ref="L8">IFERROR(INDEX('Cash Flow Entry'!$D$3:$D$500,MATCH(1,INDEX((Corry!$C$7='Cash Flow Entry'!$B$3:$B$500)*(VALUE(Corry!L$7)='Cash Flow Entry'!$C$3:$C$500),0,1),0)),"")</f>
        <v/>
      </c>
      <c r="M8" s="255" t="str" cm="1">
        <f t="array" ref="M8">IFERROR(INDEX('Cash Flow Entry'!$D$3:$D$500,MATCH(1,INDEX((Corry!$C$7='Cash Flow Entry'!$B$3:$B$500)*(VALUE(Corry!M$7)='Cash Flow Entry'!$C$3:$C$500),0,1),0)),"")</f>
        <v/>
      </c>
      <c r="N8" s="256" t="str" cm="1">
        <f t="array" ref="N8">IFERROR(INDEX('Cash Flow Entry'!$D$3:$D$500,MATCH(1,INDEX((Corry!$C$7='Cash Flow Entry'!$B$3:$B$500)*(VALUE(Corry!N$7)='Cash Flow Entry'!$C$3:$C$500),0,1),0)),"")</f>
        <v/>
      </c>
      <c r="O8" s="258" t="str" cm="1">
        <f t="array" ref="O8">IFERROR(INDEX('Cash Flow Entry'!$D$3:$D$500,MATCH(1,INDEX((Corry!$C$7='Cash Flow Entry'!$B$3:$B$500)*(VALUE(Corry!O$7)='Cash Flow Entry'!$C$3:$C$500),0,1),0)),"")</f>
        <v/>
      </c>
      <c r="P8" s="259">
        <f>SUM(D8:O8)</f>
        <v>2042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Entry'!$E$3:$E$500,MATCH(1,INDEX((Corry!$C$7='Cash Flow Entry'!$B$3:$B$500)*(VALUE(Corry!D$7)='Cash Flow Entry'!$C$3:$C$500),0,1),0)),"")</f>
        <v>801</v>
      </c>
      <c r="E9" s="256" cm="1">
        <f t="array" ref="E9">IFERROR(INDEX('Cash Flow Entry'!$E$3:$E$500,MATCH(1,INDEX((Corry!$C$7='Cash Flow Entry'!$B$3:$B$500)*(VALUE(Corry!E$7)='Cash Flow Entry'!$C$3:$C$500),0,1),0)),"")</f>
        <v>801</v>
      </c>
      <c r="F9" s="257" cm="1">
        <f t="array" ref="F9">IFERROR(INDEX('Cash Flow Entry'!$E$3:$E$500,MATCH(1,INDEX((Corry!$C$7='Cash Flow Entry'!$B$3:$B$500)*(VALUE(Corry!F$7)='Cash Flow Entry'!$C$3:$C$500),0,1),0)),"")</f>
        <v>804</v>
      </c>
      <c r="G9" s="255" cm="1">
        <f t="array" ref="G9">IFERROR(INDEX('Cash Flow Entry'!$E$3:$E$500,MATCH(1,INDEX((Corry!$C$7='Cash Flow Entry'!$B$3:$B$500)*(VALUE(Corry!G$7)='Cash Flow Entry'!$C$3:$C$500),0,1),0)),"")</f>
        <v>807</v>
      </c>
      <c r="H9" s="256" cm="1">
        <f t="array" ref="H9">IFERROR(INDEX('Cash Flow Entry'!$E$3:$E$500,MATCH(1,INDEX((Corry!$C$7='Cash Flow Entry'!$B$3:$B$500)*(VALUE(Corry!H$7)='Cash Flow Entry'!$C$3:$C$500),0,1),0)),"")</f>
        <v>812</v>
      </c>
      <c r="I9" s="257" cm="1">
        <f t="array" ref="I9">IFERROR(INDEX('Cash Flow Entry'!$E$3:$E$500,MATCH(1,INDEX((Corry!$C$7='Cash Flow Entry'!$B$3:$B$500)*(VALUE(Corry!I$7)='Cash Flow Entry'!$C$3:$C$500),0,1),0)),"")</f>
        <v>811</v>
      </c>
      <c r="J9" s="256" cm="1">
        <f t="array" ref="J9">IFERROR(INDEX('Cash Flow Entry'!$E$3:$E$500,MATCH(1,INDEX((Corry!$C$7='Cash Flow Entry'!$B$3:$B$500)*(VALUE(Corry!J$7)='Cash Flow Entry'!$C$3:$C$500),0,1),0)),"")</f>
        <v>809</v>
      </c>
      <c r="K9" s="256" cm="1">
        <f t="array" ref="K9">IFERROR(INDEX('Cash Flow Entry'!$E$3:$E$500,MATCH(1,INDEX((Corry!$C$7='Cash Flow Entry'!$B$3:$B$500)*(VALUE(Corry!K$7)='Cash Flow Entry'!$C$3:$C$500),0,1),0)),"")</f>
        <v>814</v>
      </c>
      <c r="L9" s="256" t="str" cm="1">
        <f t="array" ref="L9">IFERROR(INDEX('Cash Flow Entry'!$E$3:$E$500,MATCH(1,INDEX((Corry!$C$7='Cash Flow Entry'!$B$3:$B$500)*(VALUE(Corry!L$7)='Cash Flow Entry'!$C$3:$C$500),0,1),0)),"")</f>
        <v/>
      </c>
      <c r="M9" s="255" t="str" cm="1">
        <f t="array" ref="M9">IFERROR(INDEX('Cash Flow Entry'!$E$3:$E$500,MATCH(1,INDEX((Corry!$C$7='Cash Flow Entry'!$B$3:$B$500)*(VALUE(Corry!M$7)='Cash Flow Entry'!$C$3:$C$500),0,1),0)),"")</f>
        <v/>
      </c>
      <c r="N9" s="256" t="str" cm="1">
        <f t="array" ref="N9">IFERROR(INDEX('Cash Flow Entry'!$E$3:$E$500,MATCH(1,INDEX((Corry!$C$7='Cash Flow Entry'!$B$3:$B$500)*(VALUE(Corry!N$7)='Cash Flow Entry'!$C$3:$C$500),0,1),0)),"")</f>
        <v/>
      </c>
      <c r="O9" s="258" t="str" cm="1">
        <f t="array" ref="O9">IFERROR(INDEX('Cash Flow Entry'!$E$3:$E$500,MATCH(1,INDEX((Corry!$C$7='Cash Flow Entry'!$B$3:$B$500)*(VALUE(Corry!O$7)='Cash Flow Entry'!$C$3:$C$500),0,1),0)),"")</f>
        <v/>
      </c>
      <c r="P9" s="259">
        <f>SUM(D9:O9)</f>
        <v>6459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$1,814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$1,582.86</v>
      </c>
      <c r="N10" s="645"/>
      <c r="O10" s="647"/>
      <c r="P10" s="265">
        <f>P14</f>
        <v>3232194.6</v>
      </c>
      <c r="Q10" s="534">
        <v>1813.76</v>
      </c>
      <c r="R10" s="305">
        <f>Q10*P8</f>
        <v>3703697.92</v>
      </c>
      <c r="S10" s="305"/>
    </row>
    <row r="11" spans="2:20" ht="18.5" x14ac:dyDescent="0.45">
      <c r="B11" s="213" t="s">
        <v>191</v>
      </c>
      <c r="C11" s="267" t="s">
        <v>194</v>
      </c>
      <c r="D11" s="268">
        <v>457067.52000000002</v>
      </c>
      <c r="E11" s="234">
        <v>464322.56</v>
      </c>
      <c r="F11" s="234">
        <v>462508.79999999999</v>
      </c>
      <c r="G11" s="268">
        <v>466136.32000000001</v>
      </c>
      <c r="H11" s="234">
        <v>464322.56</v>
      </c>
      <c r="I11" s="269">
        <v>462508.79999999999</v>
      </c>
      <c r="J11" s="234">
        <v>460695.03999999998</v>
      </c>
      <c r="K11" s="234"/>
      <c r="L11" s="234"/>
      <c r="M11" s="268"/>
      <c r="N11" s="234"/>
      <c r="O11" s="270"/>
      <c r="P11" s="234">
        <f>SUM(D11:O11)</f>
        <v>3237561.6</v>
      </c>
      <c r="Q11" s="302"/>
    </row>
    <row r="12" spans="2:20" ht="18.5" x14ac:dyDescent="0.45">
      <c r="C12" s="267" t="s">
        <v>195</v>
      </c>
      <c r="D12" s="268">
        <f>IF(D$8="","",IF(D$11=0,0,D$8*$Q12))</f>
        <v>-768</v>
      </c>
      <c r="E12" s="234">
        <f t="shared" ref="E12:O12" si="0">IF(E$8="","",IF(E$11=0,0,E$8*$Q12))</f>
        <v>-768</v>
      </c>
      <c r="F12" s="269">
        <f t="shared" si="0"/>
        <v>-771</v>
      </c>
      <c r="G12" s="268">
        <f t="shared" si="0"/>
        <v>-768</v>
      </c>
      <c r="H12" s="234">
        <f t="shared" si="0"/>
        <v>-768</v>
      </c>
      <c r="I12" s="269">
        <f t="shared" si="0"/>
        <v>-765</v>
      </c>
      <c r="J12" s="234">
        <f t="shared" si="0"/>
        <v>-759</v>
      </c>
      <c r="K12" s="234">
        <f t="shared" si="0"/>
        <v>0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-5367</v>
      </c>
      <c r="Q12" s="533">
        <v>-3</v>
      </c>
    </row>
    <row r="13" spans="2:20" ht="18.5" x14ac:dyDescent="0.45">
      <c r="B13" s="213" t="s">
        <v>191</v>
      </c>
      <c r="C13" s="267" t="s">
        <v>196</v>
      </c>
      <c r="D13" s="458">
        <f>IF(D$8="","",0)</f>
        <v>0</v>
      </c>
      <c r="E13" s="457">
        <f>IF(E$8="","",0)</f>
        <v>0</v>
      </c>
      <c r="F13" s="269">
        <f t="shared" ref="F13:O13" si="2">IF(F$8="","",0)</f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456299.52000000002</v>
      </c>
      <c r="E14" s="274">
        <f t="shared" ref="E14:O14" si="3">IF(E8="","",SUM(E11:E13))</f>
        <v>463554.56</v>
      </c>
      <c r="F14" s="275">
        <f t="shared" si="3"/>
        <v>461737.8</v>
      </c>
      <c r="G14" s="273">
        <f t="shared" si="3"/>
        <v>465368.32000000001</v>
      </c>
      <c r="H14" s="274">
        <f t="shared" si="3"/>
        <v>463554.56</v>
      </c>
      <c r="I14" s="275">
        <f t="shared" si="3"/>
        <v>461743.8</v>
      </c>
      <c r="J14" s="274">
        <f t="shared" si="3"/>
        <v>459936.04</v>
      </c>
      <c r="K14" s="274">
        <f t="shared" si="3"/>
        <v>0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3232194.6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$1,497</v>
      </c>
      <c r="E16" s="645"/>
      <c r="F16" s="646"/>
      <c r="G16" s="644" t="str">
        <f>"Admin, Reinsurance, &amp; Misc. PEPM: "&amp;DOLLAR(SUM($P36,$P42,$P49)/$P$8,0)</f>
        <v>Admin, Reinsurance, &amp; Misc. PEPM: $572</v>
      </c>
      <c r="H16" s="645"/>
      <c r="I16" s="646"/>
      <c r="J16" s="644" t="str">
        <f>"Total Expenses PEPM: "&amp;DOLLAR($P16/$P$8,0)</f>
        <v>Total Expenses PEPM: $2,069</v>
      </c>
      <c r="K16" s="645"/>
      <c r="L16" s="646"/>
      <c r="M16" s="644" t="str">
        <f>"Projection Variance: "&amp;TEXT(($P$16/$P$8)/$Q$10-1,"0.00%")</f>
        <v>Projection Variance: 14.05%</v>
      </c>
      <c r="N16" s="645"/>
      <c r="O16" s="647"/>
      <c r="P16" s="265">
        <f>SUM(P26,P36,P42,P49)</f>
        <v>4224187.1905263159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Entry'!$F$3:$F$500,MATCH(1,INDEX((Corry!$C$7='Cash Flow Entry'!$B$3:$B$500)*(VALUE(Corry!D$7)='Cash Flow Entry'!$C$3:$C$500),0,1),0)),"")+IFERROR(INDEX('Cash Flow Entry'!$H$3:$H$500,MATCH(1,INDEX((Corry!$C$7='Cash Flow Entry'!$B$3:$B$500)*(VALUE(Corry!D$7)='Cash Flow Entry'!$C$3:$C$500),0,1),0)),""),"")</f>
        <v>279589.55</v>
      </c>
      <c r="E18" s="234" cm="1">
        <f t="array" ref="E18">IFERROR(IFERROR(INDEX('Cash Flow Entry'!$F$3:$F$500,MATCH(1,INDEX((Corry!$C$7='Cash Flow Entry'!$B$3:$B$500)*(VALUE(Corry!E$7)='Cash Flow Entry'!$C$3:$C$500),0,1),0)),"")+IFERROR(INDEX('Cash Flow Entry'!$H$3:$H$500,MATCH(1,INDEX((Corry!$C$7='Cash Flow Entry'!$B$3:$B$500)*(VALUE(Corry!E$7)='Cash Flow Entry'!$C$3:$C$500),0,1),0)),""),"")</f>
        <v>381471.63</v>
      </c>
      <c r="F18" s="269" cm="1">
        <f t="array" ref="F18">IFERROR(IFERROR(INDEX('Cash Flow Entry'!$F$3:$F$500,MATCH(1,INDEX((Corry!$C$7='Cash Flow Entry'!$B$3:$B$500)*(VALUE(Corry!F$7)='Cash Flow Entry'!$C$3:$C$500),0,1),0)),"")+IFERROR(INDEX('Cash Flow Entry'!$H$3:$H$500,MATCH(1,INDEX((Corry!$C$7='Cash Flow Entry'!$B$3:$B$500)*(VALUE(Corry!F$7)='Cash Flow Entry'!$C$3:$C$500),0,1),0)),""),"")</f>
        <v>268250.46999999997</v>
      </c>
      <c r="G18" s="268" cm="1">
        <f t="array" ref="G18">IFERROR(IFERROR(INDEX('Cash Flow Entry'!$F$3:$F$500,MATCH(1,INDEX((Corry!$C$7='Cash Flow Entry'!$B$3:$B$500)*(VALUE(Corry!G$7)='Cash Flow Entry'!$C$3:$C$500),0,1),0)),"")+IFERROR(INDEX('Cash Flow Entry'!$H$3:$H$500,MATCH(1,INDEX((Corry!$C$7='Cash Flow Entry'!$B$3:$B$500)*(VALUE(Corry!G$7)='Cash Flow Entry'!$C$3:$C$500),0,1),0)),""),"")</f>
        <v>224903.83</v>
      </c>
      <c r="H18" s="234" cm="1">
        <f t="array" ref="H18">IFERROR(IFERROR(INDEX('Cash Flow Entry'!$F$3:$F$500,MATCH(1,INDEX((Corry!$C$7='Cash Flow Entry'!$B$3:$B$500)*(VALUE(Corry!H$7)='Cash Flow Entry'!$C$3:$C$500),0,1),0)),"")+IFERROR(INDEX('Cash Flow Entry'!$H$3:$H$500,MATCH(1,INDEX((Corry!$C$7='Cash Flow Entry'!$B$3:$B$500)*(VALUE(Corry!H$7)='Cash Flow Entry'!$C$3:$C$500),0,1),0)),""),"")</f>
        <v>271237.45999999996</v>
      </c>
      <c r="I18" s="269" cm="1">
        <f t="array" ref="I18">IFERROR(IFERROR(INDEX('Cash Flow Entry'!$F$3:$F$500,MATCH(1,INDEX((Corry!$C$7='Cash Flow Entry'!$B$3:$B$500)*(VALUE(Corry!I$7)='Cash Flow Entry'!$C$3:$C$500),0,1),0)),"")+IFERROR(INDEX('Cash Flow Entry'!$H$3:$H$500,MATCH(1,INDEX((Corry!$C$7='Cash Flow Entry'!$B$3:$B$500)*(VALUE(Corry!I$7)='Cash Flow Entry'!$C$3:$C$500),0,1),0)),""),"")</f>
        <v>194442.65</v>
      </c>
      <c r="J18" s="234" cm="1">
        <f t="array" ref="J18">IFERROR(IFERROR(INDEX('Cash Flow Entry'!$F$3:$F$500,MATCH(1,INDEX((Corry!$C$7='Cash Flow Entry'!$B$3:$B$500)*(VALUE(Corry!J$7)='Cash Flow Entry'!$C$3:$C$500),0,1),0)),"")+IFERROR(INDEX('Cash Flow Entry'!$H$3:$H$500,MATCH(1,INDEX((Corry!$C$7='Cash Flow Entry'!$B$3:$B$500)*(VALUE(Corry!J$7)='Cash Flow Entry'!$C$3:$C$500),0,1),0)),""),"")</f>
        <v>352720.12</v>
      </c>
      <c r="K18" s="234" cm="1">
        <f t="array" ref="K18">IFERROR(IFERROR(INDEX('Cash Flow Entry'!$F$3:$F$500,MATCH(1,INDEX((Corry!$C$7='Cash Flow Entry'!$B$3:$B$500)*(VALUE(Corry!K$7)='Cash Flow Entry'!$C$3:$C$500),0,1),0)),"")+IFERROR(INDEX('Cash Flow Entry'!$H$3:$H$500,MATCH(1,INDEX((Corry!$C$7='Cash Flow Entry'!$B$3:$B$500)*(VALUE(Corry!K$7)='Cash Flow Entry'!$C$3:$C$500),0,1),0)),""),"")</f>
        <v>350444.69</v>
      </c>
      <c r="L18" s="234" t="str" cm="1">
        <f t="array" ref="L18">IFERROR(IFERROR(INDEX('Cash Flow Entry'!$F$3:$F$500,MATCH(1,INDEX((Corry!$C$7='Cash Flow Entry'!$B$3:$B$500)*(VALUE(Corry!L$7)='Cash Flow Entry'!$C$3:$C$500),0,1),0)),"")+IFERROR(INDEX('Cash Flow Entry'!$H$3:$H$500,MATCH(1,INDEX((Corry!$C$7='Cash Flow Entry'!$B$3:$B$500)*(VALUE(Corry!L$7)='Cash Flow Entry'!$C$3:$C$500),0,1),0)),""),"")</f>
        <v/>
      </c>
      <c r="M18" s="268" t="str" cm="1">
        <f t="array" ref="M18">IFERROR(IFERROR(INDEX('Cash Flow Entry'!$F$3:$F$500,MATCH(1,INDEX((Corry!$C$7='Cash Flow Entry'!$B$3:$B$500)*(VALUE(Corry!M$7)='Cash Flow Entry'!$C$3:$C$500),0,1),0)),"")+IFERROR(INDEX('Cash Flow Entry'!$H$3:$H$500,MATCH(1,INDEX((Corry!$C$7='Cash Flow Entry'!$B$3:$B$500)*(VALUE(Corry!M$7)='Cash Flow Entry'!$C$3:$C$500),0,1),0)),""),"")</f>
        <v/>
      </c>
      <c r="N18" s="234" t="str" cm="1">
        <f t="array" ref="N18">IFERROR(IFERROR(INDEX('Cash Flow Entry'!$F$3:$F$500,MATCH(1,INDEX((Corry!$C$7='Cash Flow Entry'!$B$3:$B$500)*(VALUE(Corry!N$7)='Cash Flow Entry'!$C$3:$C$500),0,1),0)),"")+IFERROR(INDEX('Cash Flow Entry'!$H$3:$H$500,MATCH(1,INDEX((Corry!$C$7='Cash Flow Entry'!$B$3:$B$500)*(VALUE(Corry!N$7)='Cash Flow Entry'!$C$3:$C$500),0,1),0)),""),"")</f>
        <v/>
      </c>
      <c r="O18" s="270" t="str" cm="1">
        <f t="array" ref="O18">IFERROR(IFERROR(INDEX('Cash Flow Entry'!$F$3:$F$500,MATCH(1,INDEX((Corry!$C$7='Cash Flow Entry'!$B$3:$B$500)*(VALUE(Corry!O$7)='Cash Flow Entry'!$C$3:$C$500),0,1),0)),"")+IFERROR(INDEX('Cash Flow Entry'!$H$3:$H$500,MATCH(1,INDEX((Corry!$C$7='Cash Flow Entry'!$B$3:$B$500)*(VALUE(Corry!O$7)='Cash Flow Entry'!$C$3:$C$500),0,1),0)),""),"")</f>
        <v/>
      </c>
      <c r="P18" s="234">
        <f>SUM(D18:O18)</f>
        <v>2323060.4</v>
      </c>
      <c r="Q18" s="533">
        <v>835.85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Entry'!$G$3:$G$500,MATCH(1,INDEX((Corry!$C$7='Cash Flow Entry'!$B$3:$B$500)*(VALUE(Corry!D$7)='Cash Flow Entry'!$C$3:$C$500),0,1),0)),"")</f>
        <v>132080.69</v>
      </c>
      <c r="E19" s="234" cm="1">
        <f t="array" ref="E19">IFERROR(INDEX('Cash Flow Entry'!$G$3:$G$500,MATCH(1,INDEX((Corry!$C$7='Cash Flow Entry'!$B$3:$B$500)*(VALUE(Corry!E$7)='Cash Flow Entry'!$C$3:$C$500),0,1),0)),"")</f>
        <v>213901.77</v>
      </c>
      <c r="F19" s="269" cm="1">
        <f t="array" ref="F19">IFERROR(INDEX('Cash Flow Entry'!$G$3:$G$500,MATCH(1,INDEX((Corry!$C$7='Cash Flow Entry'!$B$3:$B$500)*(VALUE(Corry!F$7)='Cash Flow Entry'!$C$3:$C$500),0,1),0)),"")</f>
        <v>167534.04</v>
      </c>
      <c r="G19" s="268" cm="1">
        <f t="array" ref="G19">IFERROR(INDEX('Cash Flow Entry'!$G$3:$G$500,MATCH(1,INDEX((Corry!$C$7='Cash Flow Entry'!$B$3:$B$500)*(VALUE(Corry!G$7)='Cash Flow Entry'!$C$3:$C$500),0,1),0)),"")</f>
        <v>150496.5</v>
      </c>
      <c r="H19" s="234" cm="1">
        <f t="array" ref="H19">IFERROR(INDEX('Cash Flow Entry'!$G$3:$G$500,MATCH(1,INDEX((Corry!$C$7='Cash Flow Entry'!$B$3:$B$500)*(VALUE(Corry!H$7)='Cash Flow Entry'!$C$3:$C$500),0,1),0)),"")</f>
        <v>193338.61</v>
      </c>
      <c r="I19" s="269" cm="1">
        <f t="array" ref="I19">IFERROR(INDEX('Cash Flow Entry'!$G$3:$G$500,MATCH(1,INDEX((Corry!$C$7='Cash Flow Entry'!$B$3:$B$500)*(VALUE(Corry!I$7)='Cash Flow Entry'!$C$3:$C$500),0,1),0)),"")</f>
        <v>161747.51</v>
      </c>
      <c r="J19" s="234" cm="1">
        <f t="array" ref="J19">IFERROR(INDEX('Cash Flow Entry'!$G$3:$G$500,MATCH(1,INDEX((Corry!$C$7='Cash Flow Entry'!$B$3:$B$500)*(VALUE(Corry!J$7)='Cash Flow Entry'!$C$3:$C$500),0,1),0)),"")</f>
        <v>191816.51</v>
      </c>
      <c r="K19" s="234" cm="1">
        <f t="array" ref="K19">IFERROR(INDEX('Cash Flow Entry'!$G$3:$G$500,MATCH(1,INDEX((Corry!$C$7='Cash Flow Entry'!$B$3:$B$500)*(VALUE(Corry!K$7)='Cash Flow Entry'!$C$3:$C$500),0,1),0)),"")</f>
        <v>160838.72</v>
      </c>
      <c r="L19" s="234" t="str" cm="1">
        <f t="array" ref="L19">IFERROR(INDEX('Cash Flow Entry'!$G$3:$G$500,MATCH(1,INDEX((Corry!$C$7='Cash Flow Entry'!$B$3:$B$500)*(VALUE(Corry!L$7)='Cash Flow Entry'!$C$3:$C$500),0,1),0)),"")</f>
        <v/>
      </c>
      <c r="M19" s="268" t="str" cm="1">
        <f t="array" ref="M19">IFERROR(INDEX('Cash Flow Entry'!$G$3:$G$500,MATCH(1,INDEX((Corry!$C$7='Cash Flow Entry'!$B$3:$B$500)*(VALUE(Corry!M$7)='Cash Flow Entry'!$C$3:$C$500),0,1),0)),"")</f>
        <v/>
      </c>
      <c r="N19" s="234" t="str" cm="1">
        <f t="array" ref="N19">IFERROR(INDEX('Cash Flow Entry'!$G$3:$G$500,MATCH(1,INDEX((Corry!$C$7='Cash Flow Entry'!$B$3:$B$500)*(VALUE(Corry!N$7)='Cash Flow Entry'!$C$3:$C$500),0,1),0)),"")</f>
        <v/>
      </c>
      <c r="O19" s="270" t="str" cm="1">
        <f t="array" ref="O19">IFERROR(INDEX('Cash Flow Entry'!$G$3:$G$500,MATCH(1,INDEX((Corry!$C$7='Cash Flow Entry'!$B$3:$B$500)*(VALUE(Corry!O$7)='Cash Flow Entry'!$C$3:$C$500),0,1),0)),"")</f>
        <v/>
      </c>
      <c r="P19" s="234">
        <f>SUM(D19:O19)</f>
        <v>1371754.3499999999</v>
      </c>
      <c r="Q19" s="533">
        <v>355.68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ht="18.5" x14ac:dyDescent="0.45">
      <c r="B21" s="219">
        <f>INDEX('HCC Summary'!$I$9:$I$27,MATCH(Corry!C7,'HCC Summary'!B9:B27, 0))</f>
        <v>382353.82999999996</v>
      </c>
      <c r="C21" s="282" t="s">
        <v>225</v>
      </c>
      <c r="D21" s="283">
        <v>0</v>
      </c>
      <c r="E21" s="284">
        <v>5939.17</v>
      </c>
      <c r="F21" s="285">
        <v>32415.15</v>
      </c>
      <c r="G21" s="283">
        <v>46102.19</v>
      </c>
      <c r="H21" s="284">
        <v>85844.77</v>
      </c>
      <c r="I21" s="285">
        <v>169480.24</v>
      </c>
      <c r="J21" s="284">
        <v>194835.17</v>
      </c>
      <c r="K21" s="284">
        <v>382353.83</v>
      </c>
      <c r="L21" s="284"/>
      <c r="M21" s="283"/>
      <c r="N21" s="284"/>
      <c r="O21" s="286"/>
      <c r="P21" s="641">
        <f>SUM(D22:O22)</f>
        <v>-382353.83</v>
      </c>
      <c r="Q21" s="533"/>
    </row>
    <row r="22" spans="2:17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-5939.17</v>
      </c>
      <c r="F22" s="269">
        <f t="shared" si="5"/>
        <v>-26475.980000000003</v>
      </c>
      <c r="G22" s="268">
        <f t="shared" si="5"/>
        <v>-13687.04</v>
      </c>
      <c r="H22" s="234">
        <f t="shared" si="5"/>
        <v>-39742.58</v>
      </c>
      <c r="I22" s="269">
        <f t="shared" si="5"/>
        <v>-83635.469999999987</v>
      </c>
      <c r="J22" s="234">
        <f t="shared" si="5"/>
        <v>-25354.930000000022</v>
      </c>
      <c r="K22" s="234">
        <f t="shared" si="5"/>
        <v>-187518.66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7" ht="18.5" x14ac:dyDescent="0.45">
      <c r="C23" s="267" t="s">
        <v>363</v>
      </c>
      <c r="D23" s="268">
        <f>IF(D$8="","",$U68)</f>
        <v>-35552.46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0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-35552.46</v>
      </c>
      <c r="Q23" s="533"/>
    </row>
    <row r="24" spans="2:17" ht="18.5" x14ac:dyDescent="0.45">
      <c r="C24" s="267" t="s">
        <v>25</v>
      </c>
      <c r="D24" s="268">
        <f t="shared" ref="D24:O24" si="7">IF(D$8="","",D$8*$Q$24)</f>
        <v>-28160</v>
      </c>
      <c r="E24" s="234">
        <f t="shared" si="7"/>
        <v>-28160</v>
      </c>
      <c r="F24" s="269">
        <f t="shared" si="7"/>
        <v>-28270</v>
      </c>
      <c r="G24" s="268">
        <f t="shared" si="7"/>
        <v>-28160</v>
      </c>
      <c r="H24" s="234">
        <f t="shared" si="7"/>
        <v>-28160</v>
      </c>
      <c r="I24" s="269">
        <f t="shared" si="7"/>
        <v>-28050</v>
      </c>
      <c r="J24" s="234">
        <f t="shared" si="7"/>
        <v>-27830</v>
      </c>
      <c r="K24" s="234">
        <f t="shared" si="7"/>
        <v>-27830</v>
      </c>
      <c r="L24" s="234" t="str">
        <f t="shared" si="7"/>
        <v/>
      </c>
      <c r="M24" s="268" t="str">
        <f t="shared" si="7"/>
        <v/>
      </c>
      <c r="N24" s="234" t="str">
        <f t="shared" si="7"/>
        <v/>
      </c>
      <c r="O24" s="270" t="str">
        <f t="shared" si="7"/>
        <v/>
      </c>
      <c r="P24" s="234">
        <f t="shared" si="6"/>
        <v>-224620</v>
      </c>
      <c r="Q24" s="533">
        <v>-110</v>
      </c>
    </row>
    <row r="25" spans="2:17" ht="18.5" x14ac:dyDescent="0.45">
      <c r="B25" s="213"/>
      <c r="C25" s="267" t="s">
        <v>199</v>
      </c>
      <c r="D25" s="268">
        <f>IF(D$8="","",SUM($L68:$R68))</f>
        <v>3463.59</v>
      </c>
      <c r="E25" s="234">
        <f>IF(E$8="","",SUM($L69:$R69))</f>
        <v>4944.51</v>
      </c>
      <c r="F25" s="269">
        <f>IF(F$8="","",SUM($L70:$R70))</f>
        <v>5400.9299999999994</v>
      </c>
      <c r="G25" s="268">
        <f>IF(G$8="","",SUM($L71:$R71))</f>
        <v>4636</v>
      </c>
      <c r="H25" s="234">
        <f>IF(H$8="","",SUM($L72:$R72))</f>
        <v>4968.9699999999993</v>
      </c>
      <c r="I25" s="269">
        <f>IF(I$8="","",SUM($L73:$R73))</f>
        <v>2968.87</v>
      </c>
      <c r="J25" s="234">
        <f>IF(J$8="","",SUM($L74:$R74))</f>
        <v>6025.91</v>
      </c>
      <c r="K25" s="234">
        <f>IF(K$8="","",SUM($L75:$S75))</f>
        <v>-27649.69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4759.09</v>
      </c>
      <c r="Q25" s="533"/>
    </row>
    <row r="26" spans="2:17" ht="18.5" x14ac:dyDescent="0.45">
      <c r="C26" s="272" t="s">
        <v>200</v>
      </c>
      <c r="D26" s="273">
        <f>IF(D8="","",SUM(D18:D20,D22:D25))</f>
        <v>351421.37</v>
      </c>
      <c r="E26" s="274">
        <f t="shared" ref="E26:L26" si="8">IF(E8="","",SUM(E18:E20,E22:E25))</f>
        <v>566218.74</v>
      </c>
      <c r="F26" s="275">
        <f t="shared" si="8"/>
        <v>386439.46</v>
      </c>
      <c r="G26" s="273">
        <f t="shared" si="8"/>
        <v>338189.29</v>
      </c>
      <c r="H26" s="274">
        <f t="shared" si="8"/>
        <v>401642.4599999999</v>
      </c>
      <c r="I26" s="275">
        <f t="shared" si="8"/>
        <v>247473.56000000006</v>
      </c>
      <c r="J26" s="273">
        <f t="shared" si="8"/>
        <v>497377.60999999993</v>
      </c>
      <c r="K26" s="274">
        <f t="shared" si="8"/>
        <v>268285.06</v>
      </c>
      <c r="L26" s="275" t="str">
        <f t="shared" si="8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9">IF(O8="","",SUM(O18:O19,O22:O25))</f>
        <v/>
      </c>
      <c r="P26" s="274">
        <f>SUM(P18:P25)</f>
        <v>3057047.55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ht="18.5" x14ac:dyDescent="0.45">
      <c r="C28" s="267" t="s">
        <v>223</v>
      </c>
      <c r="D28" s="268">
        <f>IF(D$8="","",D$8*$Q28)</f>
        <v>10275.84</v>
      </c>
      <c r="E28" s="234">
        <f t="shared" ref="E28:O35" si="10">IF(E$8="","",E$8*$Q28)</f>
        <v>10275.84</v>
      </c>
      <c r="F28" s="269">
        <f t="shared" si="10"/>
        <v>10315.98</v>
      </c>
      <c r="G28" s="268">
        <f t="shared" si="10"/>
        <v>10275.84</v>
      </c>
      <c r="H28" s="234">
        <f t="shared" si="10"/>
        <v>10275.84</v>
      </c>
      <c r="I28" s="269">
        <f t="shared" si="10"/>
        <v>10235.700000000001</v>
      </c>
      <c r="J28" s="234">
        <f t="shared" si="10"/>
        <v>10155.42</v>
      </c>
      <c r="K28" s="234">
        <f t="shared" si="10"/>
        <v>10155.42</v>
      </c>
      <c r="L28" s="234" t="str">
        <f t="shared" si="10"/>
        <v/>
      </c>
      <c r="M28" s="268" t="str">
        <f t="shared" si="10"/>
        <v/>
      </c>
      <c r="N28" s="234" t="str">
        <f t="shared" si="10"/>
        <v/>
      </c>
      <c r="O28" s="270" t="str">
        <f t="shared" si="10"/>
        <v/>
      </c>
      <c r="P28" s="234">
        <f>SUM(D28:O28)</f>
        <v>81965.87999999999</v>
      </c>
      <c r="Q28" s="533">
        <v>40.14</v>
      </c>
    </row>
    <row r="29" spans="2:17" ht="18.5" x14ac:dyDescent="0.45">
      <c r="C29" s="267" t="s">
        <v>224</v>
      </c>
      <c r="D29" s="268">
        <f t="shared" ref="D29:O35" si="11">IF(D$8="","",D$8*$Q29)</f>
        <v>1024</v>
      </c>
      <c r="E29" s="234">
        <f t="shared" si="10"/>
        <v>1024</v>
      </c>
      <c r="F29" s="269">
        <f t="shared" si="10"/>
        <v>1028</v>
      </c>
      <c r="G29" s="268">
        <f t="shared" si="10"/>
        <v>1024</v>
      </c>
      <c r="H29" s="234">
        <f t="shared" si="10"/>
        <v>1024</v>
      </c>
      <c r="I29" s="269">
        <f t="shared" si="10"/>
        <v>1020</v>
      </c>
      <c r="J29" s="234">
        <f t="shared" si="10"/>
        <v>1012</v>
      </c>
      <c r="K29" s="234">
        <f t="shared" si="10"/>
        <v>1012</v>
      </c>
      <c r="L29" s="234" t="str">
        <f t="shared" si="10"/>
        <v/>
      </c>
      <c r="M29" s="268" t="str">
        <f t="shared" si="10"/>
        <v/>
      </c>
      <c r="N29" s="234" t="str">
        <f t="shared" si="10"/>
        <v/>
      </c>
      <c r="O29" s="270" t="str">
        <f t="shared" si="10"/>
        <v/>
      </c>
      <c r="P29" s="234">
        <f t="shared" ref="P29:P34" si="12">SUM(D29:O29)</f>
        <v>8168</v>
      </c>
      <c r="Q29" s="533">
        <v>4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10"/>
        <v>0</v>
      </c>
      <c r="F30" s="234">
        <f t="shared" si="10"/>
        <v>0</v>
      </c>
      <c r="G30" s="268">
        <f t="shared" si="10"/>
        <v>0</v>
      </c>
      <c r="H30" s="234">
        <f t="shared" si="10"/>
        <v>0</v>
      </c>
      <c r="I30" s="234">
        <f t="shared" si="10"/>
        <v>0</v>
      </c>
      <c r="J30" s="268">
        <f t="shared" si="10"/>
        <v>0</v>
      </c>
      <c r="K30" s="234">
        <f t="shared" si="10"/>
        <v>0</v>
      </c>
      <c r="L30" s="234" t="str">
        <f t="shared" si="10"/>
        <v/>
      </c>
      <c r="M30" s="268" t="str">
        <f t="shared" si="10"/>
        <v/>
      </c>
      <c r="N30" s="234" t="str">
        <f t="shared" si="10"/>
        <v/>
      </c>
      <c r="O30" s="270" t="str">
        <f t="shared" si="10"/>
        <v/>
      </c>
      <c r="P30" s="234">
        <f t="shared" si="12"/>
        <v>0</v>
      </c>
      <c r="Q30" s="533">
        <v>0</v>
      </c>
    </row>
    <row r="31" spans="2:17" ht="18.5" x14ac:dyDescent="0.45">
      <c r="C31" s="267" t="s">
        <v>325</v>
      </c>
      <c r="D31" s="268">
        <f t="shared" si="11"/>
        <v>0</v>
      </c>
      <c r="E31" s="234">
        <f t="shared" si="11"/>
        <v>0</v>
      </c>
      <c r="F31" s="234">
        <f t="shared" si="11"/>
        <v>0</v>
      </c>
      <c r="G31" s="268">
        <f t="shared" si="11"/>
        <v>0</v>
      </c>
      <c r="H31" s="234">
        <f t="shared" si="11"/>
        <v>0</v>
      </c>
      <c r="I31" s="234">
        <f t="shared" si="11"/>
        <v>0</v>
      </c>
      <c r="J31" s="268">
        <f t="shared" si="11"/>
        <v>0</v>
      </c>
      <c r="K31" s="234">
        <f t="shared" si="11"/>
        <v>0</v>
      </c>
      <c r="L31" s="234" t="str">
        <f t="shared" si="11"/>
        <v/>
      </c>
      <c r="M31" s="268" t="str">
        <f t="shared" si="11"/>
        <v/>
      </c>
      <c r="N31" s="234" t="str">
        <f t="shared" si="11"/>
        <v/>
      </c>
      <c r="O31" s="270" t="str">
        <f t="shared" si="11"/>
        <v/>
      </c>
      <c r="P31" s="234">
        <f t="shared" si="12"/>
        <v>0</v>
      </c>
      <c r="Q31" s="533">
        <v>0</v>
      </c>
    </row>
    <row r="32" spans="2:17" ht="18.5" x14ac:dyDescent="0.45">
      <c r="C32" s="267" t="s">
        <v>247</v>
      </c>
      <c r="D32" s="268">
        <f t="shared" si="11"/>
        <v>0</v>
      </c>
      <c r="E32" s="234">
        <f t="shared" si="11"/>
        <v>0</v>
      </c>
      <c r="F32" s="269">
        <f t="shared" si="11"/>
        <v>0</v>
      </c>
      <c r="G32" s="268">
        <f t="shared" si="11"/>
        <v>0</v>
      </c>
      <c r="H32" s="234">
        <f t="shared" si="11"/>
        <v>0</v>
      </c>
      <c r="I32" s="269">
        <f t="shared" si="11"/>
        <v>0</v>
      </c>
      <c r="J32" s="234">
        <f t="shared" si="11"/>
        <v>0</v>
      </c>
      <c r="K32" s="234">
        <f t="shared" si="11"/>
        <v>0</v>
      </c>
      <c r="L32" s="234" t="str">
        <f t="shared" si="11"/>
        <v/>
      </c>
      <c r="M32" s="268" t="str">
        <f t="shared" si="11"/>
        <v/>
      </c>
      <c r="N32" s="234" t="str">
        <f t="shared" si="11"/>
        <v/>
      </c>
      <c r="O32" s="270" t="str">
        <f t="shared" si="11"/>
        <v/>
      </c>
      <c r="P32" s="234">
        <f t="shared" si="12"/>
        <v>0</v>
      </c>
      <c r="Q32" s="533">
        <v>0</v>
      </c>
    </row>
    <row r="33" spans="2:18" ht="18.5" x14ac:dyDescent="0.45">
      <c r="C33" s="267" t="s">
        <v>227</v>
      </c>
      <c r="D33" s="268">
        <f t="shared" si="11"/>
        <v>448</v>
      </c>
      <c r="E33" s="234">
        <f t="shared" si="10"/>
        <v>448</v>
      </c>
      <c r="F33" s="269">
        <f t="shared" si="10"/>
        <v>449.75</v>
      </c>
      <c r="G33" s="268">
        <f t="shared" si="10"/>
        <v>448</v>
      </c>
      <c r="H33" s="234">
        <f t="shared" si="10"/>
        <v>448</v>
      </c>
      <c r="I33" s="269">
        <f t="shared" si="10"/>
        <v>446.25</v>
      </c>
      <c r="J33" s="234">
        <f t="shared" si="10"/>
        <v>442.75</v>
      </c>
      <c r="K33" s="234">
        <f t="shared" si="10"/>
        <v>442.75</v>
      </c>
      <c r="L33" s="234" t="str">
        <f t="shared" si="10"/>
        <v/>
      </c>
      <c r="M33" s="268" t="str">
        <f t="shared" si="10"/>
        <v/>
      </c>
      <c r="N33" s="234" t="str">
        <f t="shared" si="10"/>
        <v/>
      </c>
      <c r="O33" s="270" t="str">
        <f t="shared" si="10"/>
        <v/>
      </c>
      <c r="P33" s="234">
        <f t="shared" si="12"/>
        <v>3573.5</v>
      </c>
      <c r="Q33" s="533">
        <v>1.75</v>
      </c>
    </row>
    <row r="34" spans="2:18" ht="18.5" x14ac:dyDescent="0.45">
      <c r="C34" s="267" t="s">
        <v>228</v>
      </c>
      <c r="D34" s="268">
        <f t="shared" si="11"/>
        <v>844.8</v>
      </c>
      <c r="E34" s="234">
        <f t="shared" si="10"/>
        <v>844.8</v>
      </c>
      <c r="F34" s="269">
        <f t="shared" si="10"/>
        <v>848.09999999999991</v>
      </c>
      <c r="G34" s="268">
        <f t="shared" si="10"/>
        <v>844.8</v>
      </c>
      <c r="H34" s="234">
        <f t="shared" si="10"/>
        <v>844.8</v>
      </c>
      <c r="I34" s="269">
        <f t="shared" si="10"/>
        <v>841.5</v>
      </c>
      <c r="J34" s="234">
        <f t="shared" si="10"/>
        <v>834.9</v>
      </c>
      <c r="K34" s="234">
        <f t="shared" si="10"/>
        <v>834.9</v>
      </c>
      <c r="L34" s="234" t="str">
        <f t="shared" si="10"/>
        <v/>
      </c>
      <c r="M34" s="268" t="str">
        <f t="shared" si="10"/>
        <v/>
      </c>
      <c r="N34" s="234" t="str">
        <f t="shared" si="10"/>
        <v/>
      </c>
      <c r="O34" s="270" t="str">
        <f t="shared" si="10"/>
        <v/>
      </c>
      <c r="P34" s="234">
        <f t="shared" si="12"/>
        <v>6738.5999999999995</v>
      </c>
      <c r="Q34" s="533">
        <v>3.3</v>
      </c>
    </row>
    <row r="35" spans="2:18" ht="18.5" x14ac:dyDescent="0.45">
      <c r="C35" s="267" t="s">
        <v>202</v>
      </c>
      <c r="D35" s="268">
        <f t="shared" si="11"/>
        <v>1013.76</v>
      </c>
      <c r="E35" s="234">
        <f t="shared" si="10"/>
        <v>1013.76</v>
      </c>
      <c r="F35" s="269">
        <f t="shared" si="10"/>
        <v>1017.72</v>
      </c>
      <c r="G35" s="268">
        <f t="shared" si="10"/>
        <v>1013.76</v>
      </c>
      <c r="H35" s="234">
        <f t="shared" si="10"/>
        <v>1013.76</v>
      </c>
      <c r="I35" s="269">
        <f t="shared" si="10"/>
        <v>1009.8</v>
      </c>
      <c r="J35" s="234">
        <f t="shared" si="10"/>
        <v>1001.88</v>
      </c>
      <c r="K35" s="234">
        <f t="shared" si="10"/>
        <v>1001.88</v>
      </c>
      <c r="L35" s="234" t="str">
        <f t="shared" si="10"/>
        <v/>
      </c>
      <c r="M35" s="268" t="str">
        <f t="shared" si="10"/>
        <v/>
      </c>
      <c r="N35" s="234" t="str">
        <f t="shared" si="10"/>
        <v/>
      </c>
      <c r="O35" s="270" t="str">
        <f t="shared" si="10"/>
        <v/>
      </c>
      <c r="P35" s="234">
        <f>SUM(D35:O35)</f>
        <v>8086.3200000000006</v>
      </c>
      <c r="Q35" s="533">
        <v>3.96</v>
      </c>
    </row>
    <row r="36" spans="2:18" ht="18.5" x14ac:dyDescent="0.45">
      <c r="C36" s="272" t="s">
        <v>203</v>
      </c>
      <c r="D36" s="273">
        <f t="shared" ref="D36:P36" si="13">IF(D$8="","",SUM(D28:D35))</f>
        <v>13606.4</v>
      </c>
      <c r="E36" s="274">
        <f t="shared" si="13"/>
        <v>13606.4</v>
      </c>
      <c r="F36" s="275">
        <f t="shared" si="13"/>
        <v>13659.55</v>
      </c>
      <c r="G36" s="273">
        <f t="shared" si="13"/>
        <v>13606.4</v>
      </c>
      <c r="H36" s="274">
        <f t="shared" si="13"/>
        <v>13606.4</v>
      </c>
      <c r="I36" s="275">
        <f t="shared" si="13"/>
        <v>13553.25</v>
      </c>
      <c r="J36" s="274">
        <f t="shared" si="13"/>
        <v>13446.949999999999</v>
      </c>
      <c r="K36" s="274">
        <f t="shared" si="13"/>
        <v>13446.949999999999</v>
      </c>
      <c r="L36" s="274" t="str">
        <f t="shared" si="13"/>
        <v/>
      </c>
      <c r="M36" s="273" t="str">
        <f t="shared" si="13"/>
        <v/>
      </c>
      <c r="N36" s="274" t="str">
        <f t="shared" si="13"/>
        <v/>
      </c>
      <c r="O36" s="276" t="str">
        <f t="shared" si="13"/>
        <v/>
      </c>
      <c r="P36" s="274">
        <f t="shared" si="13"/>
        <v>108532.3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25285.119999999999</v>
      </c>
      <c r="E38" s="234">
        <f t="shared" ref="E38:O41" si="14">IF(E$8="","",E$8*$Q38)</f>
        <v>25285.119999999999</v>
      </c>
      <c r="F38" s="269">
        <f t="shared" si="14"/>
        <v>25383.89</v>
      </c>
      <c r="G38" s="268">
        <f t="shared" si="14"/>
        <v>25285.119999999999</v>
      </c>
      <c r="H38" s="234">
        <f t="shared" si="14"/>
        <v>25285.119999999999</v>
      </c>
      <c r="I38" s="269">
        <f t="shared" si="14"/>
        <v>25186.35</v>
      </c>
      <c r="J38" s="234">
        <f t="shared" si="14"/>
        <v>24988.809999999998</v>
      </c>
      <c r="K38" s="234">
        <f t="shared" si="14"/>
        <v>24988.809999999998</v>
      </c>
      <c r="L38" s="234" t="str">
        <f t="shared" si="14"/>
        <v/>
      </c>
      <c r="M38" s="268" t="str">
        <f t="shared" si="14"/>
        <v/>
      </c>
      <c r="N38" s="234" t="str">
        <f t="shared" si="14"/>
        <v/>
      </c>
      <c r="O38" s="270" t="str">
        <f t="shared" si="14"/>
        <v/>
      </c>
      <c r="P38" s="234">
        <f>SUM(D38:O38)</f>
        <v>201688.34</v>
      </c>
      <c r="Q38" s="533">
        <v>98.77</v>
      </c>
    </row>
    <row r="39" spans="2:18" ht="18.5" x14ac:dyDescent="0.45">
      <c r="C39" s="267" t="s">
        <v>205</v>
      </c>
      <c r="D39" s="268">
        <f t="shared" ref="D39:D41" si="15">IF(D$8="","",D$8*$Q39)</f>
        <v>124631.03999999999</v>
      </c>
      <c r="E39" s="234">
        <f t="shared" si="14"/>
        <v>124631.03999999999</v>
      </c>
      <c r="F39" s="269">
        <f t="shared" si="14"/>
        <v>125117.87999999999</v>
      </c>
      <c r="G39" s="268">
        <f t="shared" si="14"/>
        <v>124631.03999999999</v>
      </c>
      <c r="H39" s="234">
        <f t="shared" si="14"/>
        <v>124631.03999999999</v>
      </c>
      <c r="I39" s="269">
        <f t="shared" ref="I39:O39" si="16">IF(I$8="","",I$8*$R39)</f>
        <v>73144.2</v>
      </c>
      <c r="J39" s="234">
        <f t="shared" si="16"/>
        <v>72570.51999999999</v>
      </c>
      <c r="K39" s="234">
        <f t="shared" si="16"/>
        <v>72570.51999999999</v>
      </c>
      <c r="L39" s="234" t="str">
        <f t="shared" si="16"/>
        <v/>
      </c>
      <c r="M39" s="268" t="str">
        <f t="shared" si="16"/>
        <v/>
      </c>
      <c r="N39" s="234" t="str">
        <f t="shared" si="16"/>
        <v/>
      </c>
      <c r="O39" s="270" t="str">
        <f t="shared" si="16"/>
        <v/>
      </c>
      <c r="P39" s="234">
        <f t="shared" ref="P39:P41" si="17">SUM(D39:O39)</f>
        <v>841927.27999999991</v>
      </c>
      <c r="Q39" s="533">
        <v>486.84</v>
      </c>
      <c r="R39" s="11">
        <f>Q39-200</f>
        <v>286.83999999999997</v>
      </c>
    </row>
    <row r="40" spans="2:18" ht="18.5" x14ac:dyDescent="0.45">
      <c r="C40" s="267" t="s">
        <v>322</v>
      </c>
      <c r="D40" s="268">
        <f t="shared" ref="D40:O40" si="18">IF(D$8="","",D$8*$Q40)</f>
        <v>1024</v>
      </c>
      <c r="E40" s="234">
        <f t="shared" si="18"/>
        <v>1024</v>
      </c>
      <c r="F40" s="269">
        <f t="shared" si="18"/>
        <v>1028</v>
      </c>
      <c r="G40" s="234">
        <f t="shared" si="18"/>
        <v>1024</v>
      </c>
      <c r="H40" s="234">
        <f t="shared" si="18"/>
        <v>1024</v>
      </c>
      <c r="I40" s="269">
        <f t="shared" si="18"/>
        <v>1020</v>
      </c>
      <c r="J40" s="234">
        <f t="shared" si="18"/>
        <v>1012</v>
      </c>
      <c r="K40" s="234">
        <f t="shared" si="18"/>
        <v>1012</v>
      </c>
      <c r="L40" s="234" t="str">
        <f t="shared" si="18"/>
        <v/>
      </c>
      <c r="M40" s="268" t="str">
        <f t="shared" si="18"/>
        <v/>
      </c>
      <c r="N40" s="234" t="str">
        <f t="shared" si="18"/>
        <v/>
      </c>
      <c r="O40" s="270" t="str">
        <f t="shared" si="18"/>
        <v/>
      </c>
      <c r="P40" s="234">
        <f>SUM(D40:O40)</f>
        <v>8168</v>
      </c>
      <c r="Q40" s="533">
        <v>4</v>
      </c>
    </row>
    <row r="41" spans="2:18" ht="18.5" x14ac:dyDescent="0.45">
      <c r="C41" s="267" t="s">
        <v>206</v>
      </c>
      <c r="D41" s="268">
        <f t="shared" si="15"/>
        <v>737.28</v>
      </c>
      <c r="E41" s="234">
        <f t="shared" si="14"/>
        <v>737.28</v>
      </c>
      <c r="F41" s="269">
        <f t="shared" si="14"/>
        <v>740.16</v>
      </c>
      <c r="G41" s="268">
        <f t="shared" si="14"/>
        <v>737.28</v>
      </c>
      <c r="H41" s="234">
        <f t="shared" si="14"/>
        <v>737.28</v>
      </c>
      <c r="I41" s="269">
        <f t="shared" si="14"/>
        <v>734.4</v>
      </c>
      <c r="J41" s="234">
        <f t="shared" si="14"/>
        <v>728.64</v>
      </c>
      <c r="K41" s="234">
        <f t="shared" si="14"/>
        <v>728.64</v>
      </c>
      <c r="L41" s="234" t="str">
        <f t="shared" si="14"/>
        <v/>
      </c>
      <c r="M41" s="268" t="str">
        <f t="shared" si="14"/>
        <v/>
      </c>
      <c r="N41" s="234" t="str">
        <f t="shared" si="14"/>
        <v/>
      </c>
      <c r="O41" s="270" t="str">
        <f t="shared" si="14"/>
        <v/>
      </c>
      <c r="P41" s="234">
        <f t="shared" si="17"/>
        <v>5880.96</v>
      </c>
      <c r="Q41" s="533">
        <v>2.88</v>
      </c>
    </row>
    <row r="42" spans="2:18" ht="18.5" x14ac:dyDescent="0.45">
      <c r="C42" s="272" t="s">
        <v>207</v>
      </c>
      <c r="D42" s="273">
        <f t="shared" ref="D42:O42" si="19">IF(D$8="","",SUM(D38:D41))</f>
        <v>151677.44</v>
      </c>
      <c r="E42" s="274">
        <f t="shared" si="19"/>
        <v>151677.44</v>
      </c>
      <c r="F42" s="275">
        <f t="shared" si="19"/>
        <v>152269.93</v>
      </c>
      <c r="G42" s="273">
        <f t="shared" si="19"/>
        <v>151677.44</v>
      </c>
      <c r="H42" s="274">
        <f t="shared" si="19"/>
        <v>151677.44</v>
      </c>
      <c r="I42" s="275">
        <f t="shared" si="19"/>
        <v>100084.94999999998</v>
      </c>
      <c r="J42" s="274">
        <f t="shared" si="19"/>
        <v>99299.969999999987</v>
      </c>
      <c r="K42" s="274">
        <f t="shared" si="19"/>
        <v>99299.969999999987</v>
      </c>
      <c r="L42" s="274" t="str">
        <f t="shared" si="19"/>
        <v/>
      </c>
      <c r="M42" s="273" t="str">
        <f t="shared" si="19"/>
        <v/>
      </c>
      <c r="N42" s="274" t="str">
        <f t="shared" si="19"/>
        <v/>
      </c>
      <c r="O42" s="276" t="str">
        <f t="shared" si="19"/>
        <v/>
      </c>
      <c r="P42" s="274">
        <f>IF(P$8="","",SUM(P38:P41))</f>
        <v>1057664.5799999998</v>
      </c>
      <c r="Q42" s="30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 t="s">
        <v>191</v>
      </c>
      <c r="C44" s="267" t="s">
        <v>209</v>
      </c>
      <c r="D44" s="268">
        <f t="shared" ref="D44:O48" si="20">IF(D$8="","",0)</f>
        <v>0</v>
      </c>
      <c r="E44" s="234">
        <f t="shared" si="20"/>
        <v>0</v>
      </c>
      <c r="F44" s="234">
        <f t="shared" si="20"/>
        <v>0</v>
      </c>
      <c r="G44" s="268">
        <f>416.5/19</f>
        <v>21.921052631578949</v>
      </c>
      <c r="H44" s="234">
        <f t="shared" si="20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20"/>
        <v/>
      </c>
      <c r="M44" s="268" t="str">
        <f t="shared" si="20"/>
        <v/>
      </c>
      <c r="N44" s="234" t="str">
        <f t="shared" si="20"/>
        <v/>
      </c>
      <c r="O44" s="234" t="str">
        <f t="shared" si="20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20"/>
        <v>0</v>
      </c>
      <c r="E45" s="234">
        <f t="shared" si="20"/>
        <v>0</v>
      </c>
      <c r="F45" s="269">
        <f t="shared" si="20"/>
        <v>0</v>
      </c>
      <c r="G45" s="268">
        <f t="shared" si="20"/>
        <v>0</v>
      </c>
      <c r="H45" s="234">
        <f>15600/19</f>
        <v>821.0526315789474</v>
      </c>
      <c r="I45" s="234">
        <f t="shared" si="20"/>
        <v>0</v>
      </c>
      <c r="J45" s="268">
        <f t="shared" si="20"/>
        <v>0</v>
      </c>
      <c r="K45" s="234">
        <f t="shared" si="20"/>
        <v>0</v>
      </c>
      <c r="L45" s="234" t="str">
        <f t="shared" si="20"/>
        <v/>
      </c>
      <c r="M45" s="268" t="str">
        <f t="shared" si="20"/>
        <v/>
      </c>
      <c r="N45" s="234" t="str">
        <f t="shared" si="20"/>
        <v/>
      </c>
      <c r="O45" s="234" t="str">
        <f t="shared" si="20"/>
        <v/>
      </c>
      <c r="P45" s="474">
        <f t="shared" ref="P45:P48" si="21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20"/>
        <v>0</v>
      </c>
      <c r="E46" s="234">
        <f t="shared" si="20"/>
        <v>0</v>
      </c>
      <c r="F46" s="269">
        <f t="shared" si="20"/>
        <v>0</v>
      </c>
      <c r="G46" s="268">
        <f t="shared" si="20"/>
        <v>0</v>
      </c>
      <c r="H46" s="234">
        <f t="shared" si="20"/>
        <v>0</v>
      </c>
      <c r="I46" s="234">
        <f t="shared" si="20"/>
        <v>0</v>
      </c>
      <c r="J46" s="268">
        <f t="shared" si="20"/>
        <v>0</v>
      </c>
      <c r="K46" s="234">
        <f t="shared" si="20"/>
        <v>0</v>
      </c>
      <c r="L46" s="234" t="str">
        <f t="shared" si="20"/>
        <v/>
      </c>
      <c r="M46" s="268" t="str">
        <f t="shared" si="20"/>
        <v/>
      </c>
      <c r="N46" s="234" t="str">
        <f t="shared" si="20"/>
        <v/>
      </c>
      <c r="O46" s="234" t="str">
        <f t="shared" si="20"/>
        <v/>
      </c>
      <c r="P46" s="474">
        <f t="shared" si="21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20"/>
        <v>0</v>
      </c>
      <c r="E47" s="234">
        <f t="shared" si="20"/>
        <v>0</v>
      </c>
      <c r="F47" s="234">
        <f t="shared" si="20"/>
        <v>0</v>
      </c>
      <c r="G47" s="268">
        <f t="shared" si="20"/>
        <v>0</v>
      </c>
      <c r="H47" s="234">
        <f t="shared" si="20"/>
        <v>0</v>
      </c>
      <c r="I47" s="234">
        <f t="shared" si="20"/>
        <v>0</v>
      </c>
      <c r="J47" s="268">
        <f t="shared" si="20"/>
        <v>0</v>
      </c>
      <c r="K47" s="234">
        <f t="shared" si="20"/>
        <v>0</v>
      </c>
      <c r="L47" s="234" t="str">
        <f t="shared" si="20"/>
        <v/>
      </c>
      <c r="M47" s="268" t="str">
        <f t="shared" si="20"/>
        <v/>
      </c>
      <c r="N47" s="234" t="str">
        <f t="shared" si="20"/>
        <v/>
      </c>
      <c r="O47" s="270" t="str">
        <f t="shared" si="20"/>
        <v/>
      </c>
      <c r="P47" s="234">
        <f t="shared" si="21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20"/>
        <v>0</v>
      </c>
      <c r="F48" s="456">
        <f t="shared" si="20"/>
        <v>0</v>
      </c>
      <c r="G48" s="458">
        <f t="shared" si="20"/>
        <v>0</v>
      </c>
      <c r="H48" s="234">
        <f t="shared" si="20"/>
        <v>0</v>
      </c>
      <c r="I48" s="456">
        <f t="shared" si="20"/>
        <v>0</v>
      </c>
      <c r="J48" s="268">
        <f t="shared" si="20"/>
        <v>0</v>
      </c>
      <c r="K48" s="457">
        <f t="shared" si="20"/>
        <v>0</v>
      </c>
      <c r="L48" s="456" t="str">
        <f t="shared" si="20"/>
        <v/>
      </c>
      <c r="M48" s="458" t="str">
        <f t="shared" si="20"/>
        <v/>
      </c>
      <c r="N48" s="234" t="str">
        <f t="shared" si="20"/>
        <v/>
      </c>
      <c r="O48" s="525" t="str">
        <f t="shared" si="20"/>
        <v/>
      </c>
      <c r="P48" s="475">
        <f t="shared" si="21"/>
        <v>0</v>
      </c>
      <c r="Q48" s="244"/>
    </row>
    <row r="49" spans="2:17" ht="18.5" x14ac:dyDescent="0.45">
      <c r="C49" s="272" t="s">
        <v>229</v>
      </c>
      <c r="D49" s="273">
        <f t="shared" ref="D49:P49" si="22">IF(D$8="","",SUM(D44:D48))</f>
        <v>0</v>
      </c>
      <c r="E49" s="274">
        <f t="shared" si="22"/>
        <v>0</v>
      </c>
      <c r="F49" s="275">
        <f t="shared" si="22"/>
        <v>0</v>
      </c>
      <c r="G49" s="273">
        <f t="shared" si="22"/>
        <v>21.921052631578949</v>
      </c>
      <c r="H49" s="274">
        <f t="shared" si="22"/>
        <v>821.0526315789474</v>
      </c>
      <c r="I49" s="275">
        <f t="shared" si="22"/>
        <v>12.102631578947367</v>
      </c>
      <c r="J49" s="274">
        <f t="shared" si="22"/>
        <v>31.315789473684209</v>
      </c>
      <c r="K49" s="274">
        <f t="shared" si="22"/>
        <v>56.368421052631582</v>
      </c>
      <c r="L49" s="274" t="str">
        <f t="shared" si="22"/>
        <v/>
      </c>
      <c r="M49" s="273" t="str">
        <f t="shared" si="22"/>
        <v/>
      </c>
      <c r="N49" s="274" t="str">
        <f t="shared" si="22"/>
        <v/>
      </c>
      <c r="O49" s="276" t="str">
        <f t="shared" si="22"/>
        <v/>
      </c>
      <c r="P49" s="557">
        <f t="shared" si="22"/>
        <v>942.76052631578955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-60405.69</v>
      </c>
      <c r="E51" s="289">
        <f>IF(E8="","",E14-SUM(E26,E36,E42,E49))</f>
        <v>-267948.02000000008</v>
      </c>
      <c r="F51" s="290">
        <f>IF(F8="","",F14-SUM(F26,F36,F42,F49))</f>
        <v>-90631.139999999956</v>
      </c>
      <c r="G51" s="288">
        <f>IF(G8="","",G14-SUM(G26,G36,G42,G49))</f>
        <v>-38126.73105263157</v>
      </c>
      <c r="H51" s="289">
        <f>IF(H8="","",H14-SUM(H26,H36,H42,H49))</f>
        <v>-104192.79263157892</v>
      </c>
      <c r="I51" s="290">
        <f>IF(I8="","",I14-SUM(I26,I36,I42,I49))</f>
        <v>100619.93736842106</v>
      </c>
      <c r="J51" s="289">
        <f>IF(J8="","",J14-SUM(J26,J36,J42,J49))</f>
        <v>-150219.80578947364</v>
      </c>
      <c r="K51" s="289">
        <f>IF(K8="","",K14-SUM(K26,K36,K42,K49))</f>
        <v>-381088.34842105262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-991992.59052631585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1846791.99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854799.39947368414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768</v>
      </c>
      <c r="E56" s="234">
        <f>IF(E12="","",-E12)</f>
        <v>768</v>
      </c>
      <c r="F56" s="269">
        <f>IF(F12="","",-F12)</f>
        <v>771</v>
      </c>
      <c r="G56" s="268">
        <f>IF(G12="","",-G12)</f>
        <v>768</v>
      </c>
      <c r="H56" s="234">
        <f>IF(H12="","",-H12)</f>
        <v>768</v>
      </c>
      <c r="I56" s="269">
        <f>IF(I12="","",-I12)</f>
        <v>765</v>
      </c>
      <c r="J56" s="234">
        <f>IF(J12="","",-J12)</f>
        <v>759</v>
      </c>
      <c r="K56" s="234">
        <f>IF(K12="","",-K12)</f>
        <v>0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5367</v>
      </c>
      <c r="Q56" s="244"/>
    </row>
    <row r="57" spans="2:17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3">IF(E$8="","",0)</f>
        <v>0</v>
      </c>
      <c r="F57" s="269">
        <f t="shared" si="23"/>
        <v>0</v>
      </c>
      <c r="G57" s="268">
        <f t="shared" si="23"/>
        <v>0</v>
      </c>
      <c r="H57" s="234">
        <f t="shared" si="23"/>
        <v>0</v>
      </c>
      <c r="I57" s="269">
        <f t="shared" si="23"/>
        <v>0</v>
      </c>
      <c r="J57" s="234">
        <f t="shared" si="23"/>
        <v>0</v>
      </c>
      <c r="K57" s="234">
        <f t="shared" si="23"/>
        <v>0</v>
      </c>
      <c r="L57" s="234" t="str">
        <f t="shared" si="23"/>
        <v/>
      </c>
      <c r="M57" s="268" t="str">
        <f t="shared" si="23"/>
        <v/>
      </c>
      <c r="N57" s="234" t="str">
        <f t="shared" si="23"/>
        <v/>
      </c>
      <c r="O57" s="270" t="str">
        <f t="shared" si="23"/>
        <v/>
      </c>
      <c r="P57" s="234">
        <f>SUM(D57:O57)</f>
        <v>0</v>
      </c>
      <c r="Q57" s="244"/>
    </row>
    <row r="58" spans="2:17" ht="18.5" x14ac:dyDescent="0.45">
      <c r="C58" s="296" t="s">
        <v>234</v>
      </c>
      <c r="D58" s="297">
        <f>IF(D$8="","",SUM(D56:D57))</f>
        <v>768</v>
      </c>
      <c r="E58" s="298">
        <f t="shared" ref="E58:O58" si="24">IF(E$8="","",SUM(E56:E57))</f>
        <v>768</v>
      </c>
      <c r="F58" s="299">
        <f t="shared" si="24"/>
        <v>771</v>
      </c>
      <c r="G58" s="297">
        <f t="shared" si="24"/>
        <v>768</v>
      </c>
      <c r="H58" s="298">
        <f t="shared" si="24"/>
        <v>768</v>
      </c>
      <c r="I58" s="299">
        <f t="shared" si="24"/>
        <v>765</v>
      </c>
      <c r="J58" s="298">
        <f t="shared" si="24"/>
        <v>759</v>
      </c>
      <c r="K58" s="298">
        <f t="shared" si="24"/>
        <v>0</v>
      </c>
      <c r="L58" s="298" t="str">
        <f t="shared" si="24"/>
        <v/>
      </c>
      <c r="M58" s="297" t="str">
        <f t="shared" si="24"/>
        <v/>
      </c>
      <c r="N58" s="298" t="str">
        <f t="shared" si="24"/>
        <v/>
      </c>
      <c r="O58" s="300" t="str">
        <f t="shared" si="24"/>
        <v/>
      </c>
      <c r="P58" s="298">
        <f>SUM(P56:P57)</f>
        <v>5367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154090.19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159457.19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82209.98</v>
      </c>
      <c r="E68" s="246">
        <v>81233.03</v>
      </c>
      <c r="F68" s="246">
        <v>140449.79999999999</v>
      </c>
      <c r="G68" s="246">
        <v>107777.43</v>
      </c>
      <c r="H68" s="246">
        <v>0</v>
      </c>
      <c r="I68" s="308">
        <v>-15580.16</v>
      </c>
      <c r="J68" s="309">
        <f>SUM(D68:I68)</f>
        <v>396090.08</v>
      </c>
      <c r="K68" s="310">
        <v>256</v>
      </c>
      <c r="L68" s="307">
        <f>160.4+46.9+365.75+98.87</f>
        <v>671.92</v>
      </c>
      <c r="M68" s="246">
        <v>0</v>
      </c>
      <c r="N68" s="246">
        <f>40.74</f>
        <v>40.74</v>
      </c>
      <c r="O68" s="246">
        <f>260+330+770</f>
        <v>1360</v>
      </c>
      <c r="P68" s="246">
        <f>792.76</f>
        <v>792.76</v>
      </c>
      <c r="Q68" s="246">
        <f>316.6+280.74+0.83</f>
        <v>598.17000000000007</v>
      </c>
      <c r="R68" s="246">
        <v>0</v>
      </c>
      <c r="S68" s="246">
        <v>0</v>
      </c>
      <c r="T68" s="246">
        <v>0</v>
      </c>
      <c r="U68" s="323">
        <v>-35552.46</v>
      </c>
    </row>
    <row r="69" spans="3:21" ht="18.5" x14ac:dyDescent="0.45">
      <c r="C69" s="306" t="str">
        <f>Addendum!E11</f>
        <v>August</v>
      </c>
      <c r="D69" s="307">
        <v>98332.1</v>
      </c>
      <c r="E69" s="246">
        <v>138795.48000000001</v>
      </c>
      <c r="F69" s="246">
        <v>146582.41</v>
      </c>
      <c r="G69" s="246">
        <v>107853.95</v>
      </c>
      <c r="H69" s="246">
        <v>103809.46</v>
      </c>
      <c r="I69" s="308">
        <v>-15580.16</v>
      </c>
      <c r="J69" s="309">
        <f t="shared" ref="J69:J79" si="25">SUM(D69:I69)</f>
        <v>579793.24</v>
      </c>
      <c r="K69" s="311">
        <v>256</v>
      </c>
      <c r="L69" s="307">
        <f>-4072.74+330.8+102.33+168.61+304.32</f>
        <v>-3166.6799999999994</v>
      </c>
      <c r="M69" s="246">
        <v>0</v>
      </c>
      <c r="N69" s="246">
        <f>40.74</f>
        <v>40.74</v>
      </c>
      <c r="O69" s="246">
        <f>260+770+6490</f>
        <v>7520</v>
      </c>
      <c r="P69" s="246">
        <f>32.8</f>
        <v>32.799999999999997</v>
      </c>
      <c r="Q69" s="246">
        <f>150.23+0.65+327.87+32.25+6.65</f>
        <v>517.65</v>
      </c>
      <c r="R69" s="246">
        <v>0</v>
      </c>
      <c r="S69" s="246">
        <v>0</v>
      </c>
      <c r="T69" s="246">
        <v>0</v>
      </c>
      <c r="U69" s="323">
        <v>0</v>
      </c>
    </row>
    <row r="70" spans="3:21" ht="18.5" x14ac:dyDescent="0.45">
      <c r="C70" s="306" t="str">
        <f>Addendum!E12</f>
        <v>September</v>
      </c>
      <c r="D70" s="307">
        <v>105322.64</v>
      </c>
      <c r="E70" s="246">
        <v>120279.25</v>
      </c>
      <c r="F70" s="246">
        <v>99487.37</v>
      </c>
      <c r="G70" s="246">
        <v>110695.25</v>
      </c>
      <c r="H70" s="246">
        <v>0</v>
      </c>
      <c r="I70" s="308">
        <v>-15580.16</v>
      </c>
      <c r="J70" s="309">
        <f>SUM(D70:I70)</f>
        <v>420204.35000000003</v>
      </c>
      <c r="K70" s="311">
        <v>256</v>
      </c>
      <c r="L70" s="307">
        <f>8.58-418.17+414.75+164.51</f>
        <v>169.66999999999996</v>
      </c>
      <c r="M70" s="246">
        <v>0</v>
      </c>
      <c r="N70" s="246">
        <f>40.74</f>
        <v>40.74</v>
      </c>
      <c r="O70" s="246">
        <f>240+110+3850</f>
        <v>4200</v>
      </c>
      <c r="P70" s="246">
        <f>924.87</f>
        <v>924.87</v>
      </c>
      <c r="Q70" s="246">
        <f>1.3+1.95+22.1+40.3</f>
        <v>65.650000000000006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100150.88</v>
      </c>
      <c r="E71" s="246">
        <v>75267.11</v>
      </c>
      <c r="F71" s="246">
        <v>112735.85</v>
      </c>
      <c r="G71" s="246">
        <v>87246.49</v>
      </c>
      <c r="H71" s="246">
        <v>0</v>
      </c>
      <c r="I71" s="308">
        <v>-15641.02</v>
      </c>
      <c r="J71" s="309">
        <f t="shared" si="25"/>
        <v>359759.30999999994</v>
      </c>
      <c r="K71" s="311">
        <v>257</v>
      </c>
      <c r="L71" s="307">
        <f>-10.59-31-6.54+306.04</f>
        <v>257.91000000000003</v>
      </c>
      <c r="M71" s="246">
        <f>349.38</f>
        <v>349.38</v>
      </c>
      <c r="N71" s="246">
        <f>53.06</f>
        <v>53.06</v>
      </c>
      <c r="O71" s="246">
        <f>120+3520</f>
        <v>3640</v>
      </c>
      <c r="P71" s="246">
        <v>0</v>
      </c>
      <c r="Q71" s="246">
        <f>-39.26+372.96+0.65+1.3</f>
        <v>335.65</v>
      </c>
      <c r="R71" s="246">
        <v>0</v>
      </c>
      <c r="S71" s="246">
        <v>0</v>
      </c>
      <c r="T71" s="246">
        <v>0</v>
      </c>
      <c r="U71" s="323">
        <v>0</v>
      </c>
    </row>
    <row r="72" spans="3:21" ht="18.5" x14ac:dyDescent="0.45">
      <c r="C72" s="306" t="str">
        <f>Addendum!E14</f>
        <v>November</v>
      </c>
      <c r="D72" s="307">
        <v>85301.71</v>
      </c>
      <c r="E72" s="246">
        <v>83249.460000000006</v>
      </c>
      <c r="F72" s="246">
        <v>116799.52</v>
      </c>
      <c r="G72" s="246">
        <v>96235.79</v>
      </c>
      <c r="H72" s="246">
        <v>82989.59</v>
      </c>
      <c r="I72" s="308">
        <v>-15519.3</v>
      </c>
      <c r="J72" s="309">
        <f t="shared" si="25"/>
        <v>449056.76999999996</v>
      </c>
      <c r="K72" s="311">
        <v>255</v>
      </c>
      <c r="L72" s="307">
        <f>15.93-179.35-111.72-57.95+913.21</f>
        <v>580.12000000000012</v>
      </c>
      <c r="M72" s="246">
        <f>-160.41+764.46</f>
        <v>604.05000000000007</v>
      </c>
      <c r="N72" s="246">
        <v>53.06</v>
      </c>
      <c r="O72" s="246">
        <f>220+330+2860</f>
        <v>3410</v>
      </c>
      <c r="P72" s="246">
        <f>-243.3+180.97</f>
        <v>-62.330000000000013</v>
      </c>
      <c r="Q72" s="246">
        <f>8.55+65.58+26.42+6.9+14.92+261.7</f>
        <v>384.07</v>
      </c>
      <c r="R72" s="246">
        <v>0</v>
      </c>
      <c r="S72" s="246">
        <v>0</v>
      </c>
      <c r="T72" s="246">
        <v>0</v>
      </c>
      <c r="U72" s="323">
        <v>0</v>
      </c>
    </row>
    <row r="73" spans="3:21" ht="18.5" x14ac:dyDescent="0.45">
      <c r="C73" s="306" t="str">
        <f>Addendum!E15</f>
        <v>December</v>
      </c>
      <c r="D73" s="307">
        <v>72842.67</v>
      </c>
      <c r="E73" s="246">
        <v>123671.24</v>
      </c>
      <c r="F73" s="246">
        <v>81313.39</v>
      </c>
      <c r="G73" s="246">
        <v>92043.01</v>
      </c>
      <c r="H73" s="246">
        <v>0</v>
      </c>
      <c r="I73" s="308">
        <v>-15458.44</v>
      </c>
      <c r="J73" s="309">
        <f t="shared" si="25"/>
        <v>354411.87</v>
      </c>
      <c r="K73" s="311">
        <v>254</v>
      </c>
      <c r="L73" s="307">
        <f>64.63-28.48+10.82+18.9</f>
        <v>65.86999999999999</v>
      </c>
      <c r="M73" s="246">
        <v>0</v>
      </c>
      <c r="N73" s="246">
        <v>53.06</v>
      </c>
      <c r="O73" s="246">
        <f>220+330+1540</f>
        <v>2090</v>
      </c>
      <c r="P73" s="246">
        <f>400+200</f>
        <v>600</v>
      </c>
      <c r="Q73" s="246">
        <f>42+6.82+109.82+1.3</f>
        <v>159.94</v>
      </c>
      <c r="R73" s="246">
        <v>0</v>
      </c>
      <c r="S73" s="246">
        <v>0</v>
      </c>
      <c r="T73" s="246">
        <v>0</v>
      </c>
      <c r="U73" s="323">
        <v>0</v>
      </c>
    </row>
    <row r="74" spans="3:21" ht="18.5" x14ac:dyDescent="0.45">
      <c r="C74" s="306" t="str">
        <f>Addendum!E16</f>
        <v>January 2025</v>
      </c>
      <c r="D74" s="307">
        <v>96754.28</v>
      </c>
      <c r="E74" s="246">
        <v>137407.6</v>
      </c>
      <c r="F74" s="246">
        <v>74608.08</v>
      </c>
      <c r="G74" s="246">
        <v>151526.96</v>
      </c>
      <c r="H74" s="246">
        <v>84239.71</v>
      </c>
      <c r="I74" s="308">
        <v>-15397.58</v>
      </c>
      <c r="J74" s="309">
        <f t="shared" si="25"/>
        <v>529139.05000000005</v>
      </c>
      <c r="K74" s="311">
        <v>253</v>
      </c>
      <c r="L74" s="307">
        <f>-289.93-152.1-63.34+24.98-38.21</f>
        <v>-518.6</v>
      </c>
      <c r="M74" s="246">
        <v>0</v>
      </c>
      <c r="N74" s="246">
        <f>53.06</f>
        <v>53.06</v>
      </c>
      <c r="O74" s="246">
        <f>400+440+5170</f>
        <v>6010</v>
      </c>
      <c r="P74" s="246">
        <f>73.05</f>
        <v>73.05</v>
      </c>
      <c r="Q74" s="246">
        <f>24.01+263.17+67.2+0.65+40.61+12.76</f>
        <v>408.4</v>
      </c>
      <c r="R74" s="246">
        <v>0</v>
      </c>
      <c r="S74" s="246">
        <v>0</v>
      </c>
      <c r="T74" s="246">
        <v>0</v>
      </c>
      <c r="U74" s="323">
        <v>0</v>
      </c>
    </row>
    <row r="75" spans="3:21" ht="18.5" x14ac:dyDescent="0.45">
      <c r="C75" s="306" t="str">
        <f>Addendum!E17</f>
        <v>February</v>
      </c>
      <c r="D75" s="307">
        <v>106317.28</v>
      </c>
      <c r="E75" s="246">
        <v>117179.55</v>
      </c>
      <c r="F75" s="246">
        <v>80294.7</v>
      </c>
      <c r="G75" s="246">
        <v>206861.88</v>
      </c>
      <c r="H75" s="246">
        <v>0</v>
      </c>
      <c r="I75" s="308">
        <v>-15397.58</v>
      </c>
      <c r="J75" s="309">
        <f t="shared" si="25"/>
        <v>495255.83</v>
      </c>
      <c r="K75" s="311">
        <v>253</v>
      </c>
      <c r="L75" s="307">
        <f>64.24+996.99+92.3-42.55</f>
        <v>1110.98</v>
      </c>
      <c r="M75" s="246">
        <v>0</v>
      </c>
      <c r="N75" s="246">
        <v>53.92</v>
      </c>
      <c r="O75" s="246">
        <f>40+110+1320</f>
        <v>1470</v>
      </c>
      <c r="P75" s="246">
        <f>400+37.11</f>
        <v>437.11</v>
      </c>
      <c r="Q75" s="246">
        <f>45.04+114.45+256.21+397.51+12.96+38.13</f>
        <v>864.30000000000007</v>
      </c>
      <c r="R75" s="246">
        <v>0</v>
      </c>
      <c r="S75" s="246">
        <v>-31586</v>
      </c>
      <c r="T75" s="246">
        <v>0</v>
      </c>
      <c r="U75" s="323">
        <v>0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5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5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5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5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747231.54000000015</v>
      </c>
      <c r="E80" s="314">
        <f t="shared" ref="E80:J80" si="26">SUM(E68:E79)</f>
        <v>877082.72000000009</v>
      </c>
      <c r="F80" s="314">
        <f t="shared" si="26"/>
        <v>852271.11999999988</v>
      </c>
      <c r="G80" s="314">
        <f t="shared" si="26"/>
        <v>960240.75999999989</v>
      </c>
      <c r="H80" s="314">
        <f t="shared" si="26"/>
        <v>271038.76</v>
      </c>
      <c r="I80" s="315">
        <f t="shared" si="26"/>
        <v>-124154.40000000001</v>
      </c>
      <c r="J80" s="316">
        <f t="shared" si="26"/>
        <v>3583710.5</v>
      </c>
      <c r="K80" s="317">
        <f>SUM(K68:K79)</f>
        <v>2040</v>
      </c>
      <c r="L80" s="313">
        <f>SUM(L68:L79)</f>
        <v>-828.80999999999949</v>
      </c>
      <c r="M80" s="314">
        <f t="shared" ref="M80:U80" si="27">SUM(M68:M79)</f>
        <v>953.43000000000006</v>
      </c>
      <c r="N80" s="314">
        <f t="shared" si="27"/>
        <v>388.38</v>
      </c>
      <c r="O80" s="314">
        <f t="shared" si="27"/>
        <v>29700</v>
      </c>
      <c r="P80" s="314">
        <f t="shared" si="27"/>
        <v>2798.26</v>
      </c>
      <c r="Q80" s="314">
        <f t="shared" si="27"/>
        <v>3333.8300000000004</v>
      </c>
      <c r="R80" s="314">
        <f t="shared" si="27"/>
        <v>0</v>
      </c>
      <c r="S80" s="314">
        <f t="shared" si="27"/>
        <v>-31586</v>
      </c>
      <c r="T80" s="314">
        <f t="shared" si="27"/>
        <v>0</v>
      </c>
      <c r="U80" s="322">
        <f t="shared" si="27"/>
        <v>-35552.46</v>
      </c>
    </row>
  </sheetData>
  <mergeCells count="20"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D66:H66"/>
    <mergeCell ref="I66:I67"/>
    <mergeCell ref="J66:J67"/>
    <mergeCell ref="K66:K67"/>
    <mergeCell ref="L66:U66"/>
  </mergeCells>
  <conditionalFormatting sqref="D51:P51">
    <cfRule type="cellIs" dxfId="17" priority="1" operator="lessThan">
      <formula>0</formula>
    </cfRule>
  </conditionalFormatting>
  <printOptions horizontalCentered="1"/>
  <pageMargins left="0.25" right="0.25" top="0.75" bottom="0.75" header="0.3" footer="0.3"/>
  <pageSetup scale="4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70DC-2355-40D2-A4AB-FC11DCC42C19}">
  <sheetPr codeName="Sheet12">
    <tabColor theme="6" tint="0.39997558519241921"/>
    <pageSetUpPr fitToPage="1"/>
  </sheetPr>
  <dimension ref="B1:U80"/>
  <sheetViews>
    <sheetView view="pageBreakPreview" topLeftCell="A45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3.4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168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Entry'!$D$3:$D$500,MATCH(1,INDEX((Crawford!$C$7='Cash Flow Entry'!$B$3:$B$500)*(VALUE(Crawford!D$7)='Cash Flow Entry'!$C$3:$C$500),0,1),0)),"")</f>
        <v>39</v>
      </c>
      <c r="E8" s="256" cm="1">
        <f t="array" ref="E8">IFERROR(INDEX('Cash Flow Entry'!$D$3:$D$500,MATCH(1,INDEX((Crawford!$C$7='Cash Flow Entry'!$B$3:$B$500)*(VALUE(Crawford!E$7)='Cash Flow Entry'!$C$3:$C$500),0,1),0)),"")</f>
        <v>40</v>
      </c>
      <c r="F8" s="257" cm="1">
        <f t="array" ref="F8">IFERROR(INDEX('Cash Flow Entry'!$D$3:$D$500,MATCH(1,INDEX((Crawford!$C$7='Cash Flow Entry'!$B$3:$B$500)*(VALUE(Crawford!F$7)='Cash Flow Entry'!$C$3:$C$500),0,1),0)),"")</f>
        <v>40</v>
      </c>
      <c r="G8" s="255" cm="1">
        <f t="array" ref="G8">IFERROR(INDEX('Cash Flow Entry'!$D$3:$D$500,MATCH(1,INDEX((Crawford!$C$7='Cash Flow Entry'!$B$3:$B$500)*(VALUE(Crawford!G$7)='Cash Flow Entry'!$C$3:$C$500),0,1),0)),"")</f>
        <v>38</v>
      </c>
      <c r="H8" s="256" cm="1">
        <f t="array" ref="H8">IFERROR(INDEX('Cash Flow Entry'!$D$3:$D$500,MATCH(1,INDEX((Crawford!$C$7='Cash Flow Entry'!$B$3:$B$500)*(VALUE(Crawford!H$7)='Cash Flow Entry'!$C$3:$C$500),0,1),0)),"")</f>
        <v>38</v>
      </c>
      <c r="I8" s="257" cm="1">
        <f t="array" ref="I8">IFERROR(INDEX('Cash Flow Entry'!$D$3:$D$500,MATCH(1,INDEX((Crawford!$C$7='Cash Flow Entry'!$B$3:$B$500)*(VALUE(Crawford!I$7)='Cash Flow Entry'!$C$3:$C$500),0,1),0)),"")</f>
        <v>38</v>
      </c>
      <c r="J8" s="256" cm="1">
        <f t="array" ref="J8">IFERROR(INDEX('Cash Flow Entry'!$D$3:$D$500,MATCH(1,INDEX((Crawford!$C$7='Cash Flow Entry'!$B$3:$B$500)*(VALUE(Crawford!J$7)='Cash Flow Entry'!$C$3:$C$500),0,1),0)),"")</f>
        <v>38</v>
      </c>
      <c r="K8" s="256" cm="1">
        <f t="array" ref="K8">IFERROR(INDEX('Cash Flow Entry'!$D$3:$D$500,MATCH(1,INDEX((Crawford!$C$7='Cash Flow Entry'!$B$3:$B$500)*(VALUE(Crawford!K$7)='Cash Flow Entry'!$C$3:$C$500),0,1),0)),"")</f>
        <v>38</v>
      </c>
      <c r="L8" s="256" t="str" cm="1">
        <f t="array" ref="L8">IFERROR(INDEX('Cash Flow Entry'!$D$3:$D$500,MATCH(1,INDEX((Crawford!$C$7='Cash Flow Entry'!$B$3:$B$500)*(VALUE(Crawford!L$7)='Cash Flow Entry'!$C$3:$C$500),0,1),0)),"")</f>
        <v/>
      </c>
      <c r="M8" s="255" t="str" cm="1">
        <f t="array" ref="M8">IFERROR(INDEX('Cash Flow Entry'!$D$3:$D$500,MATCH(1,INDEX((Crawford!$C$7='Cash Flow Entry'!$B$3:$B$500)*(VALUE(Crawford!M$7)='Cash Flow Entry'!$C$3:$C$500),0,1),0)),"")</f>
        <v/>
      </c>
      <c r="N8" s="256" t="str" cm="1">
        <f t="array" ref="N8">IFERROR(INDEX('Cash Flow Entry'!$D$3:$D$500,MATCH(1,INDEX((Crawford!$C$7='Cash Flow Entry'!$B$3:$B$500)*(VALUE(Crawford!N$7)='Cash Flow Entry'!$C$3:$C$500),0,1),0)),"")</f>
        <v/>
      </c>
      <c r="O8" s="258" t="str" cm="1">
        <f t="array" ref="O8">IFERROR(INDEX('Cash Flow Entry'!$D$3:$D$500,MATCH(1,INDEX((Crawford!$C$7='Cash Flow Entry'!$B$3:$B$500)*(VALUE(Crawford!O$7)='Cash Flow Entry'!$C$3:$C$500),0,1),0)),"")</f>
        <v/>
      </c>
      <c r="P8" s="259">
        <f>SUM(D8:O8)</f>
        <v>309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Entry'!$E$3:$E$500,MATCH(1,INDEX((Crawford!$C$7='Cash Flow Entry'!$B$3:$B$500)*(VALUE(Crawford!D$7)='Cash Flow Entry'!$C$3:$C$500),0,1),0)),"")</f>
        <v>110</v>
      </c>
      <c r="E9" s="256" cm="1">
        <f t="array" ref="E9">IFERROR(INDEX('Cash Flow Entry'!$E$3:$E$500,MATCH(1,INDEX((Crawford!$C$7='Cash Flow Entry'!$B$3:$B$500)*(VALUE(Crawford!E$7)='Cash Flow Entry'!$C$3:$C$500),0,1),0)),"")</f>
        <v>112</v>
      </c>
      <c r="F9" s="257" cm="1">
        <f t="array" ref="F9">IFERROR(INDEX('Cash Flow Entry'!$E$3:$E$500,MATCH(1,INDEX((Crawford!$C$7='Cash Flow Entry'!$B$3:$B$500)*(VALUE(Crawford!F$7)='Cash Flow Entry'!$C$3:$C$500),0,1),0)),"")</f>
        <v>112</v>
      </c>
      <c r="G9" s="255" cm="1">
        <f t="array" ref="G9">IFERROR(INDEX('Cash Flow Entry'!$E$3:$E$500,MATCH(1,INDEX((Crawford!$C$7='Cash Flow Entry'!$B$3:$B$500)*(VALUE(Crawford!G$7)='Cash Flow Entry'!$C$3:$C$500),0,1),0)),"")</f>
        <v>110</v>
      </c>
      <c r="H9" s="256" cm="1">
        <f t="array" ref="H9">IFERROR(INDEX('Cash Flow Entry'!$E$3:$E$500,MATCH(1,INDEX((Crawford!$C$7='Cash Flow Entry'!$B$3:$B$500)*(VALUE(Crawford!H$7)='Cash Flow Entry'!$C$3:$C$500),0,1),0)),"")</f>
        <v>110</v>
      </c>
      <c r="I9" s="257" cm="1">
        <f t="array" ref="I9">IFERROR(INDEX('Cash Flow Entry'!$E$3:$E$500,MATCH(1,INDEX((Crawford!$C$7='Cash Flow Entry'!$B$3:$B$500)*(VALUE(Crawford!I$7)='Cash Flow Entry'!$C$3:$C$500),0,1),0)),"")</f>
        <v>109</v>
      </c>
      <c r="J9" s="256" cm="1">
        <f t="array" ref="J9">IFERROR(INDEX('Cash Flow Entry'!$E$3:$E$500,MATCH(1,INDEX((Crawford!$C$7='Cash Flow Entry'!$B$3:$B$500)*(VALUE(Crawford!J$7)='Cash Flow Entry'!$C$3:$C$500),0,1),0)),"")</f>
        <v>109</v>
      </c>
      <c r="K9" s="256" cm="1">
        <f t="array" ref="K9">IFERROR(INDEX('Cash Flow Entry'!$E$3:$E$500,MATCH(1,INDEX((Crawford!$C$7='Cash Flow Entry'!$B$3:$B$500)*(VALUE(Crawford!K$7)='Cash Flow Entry'!$C$3:$C$500),0,1),0)),"")</f>
        <v>109</v>
      </c>
      <c r="L9" s="256" t="str" cm="1">
        <f t="array" ref="L9">IFERROR(INDEX('Cash Flow Entry'!$E$3:$E$500,MATCH(1,INDEX((Crawford!$C$7='Cash Flow Entry'!$B$3:$B$500)*(VALUE(Crawford!L$7)='Cash Flow Entry'!$C$3:$C$500),0,1),0)),"")</f>
        <v/>
      </c>
      <c r="M9" s="255" t="str" cm="1">
        <f t="array" ref="M9">IFERROR(INDEX('Cash Flow Entry'!$E$3:$E$500,MATCH(1,INDEX((Crawford!$C$7='Cash Flow Entry'!$B$3:$B$500)*(VALUE(Crawford!M$7)='Cash Flow Entry'!$C$3:$C$500),0,1),0)),"")</f>
        <v/>
      </c>
      <c r="N9" s="256" t="str" cm="1">
        <f t="array" ref="N9">IFERROR(INDEX('Cash Flow Entry'!$E$3:$E$500,MATCH(1,INDEX((Crawford!$C$7='Cash Flow Entry'!$B$3:$B$500)*(VALUE(Crawford!N$7)='Cash Flow Entry'!$C$3:$C$500),0,1),0)),"")</f>
        <v/>
      </c>
      <c r="O9" s="258" t="str" cm="1">
        <f t="array" ref="O9">IFERROR(INDEX('Cash Flow Entry'!$E$3:$E$500,MATCH(1,INDEX((Crawford!$C$7='Cash Flow Entry'!$B$3:$B$500)*(VALUE(Crawford!O$7)='Cash Flow Entry'!$C$3:$C$500),0,1),0)),"")</f>
        <v/>
      </c>
      <c r="P9" s="259">
        <f>SUM(D9:O9)</f>
        <v>881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$2,341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$2,359.90</v>
      </c>
      <c r="N10" s="645"/>
      <c r="O10" s="647"/>
      <c r="P10" s="265">
        <f>P14</f>
        <v>729209</v>
      </c>
      <c r="Q10" s="534">
        <v>2341.38</v>
      </c>
      <c r="R10" s="305">
        <f>Q10*P8</f>
        <v>723486.42</v>
      </c>
      <c r="S10" s="305"/>
    </row>
    <row r="11" spans="2:20" ht="18.5" x14ac:dyDescent="0.45">
      <c r="B11" s="213" t="s">
        <v>191</v>
      </c>
      <c r="C11" s="267" t="s">
        <v>194</v>
      </c>
      <c r="D11" s="268">
        <v>85800</v>
      </c>
      <c r="E11" s="234">
        <v>88000</v>
      </c>
      <c r="F11" s="234">
        <v>88000</v>
      </c>
      <c r="G11" s="268">
        <v>112352</v>
      </c>
      <c r="H11" s="234">
        <v>88996</v>
      </c>
      <c r="I11" s="269">
        <v>88996</v>
      </c>
      <c r="J11" s="234">
        <v>88996</v>
      </c>
      <c r="K11" s="234">
        <v>88996</v>
      </c>
      <c r="L11" s="234"/>
      <c r="M11" s="268"/>
      <c r="N11" s="234"/>
      <c r="O11" s="270"/>
      <c r="P11" s="234">
        <f>SUM(D11:O11)</f>
        <v>730136</v>
      </c>
      <c r="Q11" s="302"/>
    </row>
    <row r="12" spans="2:20" ht="18.5" x14ac:dyDescent="0.45">
      <c r="C12" s="267" t="s">
        <v>195</v>
      </c>
      <c r="D12" s="268">
        <f>IF(D$8="","",IF(D$11=0,0,D$8*$Q12))</f>
        <v>-117</v>
      </c>
      <c r="E12" s="234">
        <f t="shared" ref="E12:O12" si="0">IF(E$8="","",IF(E$11=0,0,E$8*$Q12))</f>
        <v>-120</v>
      </c>
      <c r="F12" s="269">
        <f t="shared" si="0"/>
        <v>-120</v>
      </c>
      <c r="G12" s="268">
        <f t="shared" si="0"/>
        <v>-114</v>
      </c>
      <c r="H12" s="234">
        <f t="shared" si="0"/>
        <v>-114</v>
      </c>
      <c r="I12" s="269">
        <f t="shared" si="0"/>
        <v>-114</v>
      </c>
      <c r="J12" s="234">
        <f t="shared" si="0"/>
        <v>-114</v>
      </c>
      <c r="K12" s="234">
        <f t="shared" si="0"/>
        <v>-114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-927</v>
      </c>
      <c r="Q12" s="533">
        <v>-3</v>
      </c>
    </row>
    <row r="13" spans="2:20" ht="18.5" x14ac:dyDescent="0.45">
      <c r="B13" s="213" t="s">
        <v>191</v>
      </c>
      <c r="C13" s="267" t="s">
        <v>196</v>
      </c>
      <c r="D13" s="458">
        <f t="shared" ref="D13:O13" si="2">IF(D$8="","",0)</f>
        <v>0</v>
      </c>
      <c r="E13" s="457">
        <f t="shared" si="2"/>
        <v>0</v>
      </c>
      <c r="F13" s="269">
        <f t="shared" si="2"/>
        <v>0</v>
      </c>
      <c r="G13" s="234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85683</v>
      </c>
      <c r="E14" s="274">
        <f t="shared" ref="E14:O14" si="3">IF(E8="","",SUM(E11:E13))</f>
        <v>87880</v>
      </c>
      <c r="F14" s="275">
        <f t="shared" si="3"/>
        <v>87880</v>
      </c>
      <c r="G14" s="273">
        <f t="shared" si="3"/>
        <v>112238</v>
      </c>
      <c r="H14" s="274">
        <f t="shared" si="3"/>
        <v>88882</v>
      </c>
      <c r="I14" s="275">
        <f t="shared" si="3"/>
        <v>88882</v>
      </c>
      <c r="J14" s="274">
        <f t="shared" si="3"/>
        <v>88882</v>
      </c>
      <c r="K14" s="274">
        <f t="shared" si="3"/>
        <v>88882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729209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$1,732</v>
      </c>
      <c r="E16" s="645"/>
      <c r="F16" s="646"/>
      <c r="G16" s="644" t="str">
        <f>"Admin, Reinsurance, &amp; Misc. PEPM: "&amp;DOLLAR(SUM($P36,$P42,$P49)/$P$8,0)</f>
        <v>Admin, Reinsurance, &amp; Misc. PEPM: $751</v>
      </c>
      <c r="H16" s="645"/>
      <c r="I16" s="646"/>
      <c r="J16" s="644" t="str">
        <f>"Total Expenses PEPM: "&amp;DOLLAR($P16/$P$8,0)</f>
        <v>Total Expenses PEPM: $2,483</v>
      </c>
      <c r="K16" s="645"/>
      <c r="L16" s="646"/>
      <c r="M16" s="644" t="str">
        <f>"Projection Variance: "&amp;TEXT(($P$16/$P$8)/$Q$10-1,"0.00%")</f>
        <v>Projection Variance: 6.04%</v>
      </c>
      <c r="N16" s="645"/>
      <c r="O16" s="647"/>
      <c r="P16" s="265">
        <f>SUM(P26,P36,P42,P49)</f>
        <v>767167.72052631574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Entry'!$F$3:$F$500,MATCH(1,INDEX((Crawford!$C$7='Cash Flow Entry'!$B$3:$B$500)*(VALUE(Crawford!D$7)='Cash Flow Entry'!$C$3:$C$500),0,1),0)),"")+IFERROR(INDEX('Cash Flow Entry'!$H$3:$H$500,MATCH(1,INDEX((Crawford!$C$7='Cash Flow Entry'!$B$3:$B$500)*(VALUE(Crawford!D$7)='Cash Flow Entry'!$C$3:$C$500),0,1),0)),""),"")</f>
        <v>59923.54</v>
      </c>
      <c r="E18" s="234" cm="1">
        <f t="array" ref="E18">IFERROR(IFERROR(INDEX('Cash Flow Entry'!$F$3:$F$500,MATCH(1,INDEX((Crawford!$C$7='Cash Flow Entry'!$B$3:$B$500)*(VALUE(Crawford!E$7)='Cash Flow Entry'!$C$3:$C$500),0,1),0)),"")+IFERROR(INDEX('Cash Flow Entry'!$H$3:$H$500,MATCH(1,INDEX((Crawford!$C$7='Cash Flow Entry'!$B$3:$B$500)*(VALUE(Crawford!E$7)='Cash Flow Entry'!$C$3:$C$500),0,1),0)),""),"")</f>
        <v>71477.25</v>
      </c>
      <c r="F18" s="269" cm="1">
        <f t="array" ref="F18">IFERROR(IFERROR(INDEX('Cash Flow Entry'!$F$3:$F$500,MATCH(1,INDEX((Crawford!$C$7='Cash Flow Entry'!$B$3:$B$500)*(VALUE(Crawford!F$7)='Cash Flow Entry'!$C$3:$C$500),0,1),0)),"")+IFERROR(INDEX('Cash Flow Entry'!$H$3:$H$500,MATCH(1,INDEX((Crawford!$C$7='Cash Flow Entry'!$B$3:$B$500)*(VALUE(Crawford!F$7)='Cash Flow Entry'!$C$3:$C$500),0,1),0)),""),"")</f>
        <v>50498.729999999996</v>
      </c>
      <c r="G18" s="268" cm="1">
        <f t="array" ref="G18">IFERROR(IFERROR(INDEX('Cash Flow Entry'!$F$3:$F$500,MATCH(1,INDEX((Crawford!$C$7='Cash Flow Entry'!$B$3:$B$500)*(VALUE(Crawford!G$7)='Cash Flow Entry'!$C$3:$C$500),0,1),0)),"")+IFERROR(INDEX('Cash Flow Entry'!$H$3:$H$500,MATCH(1,INDEX((Crawford!$C$7='Cash Flow Entry'!$B$3:$B$500)*(VALUE(Crawford!G$7)='Cash Flow Entry'!$C$3:$C$500),0,1),0)),""),"")</f>
        <v>34267.350000000006</v>
      </c>
      <c r="H18" s="234" cm="1">
        <f t="array" ref="H18">IFERROR(IFERROR(INDEX('Cash Flow Entry'!$F$3:$F$500,MATCH(1,INDEX((Crawford!$C$7='Cash Flow Entry'!$B$3:$B$500)*(VALUE(Crawford!H$7)='Cash Flow Entry'!$C$3:$C$500),0,1),0)),"")+IFERROR(INDEX('Cash Flow Entry'!$H$3:$H$500,MATCH(1,INDEX((Crawford!$C$7='Cash Flow Entry'!$B$3:$B$500)*(VALUE(Crawford!H$7)='Cash Flow Entry'!$C$3:$C$500),0,1),0)),""),"")</f>
        <v>33791.279999999999</v>
      </c>
      <c r="I18" s="269" cm="1">
        <f t="array" ref="I18">IFERROR(IFERROR(INDEX('Cash Flow Entry'!$F$3:$F$500,MATCH(1,INDEX((Crawford!$C$7='Cash Flow Entry'!$B$3:$B$500)*(VALUE(Crawford!I$7)='Cash Flow Entry'!$C$3:$C$500),0,1),0)),"")+IFERROR(INDEX('Cash Flow Entry'!$H$3:$H$500,MATCH(1,INDEX((Crawford!$C$7='Cash Flow Entry'!$B$3:$B$500)*(VALUE(Crawford!I$7)='Cash Flow Entry'!$C$3:$C$500),0,1),0)),""),"")</f>
        <v>34545.620000000003</v>
      </c>
      <c r="J18" s="234" cm="1">
        <f t="array" ref="J18">IFERROR(IFERROR(INDEX('Cash Flow Entry'!$F$3:$F$500,MATCH(1,INDEX((Crawford!$C$7='Cash Flow Entry'!$B$3:$B$500)*(VALUE(Crawford!J$7)='Cash Flow Entry'!$C$3:$C$500),0,1),0)),"")+IFERROR(INDEX('Cash Flow Entry'!$H$3:$H$500,MATCH(1,INDEX((Crawford!$C$7='Cash Flow Entry'!$B$3:$B$500)*(VALUE(Crawford!J$7)='Cash Flow Entry'!$C$3:$C$500),0,1),0)),""),"")</f>
        <v>45786.879999999997</v>
      </c>
      <c r="K18" s="234" cm="1">
        <f t="array" ref="K18">IFERROR(IFERROR(INDEX('Cash Flow Entry'!$F$3:$F$500,MATCH(1,INDEX((Crawford!$C$7='Cash Flow Entry'!$B$3:$B$500)*(VALUE(Crawford!K$7)='Cash Flow Entry'!$C$3:$C$500),0,1),0)),"")+IFERROR(INDEX('Cash Flow Entry'!$H$3:$H$500,MATCH(1,INDEX((Crawford!$C$7='Cash Flow Entry'!$B$3:$B$500)*(VALUE(Crawford!K$7)='Cash Flow Entry'!$C$3:$C$500),0,1),0)),""),"")</f>
        <v>20351.310000000001</v>
      </c>
      <c r="L18" s="234" t="str" cm="1">
        <f t="array" ref="L18">IFERROR(IFERROR(INDEX('Cash Flow Entry'!$F$3:$F$500,MATCH(1,INDEX((Crawford!$C$7='Cash Flow Entry'!$B$3:$B$500)*(VALUE(Crawford!L$7)='Cash Flow Entry'!$C$3:$C$500),0,1),0)),"")+IFERROR(INDEX('Cash Flow Entry'!$H$3:$H$500,MATCH(1,INDEX((Crawford!$C$7='Cash Flow Entry'!$B$3:$B$500)*(VALUE(Crawford!L$7)='Cash Flow Entry'!$C$3:$C$500),0,1),0)),""),"")</f>
        <v/>
      </c>
      <c r="M18" s="268" t="str" cm="1">
        <f t="array" ref="M18">IFERROR(IFERROR(INDEX('Cash Flow Entry'!$F$3:$F$500,MATCH(1,INDEX((Crawford!$C$7='Cash Flow Entry'!$B$3:$B$500)*(VALUE(Crawford!M$7)='Cash Flow Entry'!$C$3:$C$500),0,1),0)),"")+IFERROR(INDEX('Cash Flow Entry'!$H$3:$H$500,MATCH(1,INDEX((Crawford!$C$7='Cash Flow Entry'!$B$3:$B$500)*(VALUE(Crawford!M$7)='Cash Flow Entry'!$C$3:$C$500),0,1),0)),""),"")</f>
        <v/>
      </c>
      <c r="N18" s="234" t="str" cm="1">
        <f t="array" ref="N18">IFERROR(IFERROR(INDEX('Cash Flow Entry'!$F$3:$F$500,MATCH(1,INDEX((Crawford!$C$7='Cash Flow Entry'!$B$3:$B$500)*(VALUE(Crawford!N$7)='Cash Flow Entry'!$C$3:$C$500),0,1),0)),"")+IFERROR(INDEX('Cash Flow Entry'!$H$3:$H$500,MATCH(1,INDEX((Crawford!$C$7='Cash Flow Entry'!$B$3:$B$500)*(VALUE(Crawford!N$7)='Cash Flow Entry'!$C$3:$C$500),0,1),0)),""),"")</f>
        <v/>
      </c>
      <c r="O18" s="270" t="str" cm="1">
        <f t="array" ref="O18">IFERROR(IFERROR(INDEX('Cash Flow Entry'!$F$3:$F$500,MATCH(1,INDEX((Crawford!$C$7='Cash Flow Entry'!$B$3:$B$500)*(VALUE(Crawford!O$7)='Cash Flow Entry'!$C$3:$C$500),0,1),0)),"")+IFERROR(INDEX('Cash Flow Entry'!$H$3:$H$500,MATCH(1,INDEX((Crawford!$C$7='Cash Flow Entry'!$B$3:$B$500)*(VALUE(Crawford!O$7)='Cash Flow Entry'!$C$3:$C$500),0,1),0)),""),"")</f>
        <v/>
      </c>
      <c r="P18" s="234">
        <f>SUM(D18:O18)</f>
        <v>350641.96</v>
      </c>
      <c r="Q18" s="533">
        <v>884.25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Entry'!$G$3:$G$500,MATCH(1,INDEX((Crawford!$C$7='Cash Flow Entry'!$B$3:$B$500)*(VALUE(Crawford!D$7)='Cash Flow Entry'!$C$3:$C$500),0,1),0)),"")</f>
        <v>21786.31</v>
      </c>
      <c r="E19" s="234" cm="1">
        <f t="array" ref="E19">IFERROR(INDEX('Cash Flow Entry'!$G$3:$G$500,MATCH(1,INDEX((Crawford!$C$7='Cash Flow Entry'!$B$3:$B$500)*(VALUE(Crawford!E$7)='Cash Flow Entry'!$C$3:$C$500),0,1),0)),"")</f>
        <v>27719.65</v>
      </c>
      <c r="F19" s="269" cm="1">
        <f t="array" ref="F19">IFERROR(INDEX('Cash Flow Entry'!$G$3:$G$500,MATCH(1,INDEX((Crawford!$C$7='Cash Flow Entry'!$B$3:$B$500)*(VALUE(Crawford!F$7)='Cash Flow Entry'!$C$3:$C$500),0,1),0)),"")</f>
        <v>30086.63</v>
      </c>
      <c r="G19" s="268" cm="1">
        <f t="array" ref="G19">IFERROR(INDEX('Cash Flow Entry'!$G$3:$G$500,MATCH(1,INDEX((Crawford!$C$7='Cash Flow Entry'!$B$3:$B$500)*(VALUE(Crawford!G$7)='Cash Flow Entry'!$C$3:$C$500),0,1),0)),"")</f>
        <v>25473.06</v>
      </c>
      <c r="H19" s="234" cm="1">
        <f t="array" ref="H19">IFERROR(INDEX('Cash Flow Entry'!$G$3:$G$500,MATCH(1,INDEX((Crawford!$C$7='Cash Flow Entry'!$B$3:$B$500)*(VALUE(Crawford!H$7)='Cash Flow Entry'!$C$3:$C$500),0,1),0)),"")</f>
        <v>33130.01</v>
      </c>
      <c r="I19" s="269" cm="1">
        <f t="array" ref="I19">IFERROR(INDEX('Cash Flow Entry'!$G$3:$G$500,MATCH(1,INDEX((Crawford!$C$7='Cash Flow Entry'!$B$3:$B$500)*(VALUE(Crawford!I$7)='Cash Flow Entry'!$C$3:$C$500),0,1),0)),"")</f>
        <v>22752.38</v>
      </c>
      <c r="J19" s="234" cm="1">
        <f t="array" ref="J19">IFERROR(INDEX('Cash Flow Entry'!$G$3:$G$500,MATCH(1,INDEX((Crawford!$C$7='Cash Flow Entry'!$B$3:$B$500)*(VALUE(Crawford!J$7)='Cash Flow Entry'!$C$3:$C$500),0,1),0)),"")</f>
        <v>59423.45</v>
      </c>
      <c r="K19" s="234" cm="1">
        <f t="array" ref="K19">IFERROR(INDEX('Cash Flow Entry'!$G$3:$G$500,MATCH(1,INDEX((Crawford!$C$7='Cash Flow Entry'!$B$3:$B$500)*(VALUE(Crawford!K$7)='Cash Flow Entry'!$C$3:$C$500),0,1),0)),"")</f>
        <v>26727.91</v>
      </c>
      <c r="L19" s="234" t="str" cm="1">
        <f t="array" ref="L19">IFERROR(INDEX('Cash Flow Entry'!$G$3:$G$500,MATCH(1,INDEX((Crawford!$C$7='Cash Flow Entry'!$B$3:$B$500)*(VALUE(Crawford!L$7)='Cash Flow Entry'!$C$3:$C$500),0,1),0)),"")</f>
        <v/>
      </c>
      <c r="M19" s="268" t="str" cm="1">
        <f t="array" ref="M19">IFERROR(INDEX('Cash Flow Entry'!$G$3:$G$500,MATCH(1,INDEX((Crawford!$C$7='Cash Flow Entry'!$B$3:$B$500)*(VALUE(Crawford!M$7)='Cash Flow Entry'!$C$3:$C$500),0,1),0)),"")</f>
        <v/>
      </c>
      <c r="N19" s="234" t="str" cm="1">
        <f t="array" ref="N19">IFERROR(INDEX('Cash Flow Entry'!$G$3:$G$500,MATCH(1,INDEX((Crawford!$C$7='Cash Flow Entry'!$B$3:$B$500)*(VALUE(Crawford!N$7)='Cash Flow Entry'!$C$3:$C$500),0,1),0)),"")</f>
        <v/>
      </c>
      <c r="O19" s="270" t="str" cm="1">
        <f t="array" ref="O19">IFERROR(INDEX('Cash Flow Entry'!$G$3:$G$500,MATCH(1,INDEX((Crawford!$C$7='Cash Flow Entry'!$B$3:$B$500)*(VALUE(Crawford!O$7)='Cash Flow Entry'!$C$3:$C$500),0,1),0)),"")</f>
        <v/>
      </c>
      <c r="P19" s="234">
        <f>SUM(D19:O19)</f>
        <v>247099.4</v>
      </c>
      <c r="Q19" s="533">
        <v>632.62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ht="18.5" x14ac:dyDescent="0.45">
      <c r="B21" s="219">
        <f>INDEX('HCC Summary'!$I$9:$I$27,MATCH(Crawford!C7,'HCC Summary'!B9:B27, 0))</f>
        <v>28063.619999999995</v>
      </c>
      <c r="C21" s="282" t="s">
        <v>225</v>
      </c>
      <c r="D21" s="283">
        <v>0</v>
      </c>
      <c r="E21" s="284">
        <v>15455.7</v>
      </c>
      <c r="F21" s="285">
        <v>16178.98</v>
      </c>
      <c r="G21" s="283">
        <v>25797.119999999999</v>
      </c>
      <c r="H21" s="284">
        <v>27607.35</v>
      </c>
      <c r="I21" s="285">
        <v>27703.07</v>
      </c>
      <c r="J21" s="284">
        <v>27758.29</v>
      </c>
      <c r="K21" s="284">
        <v>28063.62</v>
      </c>
      <c r="L21" s="284"/>
      <c r="M21" s="283"/>
      <c r="N21" s="284"/>
      <c r="O21" s="286"/>
      <c r="P21" s="641">
        <f>SUM(D22:O22)</f>
        <v>-28063.62</v>
      </c>
      <c r="Q21" s="533"/>
    </row>
    <row r="22" spans="2:17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-15455.7</v>
      </c>
      <c r="F22" s="269">
        <f t="shared" si="5"/>
        <v>-723.27999999999884</v>
      </c>
      <c r="G22" s="268">
        <f t="shared" si="5"/>
        <v>-9618.14</v>
      </c>
      <c r="H22" s="234">
        <f t="shared" si="5"/>
        <v>-1810.2299999999996</v>
      </c>
      <c r="I22" s="269">
        <f t="shared" si="5"/>
        <v>-95.720000000001164</v>
      </c>
      <c r="J22" s="234">
        <f t="shared" si="5"/>
        <v>-55.220000000001164</v>
      </c>
      <c r="K22" s="234">
        <f t="shared" si="5"/>
        <v>-305.32999999999811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7" ht="18.5" x14ac:dyDescent="0.45">
      <c r="C23" s="267" t="s">
        <v>363</v>
      </c>
      <c r="D23" s="268">
        <f>IF(D$8="","",$U68)</f>
        <v>0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0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0</v>
      </c>
      <c r="Q23" s="533"/>
    </row>
    <row r="24" spans="2:17" ht="18.5" x14ac:dyDescent="0.45">
      <c r="C24" s="267" t="s">
        <v>25</v>
      </c>
      <c r="D24" s="268">
        <f t="shared" ref="D24:O24" si="7">IF(D$8="","",D$8*$Q$24)</f>
        <v>-4290</v>
      </c>
      <c r="E24" s="234">
        <f>IF(E$8="","",E$8*$Q$24)</f>
        <v>-4400</v>
      </c>
      <c r="F24" s="269">
        <f t="shared" si="7"/>
        <v>-4400</v>
      </c>
      <c r="G24" s="268">
        <f t="shared" si="7"/>
        <v>-4180</v>
      </c>
      <c r="H24" s="234">
        <f t="shared" si="7"/>
        <v>-4180</v>
      </c>
      <c r="I24" s="269">
        <f t="shared" si="7"/>
        <v>-4180</v>
      </c>
      <c r="J24" s="234">
        <f t="shared" si="7"/>
        <v>-4180</v>
      </c>
      <c r="K24" s="234">
        <f t="shared" si="7"/>
        <v>-4180</v>
      </c>
      <c r="L24" s="234" t="str">
        <f t="shared" si="7"/>
        <v/>
      </c>
      <c r="M24" s="268" t="str">
        <f t="shared" si="7"/>
        <v/>
      </c>
      <c r="N24" s="234" t="str">
        <f t="shared" si="7"/>
        <v/>
      </c>
      <c r="O24" s="270" t="str">
        <f t="shared" si="7"/>
        <v/>
      </c>
      <c r="P24" s="234">
        <f t="shared" si="6"/>
        <v>-33990</v>
      </c>
      <c r="Q24" s="533">
        <v>-110</v>
      </c>
    </row>
    <row r="25" spans="2:17" ht="18.5" x14ac:dyDescent="0.45">
      <c r="B25" s="213"/>
      <c r="C25" s="267" t="s">
        <v>199</v>
      </c>
      <c r="D25" s="268">
        <f>IF(D$8="","",SUM($L68:$R68))</f>
        <v>539.48</v>
      </c>
      <c r="E25" s="234">
        <f>IF(E$8="","",SUM($L69:$R69))</f>
        <v>525.70999999999992</v>
      </c>
      <c r="F25" s="269">
        <f>IF(F$8="","",SUM($L70:$R70))</f>
        <v>4409.7700000000004</v>
      </c>
      <c r="G25" s="268">
        <f>IF(G$8="","",SUM($L71:$R71))</f>
        <v>123.85000000000001</v>
      </c>
      <c r="H25" s="234">
        <f>IF(H$8="","",SUM($L72:$R72))</f>
        <v>522.13</v>
      </c>
      <c r="I25" s="269">
        <f>IF(I$8="","",SUM($L73:$R73))</f>
        <v>-3082.8300000000004</v>
      </c>
      <c r="J25" s="234">
        <f>IF(J$8="","",SUM($L74:$R74))</f>
        <v>811</v>
      </c>
      <c r="K25" s="234">
        <f>IF(K$8="","",SUM($L75:$S75))</f>
        <v>-4367.75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-518.63999999999896</v>
      </c>
      <c r="Q25" s="533"/>
    </row>
    <row r="26" spans="2:17" ht="18.5" x14ac:dyDescent="0.45">
      <c r="C26" s="272" t="s">
        <v>200</v>
      </c>
      <c r="D26" s="273">
        <f>IF(D8="","",SUM(D18:D20,D22:D25))</f>
        <v>77959.33</v>
      </c>
      <c r="E26" s="274">
        <f t="shared" ref="E26:L26" si="8">IF(E8="","",SUM(E18:E20,E22:E25))</f>
        <v>79866.91</v>
      </c>
      <c r="F26" s="275">
        <f t="shared" si="8"/>
        <v>79871.850000000006</v>
      </c>
      <c r="G26" s="273">
        <f t="shared" si="8"/>
        <v>46066.12</v>
      </c>
      <c r="H26" s="274">
        <f t="shared" si="8"/>
        <v>61453.19000000001</v>
      </c>
      <c r="I26" s="275">
        <f t="shared" si="8"/>
        <v>49939.45</v>
      </c>
      <c r="J26" s="273">
        <f t="shared" si="8"/>
        <v>101786.10999999999</v>
      </c>
      <c r="K26" s="274">
        <f t="shared" si="8"/>
        <v>38226.14</v>
      </c>
      <c r="L26" s="275" t="str">
        <f t="shared" si="8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9">IF(O8="","",SUM(O18:O19,O22:O25))</f>
        <v/>
      </c>
      <c r="P26" s="274">
        <f>SUM(P18:P25)</f>
        <v>535169.1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ht="18.5" x14ac:dyDescent="0.45">
      <c r="C28" s="267" t="s">
        <v>223</v>
      </c>
      <c r="D28" s="268">
        <f>IF(D$8="","",D$8*$Q28)</f>
        <v>1565.46</v>
      </c>
      <c r="E28" s="234">
        <f t="shared" ref="E28:O35" si="10">IF(E$8="","",E$8*$Q28)</f>
        <v>1605.6</v>
      </c>
      <c r="F28" s="269">
        <f t="shared" si="10"/>
        <v>1605.6</v>
      </c>
      <c r="G28" s="268">
        <f t="shared" si="10"/>
        <v>1525.32</v>
      </c>
      <c r="H28" s="234">
        <f t="shared" si="10"/>
        <v>1525.32</v>
      </c>
      <c r="I28" s="269">
        <f t="shared" si="10"/>
        <v>1525.32</v>
      </c>
      <c r="J28" s="234">
        <f t="shared" si="10"/>
        <v>1525.32</v>
      </c>
      <c r="K28" s="234">
        <f t="shared" si="10"/>
        <v>1525.32</v>
      </c>
      <c r="L28" s="234" t="str">
        <f t="shared" si="10"/>
        <v/>
      </c>
      <c r="M28" s="268" t="str">
        <f t="shared" si="10"/>
        <v/>
      </c>
      <c r="N28" s="234" t="str">
        <f t="shared" si="10"/>
        <v/>
      </c>
      <c r="O28" s="270" t="str">
        <f t="shared" si="10"/>
        <v/>
      </c>
      <c r="P28" s="234">
        <f>SUM(D28:O28)</f>
        <v>12403.259999999998</v>
      </c>
      <c r="Q28" s="533">
        <v>40.14</v>
      </c>
    </row>
    <row r="29" spans="2:17" ht="18.5" x14ac:dyDescent="0.45">
      <c r="C29" s="267" t="s">
        <v>224</v>
      </c>
      <c r="D29" s="268">
        <f t="shared" ref="D29:O35" si="11">IF(D$8="","",D$8*$Q29)</f>
        <v>156</v>
      </c>
      <c r="E29" s="234">
        <f t="shared" si="10"/>
        <v>160</v>
      </c>
      <c r="F29" s="269">
        <f t="shared" si="10"/>
        <v>160</v>
      </c>
      <c r="G29" s="268">
        <f t="shared" si="10"/>
        <v>152</v>
      </c>
      <c r="H29" s="234">
        <f t="shared" si="10"/>
        <v>152</v>
      </c>
      <c r="I29" s="269">
        <f t="shared" si="10"/>
        <v>152</v>
      </c>
      <c r="J29" s="234">
        <f t="shared" si="10"/>
        <v>152</v>
      </c>
      <c r="K29" s="234">
        <f t="shared" si="10"/>
        <v>152</v>
      </c>
      <c r="L29" s="234" t="str">
        <f t="shared" si="10"/>
        <v/>
      </c>
      <c r="M29" s="268" t="str">
        <f t="shared" si="10"/>
        <v/>
      </c>
      <c r="N29" s="234" t="str">
        <f t="shared" si="10"/>
        <v/>
      </c>
      <c r="O29" s="270" t="str">
        <f t="shared" si="10"/>
        <v/>
      </c>
      <c r="P29" s="234">
        <f t="shared" ref="P29:P35" si="12">SUM(D29:O29)</f>
        <v>1236</v>
      </c>
      <c r="Q29" s="533">
        <v>4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10"/>
        <v>0</v>
      </c>
      <c r="F30" s="234">
        <f t="shared" si="10"/>
        <v>0</v>
      </c>
      <c r="G30" s="268">
        <f t="shared" si="10"/>
        <v>0</v>
      </c>
      <c r="H30" s="234">
        <f t="shared" si="10"/>
        <v>0</v>
      </c>
      <c r="I30" s="234">
        <f t="shared" si="10"/>
        <v>0</v>
      </c>
      <c r="J30" s="268">
        <f t="shared" si="10"/>
        <v>0</v>
      </c>
      <c r="K30" s="234">
        <f t="shared" si="10"/>
        <v>0</v>
      </c>
      <c r="L30" s="234" t="str">
        <f t="shared" si="10"/>
        <v/>
      </c>
      <c r="M30" s="268" t="str">
        <f t="shared" si="10"/>
        <v/>
      </c>
      <c r="N30" s="234" t="str">
        <f t="shared" si="10"/>
        <v/>
      </c>
      <c r="O30" s="270" t="str">
        <f t="shared" si="10"/>
        <v/>
      </c>
      <c r="P30" s="234">
        <f t="shared" si="12"/>
        <v>0</v>
      </c>
      <c r="Q30" s="533">
        <v>0</v>
      </c>
    </row>
    <row r="31" spans="2:17" ht="18.5" x14ac:dyDescent="0.45">
      <c r="C31" s="267" t="s">
        <v>325</v>
      </c>
      <c r="D31" s="268">
        <f t="shared" si="11"/>
        <v>0</v>
      </c>
      <c r="E31" s="234">
        <f t="shared" si="11"/>
        <v>0</v>
      </c>
      <c r="F31" s="234">
        <f t="shared" si="11"/>
        <v>0</v>
      </c>
      <c r="G31" s="268">
        <f t="shared" si="11"/>
        <v>0</v>
      </c>
      <c r="H31" s="234">
        <f t="shared" si="11"/>
        <v>0</v>
      </c>
      <c r="I31" s="234">
        <f t="shared" si="11"/>
        <v>0</v>
      </c>
      <c r="J31" s="268">
        <f t="shared" si="11"/>
        <v>0</v>
      </c>
      <c r="K31" s="234">
        <f t="shared" si="11"/>
        <v>0</v>
      </c>
      <c r="L31" s="234" t="str">
        <f t="shared" si="11"/>
        <v/>
      </c>
      <c r="M31" s="268" t="str">
        <f t="shared" si="11"/>
        <v/>
      </c>
      <c r="N31" s="234" t="str">
        <f t="shared" si="11"/>
        <v/>
      </c>
      <c r="O31" s="270" t="str">
        <f t="shared" si="11"/>
        <v/>
      </c>
      <c r="P31" s="234">
        <f t="shared" si="12"/>
        <v>0</v>
      </c>
      <c r="Q31" s="533">
        <v>0</v>
      </c>
    </row>
    <row r="32" spans="2:17" ht="18.5" x14ac:dyDescent="0.45">
      <c r="C32" s="267" t="s">
        <v>247</v>
      </c>
      <c r="D32" s="268">
        <f t="shared" si="11"/>
        <v>0</v>
      </c>
      <c r="E32" s="234">
        <f t="shared" si="11"/>
        <v>0</v>
      </c>
      <c r="F32" s="269">
        <f t="shared" si="11"/>
        <v>0</v>
      </c>
      <c r="G32" s="268">
        <f t="shared" si="11"/>
        <v>0</v>
      </c>
      <c r="H32" s="234">
        <f t="shared" si="11"/>
        <v>0</v>
      </c>
      <c r="I32" s="269">
        <f t="shared" si="11"/>
        <v>0</v>
      </c>
      <c r="J32" s="234">
        <f t="shared" si="11"/>
        <v>0</v>
      </c>
      <c r="K32" s="234">
        <f t="shared" si="11"/>
        <v>0</v>
      </c>
      <c r="L32" s="234" t="str">
        <f t="shared" si="11"/>
        <v/>
      </c>
      <c r="M32" s="268" t="str">
        <f t="shared" si="11"/>
        <v/>
      </c>
      <c r="N32" s="234" t="str">
        <f t="shared" si="11"/>
        <v/>
      </c>
      <c r="O32" s="270" t="str">
        <f t="shared" si="11"/>
        <v/>
      </c>
      <c r="P32" s="234">
        <f t="shared" si="12"/>
        <v>0</v>
      </c>
      <c r="Q32" s="533">
        <v>0</v>
      </c>
    </row>
    <row r="33" spans="2:18" ht="18.5" x14ac:dyDescent="0.45">
      <c r="C33" s="267" t="s">
        <v>227</v>
      </c>
      <c r="D33" s="268">
        <f t="shared" si="11"/>
        <v>68.25</v>
      </c>
      <c r="E33" s="234">
        <f t="shared" si="10"/>
        <v>70</v>
      </c>
      <c r="F33" s="269">
        <f t="shared" si="10"/>
        <v>70</v>
      </c>
      <c r="G33" s="268">
        <f t="shared" si="10"/>
        <v>66.5</v>
      </c>
      <c r="H33" s="234">
        <f t="shared" si="10"/>
        <v>66.5</v>
      </c>
      <c r="I33" s="269">
        <f t="shared" si="10"/>
        <v>66.5</v>
      </c>
      <c r="J33" s="234">
        <f t="shared" si="10"/>
        <v>66.5</v>
      </c>
      <c r="K33" s="234">
        <f t="shared" si="10"/>
        <v>66.5</v>
      </c>
      <c r="L33" s="234" t="str">
        <f t="shared" si="10"/>
        <v/>
      </c>
      <c r="M33" s="268" t="str">
        <f t="shared" si="10"/>
        <v/>
      </c>
      <c r="N33" s="234" t="str">
        <f t="shared" si="10"/>
        <v/>
      </c>
      <c r="O33" s="270" t="str">
        <f t="shared" si="10"/>
        <v/>
      </c>
      <c r="P33" s="234">
        <f t="shared" si="12"/>
        <v>540.75</v>
      </c>
      <c r="Q33" s="533">
        <v>1.75</v>
      </c>
    </row>
    <row r="34" spans="2:18" ht="18.5" x14ac:dyDescent="0.45">
      <c r="C34" s="267" t="s">
        <v>228</v>
      </c>
      <c r="D34" s="268">
        <f t="shared" si="11"/>
        <v>128.69999999999999</v>
      </c>
      <c r="E34" s="234">
        <f t="shared" si="10"/>
        <v>132</v>
      </c>
      <c r="F34" s="269">
        <f t="shared" si="10"/>
        <v>132</v>
      </c>
      <c r="G34" s="268">
        <f t="shared" si="10"/>
        <v>125.39999999999999</v>
      </c>
      <c r="H34" s="234">
        <f t="shared" si="10"/>
        <v>125.39999999999999</v>
      </c>
      <c r="I34" s="269">
        <f t="shared" si="10"/>
        <v>125.39999999999999</v>
      </c>
      <c r="J34" s="234">
        <f t="shared" si="10"/>
        <v>125.39999999999999</v>
      </c>
      <c r="K34" s="234">
        <f t="shared" si="10"/>
        <v>125.39999999999999</v>
      </c>
      <c r="L34" s="234" t="str">
        <f t="shared" si="10"/>
        <v/>
      </c>
      <c r="M34" s="268" t="str">
        <f t="shared" si="10"/>
        <v/>
      </c>
      <c r="N34" s="234" t="str">
        <f t="shared" si="10"/>
        <v/>
      </c>
      <c r="O34" s="270" t="str">
        <f t="shared" si="10"/>
        <v/>
      </c>
      <c r="P34" s="234">
        <f t="shared" si="12"/>
        <v>1019.6999999999999</v>
      </c>
      <c r="Q34" s="533">
        <v>3.3</v>
      </c>
    </row>
    <row r="35" spans="2:18" ht="18.5" x14ac:dyDescent="0.45">
      <c r="C35" s="267" t="s">
        <v>202</v>
      </c>
      <c r="D35" s="268">
        <f t="shared" si="11"/>
        <v>154.44</v>
      </c>
      <c r="E35" s="234">
        <f t="shared" si="10"/>
        <v>158.4</v>
      </c>
      <c r="F35" s="269">
        <f t="shared" si="10"/>
        <v>158.4</v>
      </c>
      <c r="G35" s="268">
        <f t="shared" si="10"/>
        <v>150.47999999999999</v>
      </c>
      <c r="H35" s="234">
        <f t="shared" si="10"/>
        <v>150.47999999999999</v>
      </c>
      <c r="I35" s="269">
        <f t="shared" si="10"/>
        <v>150.47999999999999</v>
      </c>
      <c r="J35" s="234">
        <f t="shared" si="10"/>
        <v>150.47999999999999</v>
      </c>
      <c r="K35" s="234">
        <f t="shared" si="10"/>
        <v>150.47999999999999</v>
      </c>
      <c r="L35" s="234" t="str">
        <f t="shared" si="10"/>
        <v/>
      </c>
      <c r="M35" s="268" t="str">
        <f t="shared" si="10"/>
        <v/>
      </c>
      <c r="N35" s="234" t="str">
        <f t="shared" si="10"/>
        <v/>
      </c>
      <c r="O35" s="270" t="str">
        <f t="shared" si="10"/>
        <v/>
      </c>
      <c r="P35" s="234">
        <f t="shared" si="12"/>
        <v>1223.6400000000001</v>
      </c>
      <c r="Q35" s="533">
        <v>3.96</v>
      </c>
    </row>
    <row r="36" spans="2:18" ht="18.5" x14ac:dyDescent="0.45">
      <c r="C36" s="272" t="s">
        <v>203</v>
      </c>
      <c r="D36" s="273">
        <f t="shared" ref="D36:P36" si="13">IF(D$8="","",SUM(D28:D35))</f>
        <v>2072.85</v>
      </c>
      <c r="E36" s="274">
        <f t="shared" si="13"/>
        <v>2126</v>
      </c>
      <c r="F36" s="275">
        <f t="shared" si="13"/>
        <v>2126</v>
      </c>
      <c r="G36" s="273">
        <f t="shared" si="13"/>
        <v>2019.7</v>
      </c>
      <c r="H36" s="274">
        <f t="shared" si="13"/>
        <v>2019.7</v>
      </c>
      <c r="I36" s="275">
        <f t="shared" si="13"/>
        <v>2019.7</v>
      </c>
      <c r="J36" s="274">
        <f t="shared" si="13"/>
        <v>2019.7</v>
      </c>
      <c r="K36" s="274">
        <f t="shared" si="13"/>
        <v>2019.7</v>
      </c>
      <c r="L36" s="274" t="str">
        <f t="shared" si="13"/>
        <v/>
      </c>
      <c r="M36" s="273" t="str">
        <f t="shared" si="13"/>
        <v/>
      </c>
      <c r="N36" s="274" t="str">
        <f t="shared" si="13"/>
        <v/>
      </c>
      <c r="O36" s="276" t="str">
        <f t="shared" si="13"/>
        <v/>
      </c>
      <c r="P36" s="274">
        <f t="shared" si="13"/>
        <v>16423.349999999999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3852.0299999999997</v>
      </c>
      <c r="E38" s="234">
        <f t="shared" ref="E38:O41" si="14">IF(E$8="","",E$8*$Q38)</f>
        <v>3950.7999999999997</v>
      </c>
      <c r="F38" s="269">
        <f t="shared" si="14"/>
        <v>3950.7999999999997</v>
      </c>
      <c r="G38" s="268">
        <f t="shared" si="14"/>
        <v>3753.2599999999998</v>
      </c>
      <c r="H38" s="234">
        <f t="shared" si="14"/>
        <v>3753.2599999999998</v>
      </c>
      <c r="I38" s="269">
        <f t="shared" si="14"/>
        <v>3753.2599999999998</v>
      </c>
      <c r="J38" s="234">
        <f t="shared" si="14"/>
        <v>3753.2599999999998</v>
      </c>
      <c r="K38" s="234">
        <f t="shared" si="14"/>
        <v>3753.2599999999998</v>
      </c>
      <c r="L38" s="234" t="str">
        <f t="shared" si="14"/>
        <v/>
      </c>
      <c r="M38" s="268" t="str">
        <f t="shared" si="14"/>
        <v/>
      </c>
      <c r="N38" s="234" t="str">
        <f t="shared" si="14"/>
        <v/>
      </c>
      <c r="O38" s="270" t="str">
        <f t="shared" si="14"/>
        <v/>
      </c>
      <c r="P38" s="234">
        <f>SUM(D38:O38)</f>
        <v>30519.929999999993</v>
      </c>
      <c r="Q38" s="533">
        <v>98.77</v>
      </c>
    </row>
    <row r="39" spans="2:18" ht="18.5" x14ac:dyDescent="0.45">
      <c r="C39" s="267" t="s">
        <v>205</v>
      </c>
      <c r="D39" s="268">
        <f t="shared" ref="D39:D41" si="15">IF(D$8="","",D$8*$Q39)</f>
        <v>25846.86</v>
      </c>
      <c r="E39" s="234">
        <f t="shared" si="14"/>
        <v>26509.599999999999</v>
      </c>
      <c r="F39" s="269">
        <f t="shared" si="14"/>
        <v>26509.599999999999</v>
      </c>
      <c r="G39" s="268">
        <f t="shared" si="14"/>
        <v>25184.12</v>
      </c>
      <c r="H39" s="234">
        <f t="shared" si="14"/>
        <v>25184.12</v>
      </c>
      <c r="I39" s="269">
        <f t="shared" ref="I39:O39" si="16">IF(I$8="","",I$8*$R39)</f>
        <v>17584.12</v>
      </c>
      <c r="J39" s="234">
        <f t="shared" si="16"/>
        <v>17584.12</v>
      </c>
      <c r="K39" s="234">
        <f t="shared" si="16"/>
        <v>17584.12</v>
      </c>
      <c r="L39" s="234" t="str">
        <f t="shared" si="16"/>
        <v/>
      </c>
      <c r="M39" s="268" t="str">
        <f t="shared" si="16"/>
        <v/>
      </c>
      <c r="N39" s="234" t="str">
        <f t="shared" si="16"/>
        <v/>
      </c>
      <c r="O39" s="270" t="str">
        <f t="shared" si="16"/>
        <v/>
      </c>
      <c r="P39" s="234">
        <f t="shared" ref="P39:P41" si="17">SUM(D39:O39)</f>
        <v>181986.65999999997</v>
      </c>
      <c r="Q39" s="533">
        <v>662.74</v>
      </c>
      <c r="R39" s="11">
        <f>Q39-200</f>
        <v>462.74</v>
      </c>
    </row>
    <row r="40" spans="2:18" ht="18.5" x14ac:dyDescent="0.45">
      <c r="C40" s="267" t="s">
        <v>322</v>
      </c>
      <c r="D40" s="268">
        <f t="shared" ref="D40:O40" si="18">IF(D$8="","",D$8*$Q40)</f>
        <v>156</v>
      </c>
      <c r="E40" s="234">
        <f t="shared" si="18"/>
        <v>160</v>
      </c>
      <c r="F40" s="269">
        <f t="shared" si="18"/>
        <v>160</v>
      </c>
      <c r="G40" s="234">
        <f t="shared" si="18"/>
        <v>152</v>
      </c>
      <c r="H40" s="234">
        <f t="shared" si="18"/>
        <v>152</v>
      </c>
      <c r="I40" s="269">
        <f t="shared" si="18"/>
        <v>152</v>
      </c>
      <c r="J40" s="234">
        <f t="shared" si="18"/>
        <v>152</v>
      </c>
      <c r="K40" s="234">
        <f t="shared" si="18"/>
        <v>152</v>
      </c>
      <c r="L40" s="234" t="str">
        <f t="shared" si="18"/>
        <v/>
      </c>
      <c r="M40" s="268" t="str">
        <f t="shared" si="18"/>
        <v/>
      </c>
      <c r="N40" s="234" t="str">
        <f t="shared" si="18"/>
        <v/>
      </c>
      <c r="O40" s="270" t="str">
        <f t="shared" si="18"/>
        <v/>
      </c>
      <c r="P40" s="234">
        <f>SUM(D40:O40)</f>
        <v>1236</v>
      </c>
      <c r="Q40" s="533">
        <v>4</v>
      </c>
    </row>
    <row r="41" spans="2:18" ht="18.5" x14ac:dyDescent="0.45">
      <c r="C41" s="267" t="s">
        <v>206</v>
      </c>
      <c r="D41" s="268">
        <f t="shared" si="15"/>
        <v>112.32</v>
      </c>
      <c r="E41" s="234">
        <f t="shared" si="14"/>
        <v>115.19999999999999</v>
      </c>
      <c r="F41" s="269">
        <f t="shared" si="14"/>
        <v>115.19999999999999</v>
      </c>
      <c r="G41" s="268">
        <f t="shared" si="14"/>
        <v>109.44</v>
      </c>
      <c r="H41" s="234">
        <f t="shared" si="14"/>
        <v>109.44</v>
      </c>
      <c r="I41" s="269">
        <f t="shared" si="14"/>
        <v>109.44</v>
      </c>
      <c r="J41" s="234">
        <f t="shared" si="14"/>
        <v>109.44</v>
      </c>
      <c r="K41" s="234">
        <f t="shared" si="14"/>
        <v>109.44</v>
      </c>
      <c r="L41" s="234" t="str">
        <f t="shared" si="14"/>
        <v/>
      </c>
      <c r="M41" s="268" t="str">
        <f t="shared" si="14"/>
        <v/>
      </c>
      <c r="N41" s="234" t="str">
        <f t="shared" si="14"/>
        <v/>
      </c>
      <c r="O41" s="270" t="str">
        <f t="shared" si="14"/>
        <v/>
      </c>
      <c r="P41" s="234">
        <f t="shared" si="17"/>
        <v>889.92000000000007</v>
      </c>
      <c r="Q41" s="533">
        <v>2.88</v>
      </c>
    </row>
    <row r="42" spans="2:18" ht="18.5" x14ac:dyDescent="0.45">
      <c r="C42" s="272" t="s">
        <v>207</v>
      </c>
      <c r="D42" s="273">
        <f t="shared" ref="D42:O42" si="19">IF(D$8="","",SUM(D38:D41))</f>
        <v>29967.21</v>
      </c>
      <c r="E42" s="274">
        <f t="shared" si="19"/>
        <v>30735.599999999999</v>
      </c>
      <c r="F42" s="275">
        <f t="shared" si="19"/>
        <v>30735.599999999999</v>
      </c>
      <c r="G42" s="273">
        <f t="shared" si="19"/>
        <v>29198.819999999996</v>
      </c>
      <c r="H42" s="274">
        <f t="shared" si="19"/>
        <v>29198.819999999996</v>
      </c>
      <c r="I42" s="275">
        <f t="shared" si="19"/>
        <v>21598.819999999996</v>
      </c>
      <c r="J42" s="274">
        <f t="shared" si="19"/>
        <v>21598.819999999996</v>
      </c>
      <c r="K42" s="274">
        <f t="shared" si="19"/>
        <v>21598.819999999996</v>
      </c>
      <c r="L42" s="274" t="str">
        <f t="shared" si="19"/>
        <v/>
      </c>
      <c r="M42" s="273" t="str">
        <f t="shared" si="19"/>
        <v/>
      </c>
      <c r="N42" s="274" t="str">
        <f t="shared" si="19"/>
        <v/>
      </c>
      <c r="O42" s="276" t="str">
        <f t="shared" si="19"/>
        <v/>
      </c>
      <c r="P42" s="274">
        <f>IF(P$8="","",SUM(P38:P41))</f>
        <v>214632.50999999998</v>
      </c>
      <c r="Q42" s="30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 t="s">
        <v>191</v>
      </c>
      <c r="C44" s="267" t="s">
        <v>209</v>
      </c>
      <c r="D44" s="268">
        <f t="shared" ref="D44:O48" si="20">IF(D$8="","",0)</f>
        <v>0</v>
      </c>
      <c r="E44" s="234">
        <f t="shared" si="20"/>
        <v>0</v>
      </c>
      <c r="F44" s="234">
        <f t="shared" si="20"/>
        <v>0</v>
      </c>
      <c r="G44" s="268">
        <f>416.5/19</f>
        <v>21.921052631578949</v>
      </c>
      <c r="H44" s="234">
        <f t="shared" si="20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20"/>
        <v/>
      </c>
      <c r="M44" s="268" t="str">
        <f t="shared" si="20"/>
        <v/>
      </c>
      <c r="N44" s="234" t="str">
        <f t="shared" si="20"/>
        <v/>
      </c>
      <c r="O44" s="234" t="str">
        <f t="shared" si="20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20"/>
        <v>0</v>
      </c>
      <c r="E45" s="234">
        <f t="shared" si="20"/>
        <v>0</v>
      </c>
      <c r="F45" s="269">
        <f t="shared" si="20"/>
        <v>0</v>
      </c>
      <c r="G45" s="268">
        <f t="shared" si="20"/>
        <v>0</v>
      </c>
      <c r="H45" s="234">
        <f>15600/19</f>
        <v>821.0526315789474</v>
      </c>
      <c r="I45" s="234">
        <f t="shared" si="20"/>
        <v>0</v>
      </c>
      <c r="J45" s="268">
        <f t="shared" si="20"/>
        <v>0</v>
      </c>
      <c r="K45" s="234">
        <f t="shared" si="20"/>
        <v>0</v>
      </c>
      <c r="L45" s="234" t="str">
        <f t="shared" si="20"/>
        <v/>
      </c>
      <c r="M45" s="268" t="str">
        <f t="shared" si="20"/>
        <v/>
      </c>
      <c r="N45" s="234" t="str">
        <f t="shared" si="20"/>
        <v/>
      </c>
      <c r="O45" s="234" t="str">
        <f t="shared" si="20"/>
        <v/>
      </c>
      <c r="P45" s="474">
        <f t="shared" ref="P45:P48" si="21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20"/>
        <v>0</v>
      </c>
      <c r="E46" s="234">
        <f t="shared" si="20"/>
        <v>0</v>
      </c>
      <c r="F46" s="269">
        <f t="shared" si="20"/>
        <v>0</v>
      </c>
      <c r="G46" s="268">
        <f t="shared" si="20"/>
        <v>0</v>
      </c>
      <c r="H46" s="234">
        <f t="shared" si="20"/>
        <v>0</v>
      </c>
      <c r="I46" s="234">
        <f t="shared" si="20"/>
        <v>0</v>
      </c>
      <c r="J46" s="268">
        <f t="shared" si="20"/>
        <v>0</v>
      </c>
      <c r="K46" s="234">
        <f t="shared" si="20"/>
        <v>0</v>
      </c>
      <c r="L46" s="234" t="str">
        <f t="shared" si="20"/>
        <v/>
      </c>
      <c r="M46" s="268" t="str">
        <f t="shared" si="20"/>
        <v/>
      </c>
      <c r="N46" s="234" t="str">
        <f t="shared" si="20"/>
        <v/>
      </c>
      <c r="O46" s="234" t="str">
        <f t="shared" si="20"/>
        <v/>
      </c>
      <c r="P46" s="474">
        <f t="shared" si="21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20"/>
        <v>0</v>
      </c>
      <c r="E47" s="234">
        <f t="shared" si="20"/>
        <v>0</v>
      </c>
      <c r="F47" s="234">
        <f t="shared" si="20"/>
        <v>0</v>
      </c>
      <c r="G47" s="268">
        <f t="shared" si="20"/>
        <v>0</v>
      </c>
      <c r="H47" s="234">
        <f t="shared" si="20"/>
        <v>0</v>
      </c>
      <c r="I47" s="234">
        <f t="shared" si="20"/>
        <v>0</v>
      </c>
      <c r="J47" s="268">
        <f t="shared" si="20"/>
        <v>0</v>
      </c>
      <c r="K47" s="234">
        <f t="shared" si="20"/>
        <v>0</v>
      </c>
      <c r="L47" s="234" t="str">
        <f t="shared" si="20"/>
        <v/>
      </c>
      <c r="M47" s="268" t="str">
        <f t="shared" si="20"/>
        <v/>
      </c>
      <c r="N47" s="234" t="str">
        <f t="shared" si="20"/>
        <v/>
      </c>
      <c r="O47" s="270" t="str">
        <f t="shared" si="20"/>
        <v/>
      </c>
      <c r="P47" s="234">
        <f t="shared" si="21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20"/>
        <v>0</v>
      </c>
      <c r="F48" s="456">
        <f t="shared" si="20"/>
        <v>0</v>
      </c>
      <c r="G48" s="458">
        <f t="shared" si="20"/>
        <v>0</v>
      </c>
      <c r="H48" s="234">
        <f t="shared" si="20"/>
        <v>0</v>
      </c>
      <c r="I48" s="456">
        <f t="shared" si="20"/>
        <v>0</v>
      </c>
      <c r="J48" s="268">
        <f t="shared" si="20"/>
        <v>0</v>
      </c>
      <c r="K48" s="457">
        <f t="shared" si="20"/>
        <v>0</v>
      </c>
      <c r="L48" s="456" t="str">
        <f t="shared" si="20"/>
        <v/>
      </c>
      <c r="M48" s="458" t="str">
        <f t="shared" si="20"/>
        <v/>
      </c>
      <c r="N48" s="234" t="str">
        <f t="shared" si="20"/>
        <v/>
      </c>
      <c r="O48" s="525" t="str">
        <f t="shared" si="20"/>
        <v/>
      </c>
      <c r="P48" s="475">
        <f t="shared" si="21"/>
        <v>0</v>
      </c>
      <c r="Q48" s="244"/>
    </row>
    <row r="49" spans="2:17" ht="18.5" x14ac:dyDescent="0.45">
      <c r="C49" s="272" t="s">
        <v>229</v>
      </c>
      <c r="D49" s="273">
        <f t="shared" ref="D49:O49" si="22">IF(D$8="","",SUM(D44:D48))</f>
        <v>0</v>
      </c>
      <c r="E49" s="274">
        <f t="shared" si="22"/>
        <v>0</v>
      </c>
      <c r="F49" s="275">
        <f t="shared" si="22"/>
        <v>0</v>
      </c>
      <c r="G49" s="273">
        <f t="shared" si="22"/>
        <v>21.921052631578949</v>
      </c>
      <c r="H49" s="274">
        <f t="shared" si="22"/>
        <v>821.0526315789474</v>
      </c>
      <c r="I49" s="275">
        <f t="shared" si="22"/>
        <v>12.102631578947367</v>
      </c>
      <c r="J49" s="274">
        <f t="shared" si="22"/>
        <v>31.315789473684209</v>
      </c>
      <c r="K49" s="274">
        <f t="shared" si="22"/>
        <v>56.368421052631582</v>
      </c>
      <c r="L49" s="274" t="str">
        <f t="shared" si="22"/>
        <v/>
      </c>
      <c r="M49" s="273" t="str">
        <f t="shared" si="22"/>
        <v/>
      </c>
      <c r="N49" s="274" t="str">
        <f t="shared" si="22"/>
        <v/>
      </c>
      <c r="O49" s="276" t="str">
        <f t="shared" si="22"/>
        <v/>
      </c>
      <c r="P49" s="557">
        <f>IF(P$8="","",SUM(P44:P48))</f>
        <v>942.76052631578955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-24316.390000000014</v>
      </c>
      <c r="E51" s="289">
        <f>IF(E8="","",E14-SUM(E26,E36,E42,E49))</f>
        <v>-24848.510000000009</v>
      </c>
      <c r="F51" s="290">
        <f>IF(F8="","",F14-SUM(F26,F36,F42,F49))</f>
        <v>-24853.450000000012</v>
      </c>
      <c r="G51" s="288">
        <f>IF(G8="","",G14-SUM(G26,G36,G42,G49))</f>
        <v>34931.438947368428</v>
      </c>
      <c r="H51" s="289">
        <f>IF(H8="","",H14-SUM(H26,H36,H42,H49))</f>
        <v>-4610.762631578953</v>
      </c>
      <c r="I51" s="290">
        <f>IF(I8="","",I14-SUM(I26,I36,I42,I49))</f>
        <v>15311.927368421064</v>
      </c>
      <c r="J51" s="289">
        <f>IF(J8="","",J14-SUM(J26,J36,J42,J49))</f>
        <v>-36553.945789473655</v>
      </c>
      <c r="K51" s="289">
        <f>IF(K8="","",K14-SUM(K26,K36,K42,K49))</f>
        <v>26980.971578947378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-37958.720526315738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-245648.83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-283607.5505263157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117</v>
      </c>
      <c r="E56" s="234">
        <f>IF(E12="","",-E12)</f>
        <v>120</v>
      </c>
      <c r="F56" s="269">
        <f>IF(F12="","",-F12)</f>
        <v>120</v>
      </c>
      <c r="G56" s="268">
        <f>IF(G12="","",-G12)</f>
        <v>114</v>
      </c>
      <c r="H56" s="234">
        <f>IF(H12="","",-H12)</f>
        <v>114</v>
      </c>
      <c r="I56" s="269">
        <f>IF(I12="","",-I12)</f>
        <v>114</v>
      </c>
      <c r="J56" s="234">
        <f>IF(J12="","",-J12)</f>
        <v>114</v>
      </c>
      <c r="K56" s="234">
        <f>IF(K12="","",-K12)</f>
        <v>114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927</v>
      </c>
      <c r="Q56" s="244"/>
    </row>
    <row r="57" spans="2:17" ht="18.5" x14ac:dyDescent="0.45">
      <c r="B57" s="213" t="s">
        <v>191</v>
      </c>
      <c r="C57" s="470" t="s">
        <v>233</v>
      </c>
      <c r="D57" s="234">
        <f t="shared" ref="D57:O57" si="23">IF(D$8="","",0)</f>
        <v>0</v>
      </c>
      <c r="E57" s="234">
        <f t="shared" si="23"/>
        <v>0</v>
      </c>
      <c r="F57" s="269">
        <f t="shared" si="23"/>
        <v>0</v>
      </c>
      <c r="G57" s="268">
        <f t="shared" si="23"/>
        <v>0</v>
      </c>
      <c r="H57" s="457">
        <f t="shared" si="23"/>
        <v>0</v>
      </c>
      <c r="I57" s="457">
        <f t="shared" si="23"/>
        <v>0</v>
      </c>
      <c r="J57" s="458">
        <f t="shared" si="23"/>
        <v>0</v>
      </c>
      <c r="K57" s="234">
        <f t="shared" si="23"/>
        <v>0</v>
      </c>
      <c r="L57" s="234" t="str">
        <f t="shared" si="23"/>
        <v/>
      </c>
      <c r="M57" s="268" t="str">
        <f t="shared" si="23"/>
        <v/>
      </c>
      <c r="N57" s="234" t="str">
        <f t="shared" si="23"/>
        <v/>
      </c>
      <c r="O57" s="234" t="str">
        <f t="shared" si="23"/>
        <v/>
      </c>
      <c r="P57" s="458">
        <f>SUM(D57:O57)</f>
        <v>0</v>
      </c>
      <c r="Q57" s="244"/>
    </row>
    <row r="58" spans="2:17" ht="18.5" x14ac:dyDescent="0.45">
      <c r="C58" s="296" t="s">
        <v>234</v>
      </c>
      <c r="D58" s="297">
        <f>IF(D$8="","",SUM(D56:D57))</f>
        <v>117</v>
      </c>
      <c r="E58" s="298">
        <f t="shared" ref="E58:O58" si="24">IF(E$8="","",SUM(E56:E57))</f>
        <v>120</v>
      </c>
      <c r="F58" s="299">
        <f t="shared" si="24"/>
        <v>120</v>
      </c>
      <c r="G58" s="297">
        <f t="shared" si="24"/>
        <v>114</v>
      </c>
      <c r="H58" s="298">
        <f t="shared" si="24"/>
        <v>114</v>
      </c>
      <c r="I58" s="299">
        <f t="shared" si="24"/>
        <v>114</v>
      </c>
      <c r="J58" s="298">
        <f t="shared" si="24"/>
        <v>114</v>
      </c>
      <c r="K58" s="298">
        <f t="shared" si="24"/>
        <v>114</v>
      </c>
      <c r="L58" s="298" t="str">
        <f t="shared" si="24"/>
        <v/>
      </c>
      <c r="M58" s="297" t="str">
        <f t="shared" si="24"/>
        <v/>
      </c>
      <c r="N58" s="298" t="str">
        <f t="shared" si="24"/>
        <v/>
      </c>
      <c r="O58" s="300" t="str">
        <f t="shared" si="24"/>
        <v/>
      </c>
      <c r="P58" s="298">
        <f>SUM(P56:P57)</f>
        <v>927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10453.629999999999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11380.63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7077.23</v>
      </c>
      <c r="E68" s="246">
        <v>8605.34</v>
      </c>
      <c r="F68" s="246">
        <v>8314.7199999999993</v>
      </c>
      <c r="G68" s="246">
        <v>57712.56</v>
      </c>
      <c r="H68" s="246">
        <v>0</v>
      </c>
      <c r="I68" s="308">
        <v>-2434.4</v>
      </c>
      <c r="J68" s="309">
        <f>SUM(D68:I68)</f>
        <v>79275.450000000012</v>
      </c>
      <c r="K68" s="310">
        <v>40</v>
      </c>
      <c r="L68" s="307">
        <f>49.7+12.73</f>
        <v>62.430000000000007</v>
      </c>
      <c r="M68" s="246">
        <v>0</v>
      </c>
      <c r="N68" s="246">
        <v>0</v>
      </c>
      <c r="O68" s="246">
        <f>220+220</f>
        <v>440</v>
      </c>
      <c r="P68" s="246">
        <v>37.049999999999997</v>
      </c>
      <c r="Q68" s="246">
        <v>0</v>
      </c>
      <c r="R68" s="246">
        <v>0</v>
      </c>
      <c r="S68" s="246">
        <v>0</v>
      </c>
      <c r="T68" s="246">
        <v>0</v>
      </c>
      <c r="U68" s="323">
        <v>0</v>
      </c>
    </row>
    <row r="69" spans="3:21" ht="18.5" x14ac:dyDescent="0.45">
      <c r="C69" s="306" t="str">
        <f>Addendum!E11</f>
        <v>August</v>
      </c>
      <c r="D69" s="307">
        <v>14169.43</v>
      </c>
      <c r="E69" s="246">
        <v>14285.85</v>
      </c>
      <c r="F69" s="246">
        <v>21527.759999999998</v>
      </c>
      <c r="G69" s="246">
        <v>9669.59</v>
      </c>
      <c r="H69" s="246">
        <v>39544.269999999997</v>
      </c>
      <c r="I69" s="308">
        <v>-2434.4</v>
      </c>
      <c r="J69" s="309">
        <f t="shared" ref="J69:J79" si="25">SUM(D69:I69)</f>
        <v>96762.5</v>
      </c>
      <c r="K69" s="311">
        <v>40</v>
      </c>
      <c r="L69" s="307">
        <f>22.97+35.09</f>
        <v>58.06</v>
      </c>
      <c r="M69" s="246">
        <v>0</v>
      </c>
      <c r="N69" s="246">
        <v>0</v>
      </c>
      <c r="O69" s="246">
        <f>20+220+220</f>
        <v>460</v>
      </c>
      <c r="P69" s="246">
        <v>0</v>
      </c>
      <c r="Q69" s="246">
        <f>7.65</f>
        <v>7.65</v>
      </c>
      <c r="R69" s="246">
        <v>0</v>
      </c>
      <c r="S69" s="246">
        <v>0</v>
      </c>
      <c r="T69" s="246">
        <v>0</v>
      </c>
      <c r="U69" s="323">
        <v>0</v>
      </c>
    </row>
    <row r="70" spans="3:21" ht="18.5" x14ac:dyDescent="0.45">
      <c r="C70" s="306" t="str">
        <f>Addendum!E12</f>
        <v>September</v>
      </c>
      <c r="D70" s="307">
        <v>34540.42</v>
      </c>
      <c r="E70" s="246">
        <v>24769.599999999999</v>
      </c>
      <c r="F70" s="246">
        <v>10375.17</v>
      </c>
      <c r="G70" s="246">
        <v>10900.17</v>
      </c>
      <c r="H70" s="246">
        <v>0</v>
      </c>
      <c r="I70" s="308">
        <v>-2495.2600000000002</v>
      </c>
      <c r="J70" s="309">
        <f>SUM(D70:I70)</f>
        <v>78090.100000000006</v>
      </c>
      <c r="K70" s="311">
        <v>41</v>
      </c>
      <c r="L70" s="307">
        <f>3850.59+74.7+444.48</f>
        <v>4369.7700000000004</v>
      </c>
      <c r="M70" s="246">
        <v>0</v>
      </c>
      <c r="N70" s="246">
        <v>0</v>
      </c>
      <c r="O70" s="246">
        <f>40</f>
        <v>40</v>
      </c>
      <c r="P70" s="246">
        <v>0</v>
      </c>
      <c r="Q70" s="246">
        <v>0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11456.4</v>
      </c>
      <c r="E71" s="246">
        <v>16133.23</v>
      </c>
      <c r="F71" s="246">
        <v>11188.7</v>
      </c>
      <c r="G71" s="246">
        <v>20962.080000000002</v>
      </c>
      <c r="H71" s="246">
        <v>0</v>
      </c>
      <c r="I71" s="308">
        <v>-2312.6799999999998</v>
      </c>
      <c r="J71" s="309">
        <f t="shared" si="25"/>
        <v>57427.73</v>
      </c>
      <c r="K71" s="311">
        <v>38</v>
      </c>
      <c r="L71" s="307">
        <f>32.34-45.94+4.62</f>
        <v>-8.9799999999999933</v>
      </c>
      <c r="M71" s="246">
        <v>0</v>
      </c>
      <c r="N71" s="246">
        <v>0</v>
      </c>
      <c r="O71" s="246">
        <f>20+110</f>
        <v>130</v>
      </c>
      <c r="P71" s="246">
        <v>0</v>
      </c>
      <c r="Q71" s="246">
        <f>2.83</f>
        <v>2.83</v>
      </c>
      <c r="R71" s="246">
        <v>0</v>
      </c>
      <c r="S71" s="246">
        <v>0</v>
      </c>
      <c r="T71" s="246">
        <v>0</v>
      </c>
      <c r="U71" s="323">
        <v>0</v>
      </c>
    </row>
    <row r="72" spans="3:21" ht="18.5" x14ac:dyDescent="0.45">
      <c r="C72" s="306" t="str">
        <f>Addendum!E14</f>
        <v>November</v>
      </c>
      <c r="D72" s="307">
        <v>21530.79</v>
      </c>
      <c r="E72" s="246">
        <v>12370.84</v>
      </c>
      <c r="F72" s="246">
        <v>10409.120000000001</v>
      </c>
      <c r="G72" s="246">
        <v>10826.22</v>
      </c>
      <c r="H72" s="246">
        <v>11784.32</v>
      </c>
      <c r="I72" s="308">
        <v>-2312.6799999999998</v>
      </c>
      <c r="J72" s="309">
        <f t="shared" si="25"/>
        <v>64608.610000000008</v>
      </c>
      <c r="K72" s="311">
        <v>38</v>
      </c>
      <c r="L72" s="307">
        <f>4.62+9.72+4.62+4.62</f>
        <v>23.580000000000002</v>
      </c>
      <c r="M72" s="246">
        <v>0</v>
      </c>
      <c r="N72" s="246">
        <v>0</v>
      </c>
      <c r="O72" s="246">
        <f>40+440</f>
        <v>480</v>
      </c>
      <c r="P72" s="246">
        <f>18.55</f>
        <v>18.55</v>
      </c>
      <c r="Q72" s="246">
        <v>0</v>
      </c>
      <c r="R72" s="246">
        <v>0</v>
      </c>
      <c r="S72" s="246">
        <v>0</v>
      </c>
      <c r="T72" s="246">
        <v>0</v>
      </c>
      <c r="U72" s="323">
        <v>0</v>
      </c>
    </row>
    <row r="73" spans="3:21" ht="18.5" x14ac:dyDescent="0.45">
      <c r="C73" s="306" t="str">
        <f>Addendum!E15</f>
        <v>December</v>
      </c>
      <c r="D73" s="307">
        <v>23231.7</v>
      </c>
      <c r="E73" s="246">
        <v>7223.21</v>
      </c>
      <c r="F73" s="246">
        <v>20704.650000000001</v>
      </c>
      <c r="G73" s="246">
        <v>6680.59</v>
      </c>
      <c r="H73" s="246">
        <v>0</v>
      </c>
      <c r="I73" s="308">
        <v>-2312.6799999999998</v>
      </c>
      <c r="J73" s="309">
        <f t="shared" si="25"/>
        <v>55527.469999999994</v>
      </c>
      <c r="K73" s="311">
        <v>38</v>
      </c>
      <c r="L73" s="307">
        <f>4.62+36.12-3823.57</f>
        <v>-3782.8300000000004</v>
      </c>
      <c r="M73" s="246">
        <v>0</v>
      </c>
      <c r="N73" s="246">
        <v>0</v>
      </c>
      <c r="O73" s="246">
        <f>40+660</f>
        <v>700</v>
      </c>
      <c r="P73" s="246">
        <v>0</v>
      </c>
      <c r="Q73" s="246">
        <v>0</v>
      </c>
      <c r="R73" s="246">
        <v>0</v>
      </c>
      <c r="S73" s="246">
        <v>0</v>
      </c>
      <c r="T73" s="246">
        <v>0</v>
      </c>
      <c r="U73" s="323">
        <v>0</v>
      </c>
    </row>
    <row r="74" spans="3:21" ht="18.5" x14ac:dyDescent="0.45">
      <c r="C74" s="306" t="str">
        <f>Addendum!E16</f>
        <v>January 2025</v>
      </c>
      <c r="D74" s="307">
        <v>12757.68</v>
      </c>
      <c r="E74" s="246">
        <v>14606.37</v>
      </c>
      <c r="F74" s="246">
        <v>26414.400000000001</v>
      </c>
      <c r="G74" s="246">
        <v>16524.37</v>
      </c>
      <c r="H74" s="246">
        <v>34907.51</v>
      </c>
      <c r="I74" s="308">
        <v>-2312.6799999999998</v>
      </c>
      <c r="J74" s="309">
        <f t="shared" si="25"/>
        <v>102897.65000000002</v>
      </c>
      <c r="K74" s="311">
        <v>38</v>
      </c>
      <c r="L74" s="307">
        <f>226.44+2.1+9.24</f>
        <v>237.78</v>
      </c>
      <c r="M74" s="246">
        <v>0</v>
      </c>
      <c r="N74" s="246">
        <v>0</v>
      </c>
      <c r="O74" s="246">
        <f>80+440</f>
        <v>520</v>
      </c>
      <c r="P74" s="246">
        <f>53.22</f>
        <v>53.22</v>
      </c>
      <c r="Q74" s="246">
        <v>0</v>
      </c>
      <c r="R74" s="246">
        <v>0</v>
      </c>
      <c r="S74" s="246">
        <v>0</v>
      </c>
      <c r="T74" s="246">
        <v>0</v>
      </c>
      <c r="U74" s="323">
        <v>0</v>
      </c>
    </row>
    <row r="75" spans="3:21" ht="18.5" x14ac:dyDescent="0.45">
      <c r="C75" s="306" t="str">
        <f>Addendum!E17</f>
        <v>February</v>
      </c>
      <c r="D75" s="307">
        <v>15823.58</v>
      </c>
      <c r="E75" s="246">
        <v>12188.7</v>
      </c>
      <c r="F75" s="246">
        <v>6976.86</v>
      </c>
      <c r="G75" s="246">
        <v>12090.08</v>
      </c>
      <c r="H75" s="246">
        <v>0</v>
      </c>
      <c r="I75" s="308">
        <v>-2373.54</v>
      </c>
      <c r="J75" s="309">
        <f t="shared" si="25"/>
        <v>44705.68</v>
      </c>
      <c r="K75" s="311">
        <v>39</v>
      </c>
      <c r="L75" s="307">
        <v>0</v>
      </c>
      <c r="M75" s="246">
        <v>0</v>
      </c>
      <c r="N75" s="246">
        <v>0</v>
      </c>
      <c r="O75" s="246">
        <f>20+330</f>
        <v>350</v>
      </c>
      <c r="P75" s="246">
        <v>0</v>
      </c>
      <c r="Q75" s="246">
        <f>7.25</f>
        <v>7.25</v>
      </c>
      <c r="R75" s="246">
        <v>0</v>
      </c>
      <c r="S75" s="246">
        <v>-4725</v>
      </c>
      <c r="T75" s="246">
        <v>0</v>
      </c>
      <c r="U75" s="323">
        <v>0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5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5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5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5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140587.22999999998</v>
      </c>
      <c r="E80" s="314">
        <f t="shared" ref="E80:J80" si="26">SUM(E68:E79)</f>
        <v>110183.14</v>
      </c>
      <c r="F80" s="314">
        <f t="shared" si="26"/>
        <v>115911.37999999999</v>
      </c>
      <c r="G80" s="314">
        <f t="shared" si="26"/>
        <v>145365.65999999997</v>
      </c>
      <c r="H80" s="314">
        <f t="shared" si="26"/>
        <v>86236.1</v>
      </c>
      <c r="I80" s="315">
        <f t="shared" si="26"/>
        <v>-18988.32</v>
      </c>
      <c r="J80" s="316">
        <f t="shared" si="26"/>
        <v>579295.19000000006</v>
      </c>
      <c r="K80" s="317">
        <f>SUM(K68:K79)</f>
        <v>312</v>
      </c>
      <c r="L80" s="313">
        <f>SUM(L68:L79)</f>
        <v>959.81000000000017</v>
      </c>
      <c r="M80" s="314">
        <f t="shared" ref="M80:U80" si="27">SUM(M68:M79)</f>
        <v>0</v>
      </c>
      <c r="N80" s="314">
        <f t="shared" si="27"/>
        <v>0</v>
      </c>
      <c r="O80" s="314">
        <f t="shared" si="27"/>
        <v>3120</v>
      </c>
      <c r="P80" s="314">
        <f t="shared" si="27"/>
        <v>108.82</v>
      </c>
      <c r="Q80" s="314">
        <f t="shared" si="27"/>
        <v>17.73</v>
      </c>
      <c r="R80" s="314">
        <f t="shared" si="27"/>
        <v>0</v>
      </c>
      <c r="S80" s="314">
        <f t="shared" si="27"/>
        <v>-4725</v>
      </c>
      <c r="T80" s="314">
        <f t="shared" si="27"/>
        <v>0</v>
      </c>
      <c r="U80" s="322">
        <f t="shared" si="27"/>
        <v>0</v>
      </c>
    </row>
  </sheetData>
  <mergeCells count="20"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D66:H66"/>
    <mergeCell ref="I66:I67"/>
    <mergeCell ref="J66:J67"/>
    <mergeCell ref="K66:K67"/>
    <mergeCell ref="L66:U66"/>
  </mergeCells>
  <conditionalFormatting sqref="D51:P51">
    <cfRule type="cellIs" dxfId="16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1841E-4ED7-45F0-8679-6838E60D25B5}">
  <sheetPr codeName="Sheet13">
    <tabColor theme="6" tint="0.39997558519241921"/>
    <pageSetUpPr fitToPage="1"/>
  </sheetPr>
  <dimension ref="B1:U80"/>
  <sheetViews>
    <sheetView view="pageBreakPreview" topLeftCell="A49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354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Entry'!$D$3:$D$500,MATCH(1,INDEX((Erie!$C$7='Cash Flow Entry'!$B$3:$B$500)*(VALUE(Erie!D$7)='Cash Flow Entry'!$C$3:$C$500),0,1),0)),"")</f>
        <v>37</v>
      </c>
      <c r="E8" s="256" cm="1">
        <f t="array" ref="E8">IFERROR(INDEX('Cash Flow Entry'!$D$3:$D$500,MATCH(1,INDEX((Erie!$C$7='Cash Flow Entry'!$B$3:$B$500)*(VALUE(Erie!E$7)='Cash Flow Entry'!$C$3:$C$500),0,1),0)),"")</f>
        <v>39</v>
      </c>
      <c r="F8" s="257" cm="1">
        <f t="array" ref="F8">IFERROR(INDEX('Cash Flow Entry'!$D$3:$D$500,MATCH(1,INDEX((Erie!$C$7='Cash Flow Entry'!$B$3:$B$500)*(VALUE(Erie!F$7)='Cash Flow Entry'!$C$3:$C$500),0,1),0)),"")</f>
        <v>44</v>
      </c>
      <c r="G8" s="255" cm="1">
        <f t="array" ref="G8">IFERROR(INDEX('Cash Flow Entry'!$D$3:$D$500,MATCH(1,INDEX((Erie!$C$7='Cash Flow Entry'!$B$3:$B$500)*(VALUE(Erie!G$7)='Cash Flow Entry'!$C$3:$C$500),0,1),0)),"")</f>
        <v>46</v>
      </c>
      <c r="H8" s="256" cm="1">
        <f t="array" ref="H8">IFERROR(INDEX('Cash Flow Entry'!$D$3:$D$500,MATCH(1,INDEX((Erie!$C$7='Cash Flow Entry'!$B$3:$B$500)*(VALUE(Erie!H$7)='Cash Flow Entry'!$C$3:$C$500),0,1),0)),"")</f>
        <v>45</v>
      </c>
      <c r="I8" s="257" cm="1">
        <f t="array" ref="I8">IFERROR(INDEX('Cash Flow Entry'!$D$3:$D$500,MATCH(1,INDEX((Erie!$C$7='Cash Flow Entry'!$B$3:$B$500)*(VALUE(Erie!I$7)='Cash Flow Entry'!$C$3:$C$500),0,1),0)),"")</f>
        <v>46</v>
      </c>
      <c r="J8" s="256" cm="1">
        <f t="array" ref="J8">IFERROR(INDEX('Cash Flow Entry'!$D$3:$D$500,MATCH(1,INDEX((Erie!$C$7='Cash Flow Entry'!$B$3:$B$500)*(VALUE(Erie!J$7)='Cash Flow Entry'!$C$3:$C$500),0,1),0)),"")</f>
        <v>46</v>
      </c>
      <c r="K8" s="256" cm="1">
        <f t="array" ref="K8">IFERROR(INDEX('Cash Flow Entry'!$D$3:$D$500,MATCH(1,INDEX((Erie!$C$7='Cash Flow Entry'!$B$3:$B$500)*(VALUE(Erie!K$7)='Cash Flow Entry'!$C$3:$C$500),0,1),0)),"")</f>
        <v>46</v>
      </c>
      <c r="L8" s="256" t="str" cm="1">
        <f t="array" ref="L8">IFERROR(INDEX('Cash Flow Entry'!$D$3:$D$500,MATCH(1,INDEX((Erie!$C$7='Cash Flow Entry'!$B$3:$B$500)*(VALUE(Erie!L$7)='Cash Flow Entry'!$C$3:$C$500),0,1),0)),"")</f>
        <v/>
      </c>
      <c r="M8" s="255" t="str" cm="1">
        <f t="array" ref="M8">IFERROR(INDEX('Cash Flow Entry'!$D$3:$D$500,MATCH(1,INDEX((Erie!$C$7='Cash Flow Entry'!$B$3:$B$500)*(VALUE(Erie!M$7)='Cash Flow Entry'!$C$3:$C$500),0,1),0)),"")</f>
        <v/>
      </c>
      <c r="N8" s="256" t="str" cm="1">
        <f t="array" ref="N8">IFERROR(INDEX('Cash Flow Entry'!$D$3:$D$500,MATCH(1,INDEX((Erie!$C$7='Cash Flow Entry'!$B$3:$B$500)*(VALUE(Erie!N$7)='Cash Flow Entry'!$C$3:$C$500),0,1),0)),"")</f>
        <v/>
      </c>
      <c r="O8" s="258" t="str" cm="1">
        <f t="array" ref="O8">IFERROR(INDEX('Cash Flow Entry'!$D$3:$D$500,MATCH(1,INDEX((Erie!$C$7='Cash Flow Entry'!$B$3:$B$500)*(VALUE(Erie!O$7)='Cash Flow Entry'!$C$3:$C$500),0,1),0)),"")</f>
        <v/>
      </c>
      <c r="P8" s="259">
        <f>SUM(D8:O8)</f>
        <v>349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Entry'!$E$3:$E$500,MATCH(1,INDEX((Erie!$C$7='Cash Flow Entry'!$B$3:$B$500)*(VALUE(Erie!D$7)='Cash Flow Entry'!$C$3:$C$500),0,1),0)),"")</f>
        <v>100</v>
      </c>
      <c r="E9" s="256" cm="1">
        <f t="array" ref="E9">IFERROR(INDEX('Cash Flow Entry'!$E$3:$E$500,MATCH(1,INDEX((Erie!$C$7='Cash Flow Entry'!$B$3:$B$500)*(VALUE(Erie!E$7)='Cash Flow Entry'!$C$3:$C$500),0,1),0)),"")</f>
        <v>104</v>
      </c>
      <c r="F9" s="257" cm="1">
        <f t="array" ref="F9">IFERROR(INDEX('Cash Flow Entry'!$E$3:$E$500,MATCH(1,INDEX((Erie!$C$7='Cash Flow Entry'!$B$3:$B$500)*(VALUE(Erie!F$7)='Cash Flow Entry'!$C$3:$C$500),0,1),0)),"")</f>
        <v>118</v>
      </c>
      <c r="G9" s="255" cm="1">
        <f t="array" ref="G9">IFERROR(INDEX('Cash Flow Entry'!$E$3:$E$500,MATCH(1,INDEX((Erie!$C$7='Cash Flow Entry'!$B$3:$B$500)*(VALUE(Erie!G$7)='Cash Flow Entry'!$C$3:$C$500),0,1),0)),"")</f>
        <v>123</v>
      </c>
      <c r="H9" s="256" cm="1">
        <f t="array" ref="H9">IFERROR(INDEX('Cash Flow Entry'!$E$3:$E$500,MATCH(1,INDEX((Erie!$C$7='Cash Flow Entry'!$B$3:$B$500)*(VALUE(Erie!H$7)='Cash Flow Entry'!$C$3:$C$500),0,1),0)),"")</f>
        <v>120</v>
      </c>
      <c r="I9" s="257" cm="1">
        <f t="array" ref="I9">IFERROR(INDEX('Cash Flow Entry'!$E$3:$E$500,MATCH(1,INDEX((Erie!$C$7='Cash Flow Entry'!$B$3:$B$500)*(VALUE(Erie!I$7)='Cash Flow Entry'!$C$3:$C$500),0,1),0)),"")</f>
        <v>124</v>
      </c>
      <c r="J9" s="256" cm="1">
        <f t="array" ref="J9">IFERROR(INDEX('Cash Flow Entry'!$E$3:$E$500,MATCH(1,INDEX((Erie!$C$7='Cash Flow Entry'!$B$3:$B$500)*(VALUE(Erie!J$7)='Cash Flow Entry'!$C$3:$C$500),0,1),0)),"")</f>
        <v>125</v>
      </c>
      <c r="K9" s="256" cm="1">
        <f t="array" ref="K9">IFERROR(INDEX('Cash Flow Entry'!$E$3:$E$500,MATCH(1,INDEX((Erie!$C$7='Cash Flow Entry'!$B$3:$B$500)*(VALUE(Erie!K$7)='Cash Flow Entry'!$C$3:$C$500),0,1),0)),"")</f>
        <v>125</v>
      </c>
      <c r="L9" s="256" t="str" cm="1">
        <f t="array" ref="L9">IFERROR(INDEX('Cash Flow Entry'!$E$3:$E$500,MATCH(1,INDEX((Erie!$C$7='Cash Flow Entry'!$B$3:$B$500)*(VALUE(Erie!L$7)='Cash Flow Entry'!$C$3:$C$500),0,1),0)),"")</f>
        <v/>
      </c>
      <c r="M9" s="255" t="str" cm="1">
        <f t="array" ref="M9">IFERROR(INDEX('Cash Flow Entry'!$E$3:$E$500,MATCH(1,INDEX((Erie!$C$7='Cash Flow Entry'!$B$3:$B$500)*(VALUE(Erie!M$7)='Cash Flow Entry'!$C$3:$C$500),0,1),0)),"")</f>
        <v/>
      </c>
      <c r="N9" s="256" t="str" cm="1">
        <f t="array" ref="N9">IFERROR(INDEX('Cash Flow Entry'!$E$3:$E$500,MATCH(1,INDEX((Erie!$C$7='Cash Flow Entry'!$B$3:$B$500)*(VALUE(Erie!N$7)='Cash Flow Entry'!$C$3:$C$500),0,1),0)),"")</f>
        <v/>
      </c>
      <c r="O9" s="258" t="str" cm="1">
        <f t="array" ref="O9">IFERROR(INDEX('Cash Flow Entry'!$E$3:$E$500,MATCH(1,INDEX((Erie!$C$7='Cash Flow Entry'!$B$3:$B$500)*(VALUE(Erie!O$7)='Cash Flow Entry'!$C$3:$C$500),0,1),0)),"")</f>
        <v/>
      </c>
      <c r="P9" s="259">
        <f>SUM(D9:O9)</f>
        <v>939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$1,893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$1,897.22</v>
      </c>
      <c r="N10" s="645"/>
      <c r="O10" s="647"/>
      <c r="P10" s="265">
        <f>P14</f>
        <v>662130.5</v>
      </c>
      <c r="Q10" s="534">
        <v>1892.98</v>
      </c>
      <c r="R10" s="305">
        <f>Q10*P8</f>
        <v>660650.02</v>
      </c>
      <c r="S10" s="305"/>
    </row>
    <row r="11" spans="2:20" ht="18.5" x14ac:dyDescent="0.45">
      <c r="B11" s="213" t="s">
        <v>191</v>
      </c>
      <c r="C11" s="267" t="s">
        <v>194</v>
      </c>
      <c r="D11" s="268">
        <v>75275.789999999994</v>
      </c>
      <c r="E11" s="234">
        <v>73440.710000000006</v>
      </c>
      <c r="F11" s="234">
        <v>80781.03</v>
      </c>
      <c r="G11" s="268">
        <v>85221.61</v>
      </c>
      <c r="H11" s="234">
        <v>85221.61</v>
      </c>
      <c r="I11" s="269">
        <v>87114.59</v>
      </c>
      <c r="J11" s="234">
        <v>87114.59</v>
      </c>
      <c r="K11" s="234">
        <v>89007.57</v>
      </c>
      <c r="L11" s="234"/>
      <c r="M11" s="268"/>
      <c r="N11" s="234"/>
      <c r="O11" s="270"/>
      <c r="P11" s="234">
        <f>SUM(D11:O11)</f>
        <v>663177.5</v>
      </c>
      <c r="Q11" s="302"/>
    </row>
    <row r="12" spans="2:20" ht="18.5" x14ac:dyDescent="0.45">
      <c r="C12" s="267" t="s">
        <v>195</v>
      </c>
      <c r="D12" s="268">
        <f>IF(D$8="","",IF(D$11=0,0,D$8*$Q12))</f>
        <v>-111</v>
      </c>
      <c r="E12" s="234">
        <f>IF(E$8="","",IF(E$11=0,0,E$8*$Q12))</f>
        <v>-117</v>
      </c>
      <c r="F12" s="269">
        <f t="shared" ref="F12:O12" si="0">IF(F$8="","",IF(F$11=0,0,F$8*$Q12))</f>
        <v>-132</v>
      </c>
      <c r="G12" s="268">
        <f t="shared" si="0"/>
        <v>-138</v>
      </c>
      <c r="H12" s="234">
        <f t="shared" si="0"/>
        <v>-135</v>
      </c>
      <c r="I12" s="269">
        <f t="shared" si="0"/>
        <v>-138</v>
      </c>
      <c r="J12" s="234">
        <f t="shared" si="0"/>
        <v>-138</v>
      </c>
      <c r="K12" s="234">
        <f t="shared" si="0"/>
        <v>-138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-1047</v>
      </c>
      <c r="Q12" s="533">
        <v>-3</v>
      </c>
    </row>
    <row r="13" spans="2:20" ht="18.5" x14ac:dyDescent="0.45">
      <c r="B13" s="213" t="s">
        <v>191</v>
      </c>
      <c r="C13" s="267" t="s">
        <v>196</v>
      </c>
      <c r="D13" s="458">
        <f t="shared" ref="D13:O13" si="2">IF(D$8="","",0)</f>
        <v>0</v>
      </c>
      <c r="E13" s="457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75164.789999999994</v>
      </c>
      <c r="E14" s="274">
        <f t="shared" ref="E14:O14" si="3">IF(E8="","",SUM(E11:E13))</f>
        <v>73323.710000000006</v>
      </c>
      <c r="F14" s="275">
        <f t="shared" si="3"/>
        <v>80649.03</v>
      </c>
      <c r="G14" s="273">
        <f t="shared" si="3"/>
        <v>85083.61</v>
      </c>
      <c r="H14" s="274">
        <f t="shared" si="3"/>
        <v>85086.61</v>
      </c>
      <c r="I14" s="275">
        <f t="shared" si="3"/>
        <v>86976.59</v>
      </c>
      <c r="J14" s="274">
        <f t="shared" si="3"/>
        <v>86976.59</v>
      </c>
      <c r="K14" s="274">
        <f t="shared" si="3"/>
        <v>88869.57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662130.5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$1,437</v>
      </c>
      <c r="E16" s="645"/>
      <c r="F16" s="646"/>
      <c r="G16" s="644" t="str">
        <f>"Admin, Reinsurance, &amp; Misc. PEPM: "&amp;DOLLAR(SUM($P36,$P42,$P49)/$P$8,0)</f>
        <v>Admin, Reinsurance, &amp; Misc. PEPM: $758</v>
      </c>
      <c r="H16" s="645"/>
      <c r="I16" s="646"/>
      <c r="J16" s="644" t="str">
        <f>"Total Expenses PEPM: "&amp;DOLLAR($P16/$P$8,0)</f>
        <v>Total Expenses PEPM: $2,195</v>
      </c>
      <c r="K16" s="645"/>
      <c r="L16" s="646"/>
      <c r="M16" s="644" t="str">
        <f>"Projection Variance: "&amp;TEXT(($P$16/$P$8)/$Q$10-1,"0.00%")</f>
        <v>Projection Variance: 15.98%</v>
      </c>
      <c r="N16" s="645"/>
      <c r="O16" s="647"/>
      <c r="P16" s="265">
        <f>SUM(P26,P36,P42,P49)</f>
        <v>766199.4505263156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Entry'!$F$3:$F$500,MATCH(1,INDEX((Erie!$C$7='Cash Flow Entry'!$B$3:$B$500)*(VALUE(Erie!D$7)='Cash Flow Entry'!$C$3:$C$500),0,1),0)),"")+IFERROR(INDEX('Cash Flow Entry'!$H$3:$H$500,MATCH(1,INDEX((Erie!$C$7='Cash Flow Entry'!$B$3:$B$500)*(VALUE(Erie!D$7)='Cash Flow Entry'!$C$3:$C$500),0,1),0)),""),"")</f>
        <v>34605.72</v>
      </c>
      <c r="E18" s="234" cm="1">
        <f t="array" ref="E18">IFERROR(IFERROR(INDEX('Cash Flow Entry'!$F$3:$F$500,MATCH(1,INDEX((Erie!$C$7='Cash Flow Entry'!$B$3:$B$500)*(VALUE(Erie!E$7)='Cash Flow Entry'!$C$3:$C$500),0,1),0)),"")+IFERROR(INDEX('Cash Flow Entry'!$H$3:$H$500,MATCH(1,INDEX((Erie!$C$7='Cash Flow Entry'!$B$3:$B$500)*(VALUE(Erie!E$7)='Cash Flow Entry'!$C$3:$C$500),0,1),0)),""),"")</f>
        <v>26512.46</v>
      </c>
      <c r="F18" s="269" cm="1">
        <f t="array" ref="F18">IFERROR(IFERROR(INDEX('Cash Flow Entry'!$F$3:$F$500,MATCH(1,INDEX((Erie!$C$7='Cash Flow Entry'!$B$3:$B$500)*(VALUE(Erie!F$7)='Cash Flow Entry'!$C$3:$C$500),0,1),0)),"")+IFERROR(INDEX('Cash Flow Entry'!$H$3:$H$500,MATCH(1,INDEX((Erie!$C$7='Cash Flow Entry'!$B$3:$B$500)*(VALUE(Erie!F$7)='Cash Flow Entry'!$C$3:$C$500),0,1),0)),""),"")</f>
        <v>59865.99</v>
      </c>
      <c r="G18" s="268" cm="1">
        <f t="array" ref="G18">IFERROR(IFERROR(INDEX('Cash Flow Entry'!$F$3:$F$500,MATCH(1,INDEX((Erie!$C$7='Cash Flow Entry'!$B$3:$B$500)*(VALUE(Erie!G$7)='Cash Flow Entry'!$C$3:$C$500),0,1),0)),"")+IFERROR(INDEX('Cash Flow Entry'!$H$3:$H$500,MATCH(1,INDEX((Erie!$C$7='Cash Flow Entry'!$B$3:$B$500)*(VALUE(Erie!G$7)='Cash Flow Entry'!$C$3:$C$500),0,1),0)),""),"")</f>
        <v>39789.199999999997</v>
      </c>
      <c r="H18" s="234" cm="1">
        <f t="array" ref="H18">IFERROR(IFERROR(INDEX('Cash Flow Entry'!$F$3:$F$500,MATCH(1,INDEX((Erie!$C$7='Cash Flow Entry'!$B$3:$B$500)*(VALUE(Erie!H$7)='Cash Flow Entry'!$C$3:$C$500),0,1),0)),"")+IFERROR(INDEX('Cash Flow Entry'!$H$3:$H$500,MATCH(1,INDEX((Erie!$C$7='Cash Flow Entry'!$B$3:$B$500)*(VALUE(Erie!H$7)='Cash Flow Entry'!$C$3:$C$500),0,1),0)),""),"")</f>
        <v>48564.509999999995</v>
      </c>
      <c r="I18" s="269" cm="1">
        <f t="array" ref="I18">IFERROR(IFERROR(INDEX('Cash Flow Entry'!$F$3:$F$500,MATCH(1,INDEX((Erie!$C$7='Cash Flow Entry'!$B$3:$B$500)*(VALUE(Erie!I$7)='Cash Flow Entry'!$C$3:$C$500),0,1),0)),"")+IFERROR(INDEX('Cash Flow Entry'!$H$3:$H$500,MATCH(1,INDEX((Erie!$C$7='Cash Flow Entry'!$B$3:$B$500)*(VALUE(Erie!I$7)='Cash Flow Entry'!$C$3:$C$500),0,1),0)),""),"")</f>
        <v>22675.51</v>
      </c>
      <c r="J18" s="234" cm="1">
        <f t="array" ref="J18">IFERROR(IFERROR(INDEX('Cash Flow Entry'!$F$3:$F$500,MATCH(1,INDEX((Erie!$C$7='Cash Flow Entry'!$B$3:$B$500)*(VALUE(Erie!J$7)='Cash Flow Entry'!$C$3:$C$500),0,1),0)),"")+IFERROR(INDEX('Cash Flow Entry'!$H$3:$H$500,MATCH(1,INDEX((Erie!$C$7='Cash Flow Entry'!$B$3:$B$500)*(VALUE(Erie!J$7)='Cash Flow Entry'!$C$3:$C$500),0,1),0)),""),"")</f>
        <v>72426.600000000006</v>
      </c>
      <c r="K18" s="234" cm="1">
        <f t="array" ref="K18">IFERROR(IFERROR(INDEX('Cash Flow Entry'!$F$3:$F$500,MATCH(1,INDEX((Erie!$C$7='Cash Flow Entry'!$B$3:$B$500)*(VALUE(Erie!K$7)='Cash Flow Entry'!$C$3:$C$500),0,1),0)),"")+IFERROR(INDEX('Cash Flow Entry'!$H$3:$H$500,MATCH(1,INDEX((Erie!$C$7='Cash Flow Entry'!$B$3:$B$500)*(VALUE(Erie!K$7)='Cash Flow Entry'!$C$3:$C$500),0,1),0)),""),"")</f>
        <v>58191.61</v>
      </c>
      <c r="L18" s="234" t="str" cm="1">
        <f t="array" ref="L18">IFERROR(IFERROR(INDEX('Cash Flow Entry'!$F$3:$F$500,MATCH(1,INDEX((Erie!$C$7='Cash Flow Entry'!$B$3:$B$500)*(VALUE(Erie!L$7)='Cash Flow Entry'!$C$3:$C$500),0,1),0)),"")+IFERROR(INDEX('Cash Flow Entry'!$H$3:$H$500,MATCH(1,INDEX((Erie!$C$7='Cash Flow Entry'!$B$3:$B$500)*(VALUE(Erie!L$7)='Cash Flow Entry'!$C$3:$C$500),0,1),0)),""),"")</f>
        <v/>
      </c>
      <c r="M18" s="268" t="str" cm="1">
        <f t="array" ref="M18">IFERROR(IFERROR(INDEX('Cash Flow Entry'!$F$3:$F$500,MATCH(1,INDEX((Erie!$C$7='Cash Flow Entry'!$B$3:$B$500)*(VALUE(Erie!M$7)='Cash Flow Entry'!$C$3:$C$500),0,1),0)),"")+IFERROR(INDEX('Cash Flow Entry'!$H$3:$H$500,MATCH(1,INDEX((Erie!$C$7='Cash Flow Entry'!$B$3:$B$500)*(VALUE(Erie!M$7)='Cash Flow Entry'!$C$3:$C$500),0,1),0)),""),"")</f>
        <v/>
      </c>
      <c r="N18" s="234" t="str" cm="1">
        <f t="array" ref="N18">IFERROR(IFERROR(INDEX('Cash Flow Entry'!$F$3:$F$500,MATCH(1,INDEX((Erie!$C$7='Cash Flow Entry'!$B$3:$B$500)*(VALUE(Erie!N$7)='Cash Flow Entry'!$C$3:$C$500),0,1),0)),"")+IFERROR(INDEX('Cash Flow Entry'!$H$3:$H$500,MATCH(1,INDEX((Erie!$C$7='Cash Flow Entry'!$B$3:$B$500)*(VALUE(Erie!N$7)='Cash Flow Entry'!$C$3:$C$500),0,1),0)),""),"")</f>
        <v/>
      </c>
      <c r="O18" s="270" t="str" cm="1">
        <f t="array" ref="O18">IFERROR(IFERROR(INDEX('Cash Flow Entry'!$F$3:$F$500,MATCH(1,INDEX((Erie!$C$7='Cash Flow Entry'!$B$3:$B$500)*(VALUE(Erie!O$7)='Cash Flow Entry'!$C$3:$C$500),0,1),0)),"")+IFERROR(INDEX('Cash Flow Entry'!$H$3:$H$500,MATCH(1,INDEX((Erie!$C$7='Cash Flow Entry'!$B$3:$B$500)*(VALUE(Erie!O$7)='Cash Flow Entry'!$C$3:$C$500),0,1),0)),""),"")</f>
        <v/>
      </c>
      <c r="P18" s="234">
        <f>SUM(D18:O18)</f>
        <v>362631.6</v>
      </c>
      <c r="Q18" s="533">
        <v>828.8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Entry'!$G$3:$G$500,MATCH(1,INDEX((Erie!$C$7='Cash Flow Entry'!$B$3:$B$500)*(VALUE(Erie!D$7)='Cash Flow Entry'!$C$3:$C$500),0,1),0)),"")</f>
        <v>40074.99</v>
      </c>
      <c r="E19" s="234" cm="1">
        <f t="array" ref="E19">IFERROR(INDEX('Cash Flow Entry'!$G$3:$G$500,MATCH(1,INDEX((Erie!$C$7='Cash Flow Entry'!$B$3:$B$500)*(VALUE(Erie!E$7)='Cash Flow Entry'!$C$3:$C$500),0,1),0)),"")</f>
        <v>23910.98</v>
      </c>
      <c r="F19" s="269" cm="1">
        <f t="array" ref="F19">IFERROR(INDEX('Cash Flow Entry'!$G$3:$G$500,MATCH(1,INDEX((Erie!$C$7='Cash Flow Entry'!$B$3:$B$500)*(VALUE(Erie!F$7)='Cash Flow Entry'!$C$3:$C$500),0,1),0)),"")</f>
        <v>42848.27</v>
      </c>
      <c r="G19" s="268" cm="1">
        <f t="array" ref="G19">IFERROR(INDEX('Cash Flow Entry'!$G$3:$G$500,MATCH(1,INDEX((Erie!$C$7='Cash Flow Entry'!$B$3:$B$500)*(VALUE(Erie!G$7)='Cash Flow Entry'!$C$3:$C$500),0,1),0)),"")</f>
        <v>45124.37</v>
      </c>
      <c r="H19" s="234" cm="1">
        <f t="array" ref="H19">IFERROR(INDEX('Cash Flow Entry'!$G$3:$G$500,MATCH(1,INDEX((Erie!$C$7='Cash Flow Entry'!$B$3:$B$500)*(VALUE(Erie!H$7)='Cash Flow Entry'!$C$3:$C$500),0,1),0)),"")</f>
        <v>71213.61</v>
      </c>
      <c r="I19" s="269" cm="1">
        <f t="array" ref="I19">IFERROR(INDEX('Cash Flow Entry'!$G$3:$G$500,MATCH(1,INDEX((Erie!$C$7='Cash Flow Entry'!$B$3:$B$500)*(VALUE(Erie!I$7)='Cash Flow Entry'!$C$3:$C$500),0,1),0)),"")</f>
        <v>35261.58</v>
      </c>
      <c r="J19" s="234" cm="1">
        <f t="array" ref="J19">IFERROR(INDEX('Cash Flow Entry'!$G$3:$G$500,MATCH(1,INDEX((Erie!$C$7='Cash Flow Entry'!$B$3:$B$500)*(VALUE(Erie!J$7)='Cash Flow Entry'!$C$3:$C$500),0,1),0)),"")</f>
        <v>27032.16</v>
      </c>
      <c r="K19" s="234" cm="1">
        <f t="array" ref="K19">IFERROR(INDEX('Cash Flow Entry'!$G$3:$G$500,MATCH(1,INDEX((Erie!$C$7='Cash Flow Entry'!$B$3:$B$500)*(VALUE(Erie!K$7)='Cash Flow Entry'!$C$3:$C$500),0,1),0)),"")</f>
        <v>44955.47</v>
      </c>
      <c r="L19" s="234" t="str" cm="1">
        <f t="array" ref="L19">IFERROR(INDEX('Cash Flow Entry'!$G$3:$G$500,MATCH(1,INDEX((Erie!$C$7='Cash Flow Entry'!$B$3:$B$500)*(VALUE(Erie!L$7)='Cash Flow Entry'!$C$3:$C$500),0,1),0)),"")</f>
        <v/>
      </c>
      <c r="M19" s="268" t="str" cm="1">
        <f t="array" ref="M19">IFERROR(INDEX('Cash Flow Entry'!$G$3:$G$500,MATCH(1,INDEX((Erie!$C$7='Cash Flow Entry'!$B$3:$B$500)*(VALUE(Erie!M$7)='Cash Flow Entry'!$C$3:$C$500),0,1),0)),"")</f>
        <v/>
      </c>
      <c r="N19" s="234" t="str" cm="1">
        <f t="array" ref="N19">IFERROR(INDEX('Cash Flow Entry'!$G$3:$G$500,MATCH(1,INDEX((Erie!$C$7='Cash Flow Entry'!$B$3:$B$500)*(VALUE(Erie!N$7)='Cash Flow Entry'!$C$3:$C$500),0,1),0)),"")</f>
        <v/>
      </c>
      <c r="O19" s="270" t="str" cm="1">
        <f t="array" ref="O19">IFERROR(INDEX('Cash Flow Entry'!$G$3:$G$500,MATCH(1,INDEX((Erie!$C$7='Cash Flow Entry'!$B$3:$B$500)*(VALUE(Erie!O$7)='Cash Flow Entry'!$C$3:$C$500),0,1),0)),"")</f>
        <v/>
      </c>
      <c r="P19" s="234">
        <f>SUM(D19:O19)</f>
        <v>330421.42999999993</v>
      </c>
      <c r="Q19" s="533">
        <v>239.67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ht="18.5" x14ac:dyDescent="0.45">
      <c r="B21" s="219">
        <f>INDEX('HCC Summary'!$I$9:$I$27,MATCH(Erie!C7,'HCC Summary'!B9:B27, 0))</f>
        <v>110956.54000000001</v>
      </c>
      <c r="C21" s="282" t="s">
        <v>225</v>
      </c>
      <c r="D21" s="283">
        <v>0</v>
      </c>
      <c r="E21" s="284">
        <v>0</v>
      </c>
      <c r="F21" s="285">
        <v>4509.04</v>
      </c>
      <c r="G21" s="283">
        <v>4567.09</v>
      </c>
      <c r="H21" s="284">
        <v>36848.11</v>
      </c>
      <c r="I21" s="285">
        <v>67457.55</v>
      </c>
      <c r="J21" s="284">
        <v>72597.820000000007</v>
      </c>
      <c r="K21" s="284">
        <v>110956.54</v>
      </c>
      <c r="L21" s="284"/>
      <c r="M21" s="283"/>
      <c r="N21" s="284"/>
      <c r="O21" s="286"/>
      <c r="P21" s="641">
        <f>SUM(D22:O22)</f>
        <v>-110956.54</v>
      </c>
      <c r="Q21" s="533"/>
    </row>
    <row r="22" spans="2:17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0</v>
      </c>
      <c r="F22" s="269">
        <f t="shared" si="5"/>
        <v>-4509.04</v>
      </c>
      <c r="G22" s="268">
        <f t="shared" si="5"/>
        <v>-58.050000000000182</v>
      </c>
      <c r="H22" s="234">
        <f t="shared" si="5"/>
        <v>-32281.02</v>
      </c>
      <c r="I22" s="269">
        <f t="shared" si="5"/>
        <v>-30609.440000000002</v>
      </c>
      <c r="J22" s="234">
        <f t="shared" si="5"/>
        <v>-5140.2700000000041</v>
      </c>
      <c r="K22" s="234">
        <f t="shared" si="5"/>
        <v>-38358.719999999987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7" ht="18.5" x14ac:dyDescent="0.45">
      <c r="C23" s="267" t="s">
        <v>363</v>
      </c>
      <c r="D23" s="268">
        <f>IF(D$8="","",$U68)</f>
        <v>0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0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0</v>
      </c>
      <c r="Q23" s="533"/>
    </row>
    <row r="24" spans="2:17" ht="18.5" x14ac:dyDescent="0.45">
      <c r="C24" s="267" t="s">
        <v>25</v>
      </c>
      <c r="D24" s="268">
        <f>IF(D$8="","",D$8*$Q$24+T68)</f>
        <v>-8681.85</v>
      </c>
      <c r="E24" s="234">
        <f>IF(E$8="","",E$8*$Q$24+T69)</f>
        <v>-7804.5</v>
      </c>
      <c r="F24" s="269">
        <f>IF(F$8="","",F$8*$Q$24+T70)</f>
        <v>-10715.83</v>
      </c>
      <c r="G24" s="268">
        <f>IF(G$8="","",G$8*$Q$24+T71)</f>
        <v>-27717.14</v>
      </c>
      <c r="H24" s="234">
        <f>IF(H$8="","",H$8*$Q$24+T72)</f>
        <v>-7101.91</v>
      </c>
      <c r="I24" s="269">
        <f>IF(I$8="","",I$8*$Q$24+T73)</f>
        <v>-5668.83</v>
      </c>
      <c r="J24" s="234">
        <f>IF(J$8="","",J$8*$Q$24+T74)</f>
        <v>-5050.0200000000004</v>
      </c>
      <c r="K24" s="234">
        <f>IF(K$8="","",K$8*$Q$24+T75)</f>
        <v>-5060</v>
      </c>
      <c r="L24" s="234" t="str">
        <f>IF(L$8="","",L$8*$Q$24+T76)</f>
        <v/>
      </c>
      <c r="M24" s="268" t="str">
        <f>IF(M$8="","",M$8*$Q$24+T77)</f>
        <v/>
      </c>
      <c r="N24" s="234" t="str">
        <f>IF(N$8="","",N$8*$Q$24+T78)</f>
        <v/>
      </c>
      <c r="O24" s="270" t="str">
        <f>IF(O$8="","",O$8*$Q$24+T79)</f>
        <v/>
      </c>
      <c r="P24" s="234">
        <f t="shared" si="6"/>
        <v>-77800.08</v>
      </c>
      <c r="Q24" s="533">
        <v>-110</v>
      </c>
    </row>
    <row r="25" spans="2:17" ht="18.5" x14ac:dyDescent="0.45">
      <c r="B25" s="213"/>
      <c r="C25" s="267" t="s">
        <v>199</v>
      </c>
      <c r="D25" s="268">
        <f>IF(D$8="","",SUM($L68:$R68))</f>
        <v>3.78</v>
      </c>
      <c r="E25" s="234">
        <f>IF(E$8="","",SUM($L69:$R69))</f>
        <v>65.88</v>
      </c>
      <c r="F25" s="269">
        <f>IF(F$8="","",SUM($L70:$R70))</f>
        <v>335.16999999999996</v>
      </c>
      <c r="G25" s="268">
        <f>IF(G$8="","",SUM($L71:$R71))</f>
        <v>292.26</v>
      </c>
      <c r="H25" s="234">
        <f>IF(H$8="","",SUM($L72:$R72))</f>
        <v>690.62</v>
      </c>
      <c r="I25" s="269">
        <f>IF(I$8="","",SUM($L73:$R73))</f>
        <v>307.03999999999996</v>
      </c>
      <c r="J25" s="234">
        <f>IF(J$8="","",SUM($L74:$R74))</f>
        <v>798.67000000000007</v>
      </c>
      <c r="K25" s="234">
        <f>IF(K$8="","",SUM($L75:$S75))</f>
        <v>-5150.6000000000004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-2657.1800000000003</v>
      </c>
      <c r="Q25" s="533"/>
    </row>
    <row r="26" spans="2:17" ht="18.5" x14ac:dyDescent="0.45">
      <c r="C26" s="272" t="s">
        <v>200</v>
      </c>
      <c r="D26" s="273">
        <f>IF(D8="","",SUM(D18:D20,D22:D25))</f>
        <v>66002.639999999985</v>
      </c>
      <c r="E26" s="274">
        <f t="shared" ref="E26:L26" si="7">IF(E8="","",SUM(E18:E20,E22:E25))</f>
        <v>42684.82</v>
      </c>
      <c r="F26" s="275">
        <f t="shared" si="7"/>
        <v>87824.56</v>
      </c>
      <c r="G26" s="273">
        <f t="shared" si="7"/>
        <v>57430.640000000007</v>
      </c>
      <c r="H26" s="274">
        <f t="shared" si="7"/>
        <v>81085.809999999983</v>
      </c>
      <c r="I26" s="275">
        <f t="shared" si="7"/>
        <v>21965.859999999993</v>
      </c>
      <c r="J26" s="273">
        <f t="shared" si="7"/>
        <v>90067.14</v>
      </c>
      <c r="K26" s="274">
        <f t="shared" si="7"/>
        <v>54577.760000000017</v>
      </c>
      <c r="L26" s="275" t="str">
        <f t="shared" si="7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8">IF(O8="","",SUM(O18:O19,O22:O25))</f>
        <v/>
      </c>
      <c r="P26" s="274">
        <f>SUM(P18:P25)</f>
        <v>501639.22999999986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ht="18.5" x14ac:dyDescent="0.45">
      <c r="C28" s="267" t="s">
        <v>223</v>
      </c>
      <c r="D28" s="268">
        <f>IF(D$8="","",D$8*$Q28)</f>
        <v>1485.18</v>
      </c>
      <c r="E28" s="234">
        <f t="shared" ref="E28:O35" si="9">IF(E$8="","",E$8*$Q28)</f>
        <v>1565.46</v>
      </c>
      <c r="F28" s="269">
        <f t="shared" si="9"/>
        <v>1766.16</v>
      </c>
      <c r="G28" s="268">
        <f t="shared" si="9"/>
        <v>1846.44</v>
      </c>
      <c r="H28" s="234">
        <f t="shared" si="9"/>
        <v>1806.3</v>
      </c>
      <c r="I28" s="269">
        <f t="shared" si="9"/>
        <v>1846.44</v>
      </c>
      <c r="J28" s="234">
        <f t="shared" si="9"/>
        <v>1846.44</v>
      </c>
      <c r="K28" s="234">
        <f t="shared" si="9"/>
        <v>1846.44</v>
      </c>
      <c r="L28" s="234" t="str">
        <f t="shared" si="9"/>
        <v/>
      </c>
      <c r="M28" s="268" t="str">
        <f t="shared" si="9"/>
        <v/>
      </c>
      <c r="N28" s="234" t="str">
        <f t="shared" si="9"/>
        <v/>
      </c>
      <c r="O28" s="270" t="str">
        <f t="shared" si="9"/>
        <v/>
      </c>
      <c r="P28" s="234">
        <f>SUM(D28:O28)</f>
        <v>14008.86</v>
      </c>
      <c r="Q28" s="533">
        <v>40.14</v>
      </c>
    </row>
    <row r="29" spans="2:17" ht="18.5" x14ac:dyDescent="0.45">
      <c r="C29" s="267" t="s">
        <v>224</v>
      </c>
      <c r="D29" s="268">
        <f t="shared" ref="D29:O35" si="10">IF(D$8="","",D$8*$Q29)</f>
        <v>148</v>
      </c>
      <c r="E29" s="234">
        <f t="shared" si="9"/>
        <v>156</v>
      </c>
      <c r="F29" s="269">
        <f t="shared" si="9"/>
        <v>176</v>
      </c>
      <c r="G29" s="268">
        <f t="shared" si="9"/>
        <v>184</v>
      </c>
      <c r="H29" s="234">
        <f t="shared" si="9"/>
        <v>180</v>
      </c>
      <c r="I29" s="269">
        <f t="shared" si="9"/>
        <v>184</v>
      </c>
      <c r="J29" s="234">
        <f t="shared" si="9"/>
        <v>184</v>
      </c>
      <c r="K29" s="234">
        <f t="shared" si="9"/>
        <v>184</v>
      </c>
      <c r="L29" s="234" t="str">
        <f t="shared" si="9"/>
        <v/>
      </c>
      <c r="M29" s="268" t="str">
        <f t="shared" si="9"/>
        <v/>
      </c>
      <c r="N29" s="234" t="str">
        <f t="shared" si="9"/>
        <v/>
      </c>
      <c r="O29" s="270" t="str">
        <f t="shared" si="9"/>
        <v/>
      </c>
      <c r="P29" s="234">
        <f t="shared" ref="P29:P35" si="11">SUM(D29:O29)</f>
        <v>1396</v>
      </c>
      <c r="Q29" s="533">
        <v>4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9"/>
        <v>0</v>
      </c>
      <c r="F30" s="234">
        <f t="shared" si="9"/>
        <v>0</v>
      </c>
      <c r="G30" s="268">
        <f t="shared" si="9"/>
        <v>0</v>
      </c>
      <c r="H30" s="234">
        <f t="shared" si="9"/>
        <v>0</v>
      </c>
      <c r="I30" s="234">
        <f t="shared" si="9"/>
        <v>0</v>
      </c>
      <c r="J30" s="268">
        <f t="shared" si="9"/>
        <v>0</v>
      </c>
      <c r="K30" s="234">
        <f t="shared" si="9"/>
        <v>0</v>
      </c>
      <c r="L30" s="234" t="str">
        <f t="shared" si="9"/>
        <v/>
      </c>
      <c r="M30" s="268" t="str">
        <f t="shared" si="9"/>
        <v/>
      </c>
      <c r="N30" s="234" t="str">
        <f t="shared" si="9"/>
        <v/>
      </c>
      <c r="O30" s="270" t="str">
        <f t="shared" si="9"/>
        <v/>
      </c>
      <c r="P30" s="234">
        <f t="shared" si="11"/>
        <v>0</v>
      </c>
      <c r="Q30" s="533">
        <v>0</v>
      </c>
    </row>
    <row r="31" spans="2:17" ht="18.5" x14ac:dyDescent="0.45">
      <c r="C31" s="267" t="s">
        <v>325</v>
      </c>
      <c r="D31" s="268">
        <f t="shared" si="10"/>
        <v>0</v>
      </c>
      <c r="E31" s="234">
        <f t="shared" si="10"/>
        <v>0</v>
      </c>
      <c r="F31" s="234">
        <f t="shared" si="10"/>
        <v>0</v>
      </c>
      <c r="G31" s="268">
        <f t="shared" si="10"/>
        <v>0</v>
      </c>
      <c r="H31" s="234">
        <f t="shared" si="10"/>
        <v>0</v>
      </c>
      <c r="I31" s="234">
        <f t="shared" si="10"/>
        <v>0</v>
      </c>
      <c r="J31" s="268">
        <f t="shared" si="10"/>
        <v>0</v>
      </c>
      <c r="K31" s="234">
        <f t="shared" si="10"/>
        <v>0</v>
      </c>
      <c r="L31" s="234" t="str">
        <f t="shared" si="10"/>
        <v/>
      </c>
      <c r="M31" s="268" t="str">
        <f t="shared" si="10"/>
        <v/>
      </c>
      <c r="N31" s="234" t="str">
        <f t="shared" si="10"/>
        <v/>
      </c>
      <c r="O31" s="270" t="str">
        <f t="shared" si="10"/>
        <v/>
      </c>
      <c r="P31" s="234">
        <f t="shared" si="11"/>
        <v>0</v>
      </c>
      <c r="Q31" s="533">
        <v>0</v>
      </c>
    </row>
    <row r="32" spans="2:17" ht="18.5" x14ac:dyDescent="0.45">
      <c r="C32" s="267" t="s">
        <v>247</v>
      </c>
      <c r="D32" s="268">
        <f t="shared" si="10"/>
        <v>0</v>
      </c>
      <c r="E32" s="234">
        <f t="shared" si="10"/>
        <v>0</v>
      </c>
      <c r="F32" s="269">
        <f t="shared" si="10"/>
        <v>0</v>
      </c>
      <c r="G32" s="268">
        <f t="shared" si="10"/>
        <v>0</v>
      </c>
      <c r="H32" s="234">
        <f t="shared" si="10"/>
        <v>0</v>
      </c>
      <c r="I32" s="269">
        <f t="shared" si="10"/>
        <v>0</v>
      </c>
      <c r="J32" s="234">
        <f t="shared" si="10"/>
        <v>0</v>
      </c>
      <c r="K32" s="234">
        <f t="shared" si="10"/>
        <v>0</v>
      </c>
      <c r="L32" s="234" t="str">
        <f t="shared" si="10"/>
        <v/>
      </c>
      <c r="M32" s="268" t="str">
        <f t="shared" si="10"/>
        <v/>
      </c>
      <c r="N32" s="234" t="str">
        <f t="shared" si="10"/>
        <v/>
      </c>
      <c r="O32" s="270" t="str">
        <f t="shared" si="10"/>
        <v/>
      </c>
      <c r="P32" s="234">
        <f t="shared" si="11"/>
        <v>0</v>
      </c>
      <c r="Q32" s="533">
        <v>0</v>
      </c>
    </row>
    <row r="33" spans="2:18" ht="18.5" x14ac:dyDescent="0.45">
      <c r="C33" s="267" t="s">
        <v>227</v>
      </c>
      <c r="D33" s="268">
        <f t="shared" si="10"/>
        <v>64.75</v>
      </c>
      <c r="E33" s="234">
        <f t="shared" si="9"/>
        <v>68.25</v>
      </c>
      <c r="F33" s="269">
        <f t="shared" si="9"/>
        <v>77</v>
      </c>
      <c r="G33" s="268">
        <f t="shared" si="9"/>
        <v>80.5</v>
      </c>
      <c r="H33" s="234">
        <f t="shared" si="9"/>
        <v>78.75</v>
      </c>
      <c r="I33" s="269">
        <f t="shared" si="9"/>
        <v>80.5</v>
      </c>
      <c r="J33" s="234">
        <f t="shared" si="9"/>
        <v>80.5</v>
      </c>
      <c r="K33" s="234">
        <f t="shared" si="9"/>
        <v>80.5</v>
      </c>
      <c r="L33" s="234" t="str">
        <f t="shared" si="9"/>
        <v/>
      </c>
      <c r="M33" s="268" t="str">
        <f t="shared" si="9"/>
        <v/>
      </c>
      <c r="N33" s="234" t="str">
        <f t="shared" si="9"/>
        <v/>
      </c>
      <c r="O33" s="270" t="str">
        <f t="shared" si="9"/>
        <v/>
      </c>
      <c r="P33" s="234">
        <f t="shared" si="11"/>
        <v>610.75</v>
      </c>
      <c r="Q33" s="533">
        <v>1.75</v>
      </c>
    </row>
    <row r="34" spans="2:18" ht="18.5" x14ac:dyDescent="0.45">
      <c r="C34" s="267" t="s">
        <v>228</v>
      </c>
      <c r="D34" s="268">
        <f t="shared" si="10"/>
        <v>122.1</v>
      </c>
      <c r="E34" s="234">
        <f t="shared" si="9"/>
        <v>128.69999999999999</v>
      </c>
      <c r="F34" s="269">
        <f t="shared" si="9"/>
        <v>145.19999999999999</v>
      </c>
      <c r="G34" s="268">
        <f t="shared" si="9"/>
        <v>151.79999999999998</v>
      </c>
      <c r="H34" s="234">
        <f t="shared" si="9"/>
        <v>148.5</v>
      </c>
      <c r="I34" s="269">
        <f t="shared" si="9"/>
        <v>151.79999999999998</v>
      </c>
      <c r="J34" s="234">
        <f t="shared" si="9"/>
        <v>151.79999999999998</v>
      </c>
      <c r="K34" s="234">
        <f t="shared" si="9"/>
        <v>151.79999999999998</v>
      </c>
      <c r="L34" s="234" t="str">
        <f t="shared" si="9"/>
        <v/>
      </c>
      <c r="M34" s="268" t="str">
        <f t="shared" si="9"/>
        <v/>
      </c>
      <c r="N34" s="234" t="str">
        <f t="shared" si="9"/>
        <v/>
      </c>
      <c r="O34" s="270" t="str">
        <f t="shared" si="9"/>
        <v/>
      </c>
      <c r="P34" s="234">
        <f t="shared" si="11"/>
        <v>1151.6999999999998</v>
      </c>
      <c r="Q34" s="533">
        <v>3.3</v>
      </c>
    </row>
    <row r="35" spans="2:18" ht="18.5" x14ac:dyDescent="0.45">
      <c r="C35" s="267" t="s">
        <v>202</v>
      </c>
      <c r="D35" s="268">
        <f t="shared" si="10"/>
        <v>146.52000000000001</v>
      </c>
      <c r="E35" s="234">
        <f t="shared" si="9"/>
        <v>154.44</v>
      </c>
      <c r="F35" s="269">
        <f t="shared" si="9"/>
        <v>174.24</v>
      </c>
      <c r="G35" s="268">
        <f t="shared" si="9"/>
        <v>182.16</v>
      </c>
      <c r="H35" s="234">
        <f t="shared" si="9"/>
        <v>178.2</v>
      </c>
      <c r="I35" s="269">
        <f t="shared" si="9"/>
        <v>182.16</v>
      </c>
      <c r="J35" s="234">
        <f t="shared" si="9"/>
        <v>182.16</v>
      </c>
      <c r="K35" s="234">
        <f t="shared" si="9"/>
        <v>182.16</v>
      </c>
      <c r="L35" s="234" t="str">
        <f t="shared" si="9"/>
        <v/>
      </c>
      <c r="M35" s="268" t="str">
        <f t="shared" si="9"/>
        <v/>
      </c>
      <c r="N35" s="234" t="str">
        <f t="shared" si="9"/>
        <v/>
      </c>
      <c r="O35" s="270" t="str">
        <f t="shared" si="9"/>
        <v/>
      </c>
      <c r="P35" s="234">
        <f t="shared" si="11"/>
        <v>1382.04</v>
      </c>
      <c r="Q35" s="533">
        <v>3.96</v>
      </c>
    </row>
    <row r="36" spans="2:18" ht="18.5" x14ac:dyDescent="0.45">
      <c r="C36" s="272" t="s">
        <v>203</v>
      </c>
      <c r="D36" s="273">
        <f t="shared" ref="D36:P36" si="12">IF(D$8="","",SUM(D28:D35))</f>
        <v>1966.55</v>
      </c>
      <c r="E36" s="274">
        <f t="shared" si="12"/>
        <v>2072.85</v>
      </c>
      <c r="F36" s="275">
        <f t="shared" si="12"/>
        <v>2338.6000000000004</v>
      </c>
      <c r="G36" s="273">
        <f t="shared" si="12"/>
        <v>2444.9</v>
      </c>
      <c r="H36" s="274">
        <f t="shared" si="12"/>
        <v>2391.75</v>
      </c>
      <c r="I36" s="275">
        <f t="shared" si="12"/>
        <v>2444.9</v>
      </c>
      <c r="J36" s="274">
        <f t="shared" si="12"/>
        <v>2444.9</v>
      </c>
      <c r="K36" s="274">
        <f t="shared" si="12"/>
        <v>2444.9</v>
      </c>
      <c r="L36" s="274" t="str">
        <f t="shared" si="12"/>
        <v/>
      </c>
      <c r="M36" s="273" t="str">
        <f t="shared" si="12"/>
        <v/>
      </c>
      <c r="N36" s="274" t="str">
        <f t="shared" si="12"/>
        <v/>
      </c>
      <c r="O36" s="276" t="str">
        <f t="shared" si="12"/>
        <v/>
      </c>
      <c r="P36" s="274">
        <f t="shared" si="12"/>
        <v>18549.350000000002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3654.49</v>
      </c>
      <c r="E38" s="234">
        <f t="shared" ref="E38:O41" si="13">IF(E$8="","",E$8*$Q38)</f>
        <v>3852.0299999999997</v>
      </c>
      <c r="F38" s="269">
        <f t="shared" si="13"/>
        <v>4345.88</v>
      </c>
      <c r="G38" s="268">
        <f t="shared" si="13"/>
        <v>4543.42</v>
      </c>
      <c r="H38" s="234">
        <f t="shared" si="13"/>
        <v>4444.6499999999996</v>
      </c>
      <c r="I38" s="269">
        <f t="shared" si="13"/>
        <v>4543.42</v>
      </c>
      <c r="J38" s="234">
        <f t="shared" si="13"/>
        <v>4543.42</v>
      </c>
      <c r="K38" s="234">
        <f t="shared" si="13"/>
        <v>4543.42</v>
      </c>
      <c r="L38" s="234" t="str">
        <f t="shared" si="13"/>
        <v/>
      </c>
      <c r="M38" s="268" t="str">
        <f t="shared" si="13"/>
        <v/>
      </c>
      <c r="N38" s="234" t="str">
        <f t="shared" si="13"/>
        <v/>
      </c>
      <c r="O38" s="270" t="str">
        <f t="shared" si="13"/>
        <v/>
      </c>
      <c r="P38" s="234">
        <f>SUM(D38:O38)</f>
        <v>34470.729999999996</v>
      </c>
      <c r="Q38" s="533">
        <v>98.77</v>
      </c>
    </row>
    <row r="39" spans="2:18" ht="18.5" x14ac:dyDescent="0.45">
      <c r="C39" s="267" t="s">
        <v>205</v>
      </c>
      <c r="D39" s="268">
        <f t="shared" ref="D39:D41" si="14">IF(D$8="","",D$8*$Q39)</f>
        <v>24521.38</v>
      </c>
      <c r="E39" s="234">
        <f t="shared" si="13"/>
        <v>25846.86</v>
      </c>
      <c r="F39" s="269">
        <f t="shared" si="13"/>
        <v>29160.560000000001</v>
      </c>
      <c r="G39" s="268">
        <f t="shared" si="13"/>
        <v>30486.04</v>
      </c>
      <c r="H39" s="234">
        <f t="shared" si="13"/>
        <v>29823.3</v>
      </c>
      <c r="I39" s="269">
        <f t="shared" ref="I39:O39" si="15">IF(I$8="","",I$8*$R39)</f>
        <v>21286.04</v>
      </c>
      <c r="J39" s="234">
        <f t="shared" si="15"/>
        <v>21286.04</v>
      </c>
      <c r="K39" s="234">
        <f t="shared" si="15"/>
        <v>21286.04</v>
      </c>
      <c r="L39" s="234" t="str">
        <f t="shared" si="15"/>
        <v/>
      </c>
      <c r="M39" s="268" t="str">
        <f t="shared" si="15"/>
        <v/>
      </c>
      <c r="N39" s="234" t="str">
        <f t="shared" si="15"/>
        <v/>
      </c>
      <c r="O39" s="270" t="str">
        <f t="shared" si="15"/>
        <v/>
      </c>
      <c r="P39" s="234">
        <f t="shared" ref="P39:P41" si="16">SUM(D39:O39)</f>
        <v>203696.26</v>
      </c>
      <c r="Q39" s="533">
        <v>662.74</v>
      </c>
      <c r="R39" s="11">
        <f>Q39-200</f>
        <v>462.74</v>
      </c>
    </row>
    <row r="40" spans="2:18" ht="18.5" x14ac:dyDescent="0.45">
      <c r="C40" s="267" t="s">
        <v>322</v>
      </c>
      <c r="D40" s="268">
        <f t="shared" ref="D40:O40" si="17">IF(D$8="","",D$8*$Q40)</f>
        <v>148</v>
      </c>
      <c r="E40" s="234">
        <f t="shared" si="17"/>
        <v>156</v>
      </c>
      <c r="F40" s="269">
        <f t="shared" si="17"/>
        <v>176</v>
      </c>
      <c r="G40" s="234">
        <f t="shared" si="17"/>
        <v>184</v>
      </c>
      <c r="H40" s="234">
        <f t="shared" si="17"/>
        <v>180</v>
      </c>
      <c r="I40" s="269">
        <f t="shared" si="17"/>
        <v>184</v>
      </c>
      <c r="J40" s="234">
        <f t="shared" si="17"/>
        <v>184</v>
      </c>
      <c r="K40" s="234">
        <f t="shared" si="17"/>
        <v>184</v>
      </c>
      <c r="L40" s="234" t="str">
        <f t="shared" si="17"/>
        <v/>
      </c>
      <c r="M40" s="268" t="str">
        <f t="shared" si="17"/>
        <v/>
      </c>
      <c r="N40" s="234" t="str">
        <f t="shared" si="17"/>
        <v/>
      </c>
      <c r="O40" s="270" t="str">
        <f t="shared" si="17"/>
        <v/>
      </c>
      <c r="P40" s="234">
        <f>SUM(D40:O40)</f>
        <v>1396</v>
      </c>
      <c r="Q40" s="533">
        <v>4</v>
      </c>
    </row>
    <row r="41" spans="2:18" ht="18.5" x14ac:dyDescent="0.45">
      <c r="C41" s="267" t="s">
        <v>206</v>
      </c>
      <c r="D41" s="268">
        <f t="shared" si="14"/>
        <v>106.56</v>
      </c>
      <c r="E41" s="234">
        <f t="shared" si="13"/>
        <v>112.32</v>
      </c>
      <c r="F41" s="269">
        <f t="shared" si="13"/>
        <v>126.72</v>
      </c>
      <c r="G41" s="268">
        <f t="shared" si="13"/>
        <v>132.47999999999999</v>
      </c>
      <c r="H41" s="234">
        <f t="shared" si="13"/>
        <v>129.6</v>
      </c>
      <c r="I41" s="269">
        <f t="shared" si="13"/>
        <v>132.47999999999999</v>
      </c>
      <c r="J41" s="234">
        <f t="shared" si="13"/>
        <v>132.47999999999999</v>
      </c>
      <c r="K41" s="234">
        <f t="shared" si="13"/>
        <v>132.47999999999999</v>
      </c>
      <c r="L41" s="234" t="str">
        <f t="shared" si="13"/>
        <v/>
      </c>
      <c r="M41" s="268" t="str">
        <f t="shared" si="13"/>
        <v/>
      </c>
      <c r="N41" s="234" t="str">
        <f t="shared" si="13"/>
        <v/>
      </c>
      <c r="O41" s="270" t="str">
        <f t="shared" si="13"/>
        <v/>
      </c>
      <c r="P41" s="234">
        <f t="shared" si="16"/>
        <v>1005.1200000000001</v>
      </c>
      <c r="Q41" s="533">
        <v>2.88</v>
      </c>
    </row>
    <row r="42" spans="2:18" ht="18.5" x14ac:dyDescent="0.45">
      <c r="C42" s="272" t="s">
        <v>207</v>
      </c>
      <c r="D42" s="273">
        <f t="shared" ref="D42:O42" si="18">IF(D$8="","",SUM(D38:D41))</f>
        <v>28430.430000000004</v>
      </c>
      <c r="E42" s="274">
        <f t="shared" si="18"/>
        <v>29967.21</v>
      </c>
      <c r="F42" s="275">
        <f t="shared" si="18"/>
        <v>33809.160000000003</v>
      </c>
      <c r="G42" s="273">
        <f t="shared" si="18"/>
        <v>35345.94</v>
      </c>
      <c r="H42" s="274">
        <f t="shared" si="18"/>
        <v>34577.549999999996</v>
      </c>
      <c r="I42" s="275">
        <f t="shared" si="18"/>
        <v>26145.94</v>
      </c>
      <c r="J42" s="274">
        <f t="shared" si="18"/>
        <v>26145.94</v>
      </c>
      <c r="K42" s="274">
        <f t="shared" si="18"/>
        <v>26145.94</v>
      </c>
      <c r="L42" s="274" t="str">
        <f t="shared" si="18"/>
        <v/>
      </c>
      <c r="M42" s="273" t="str">
        <f t="shared" si="18"/>
        <v/>
      </c>
      <c r="N42" s="274" t="str">
        <f t="shared" si="18"/>
        <v/>
      </c>
      <c r="O42" s="276" t="str">
        <f t="shared" si="18"/>
        <v/>
      </c>
      <c r="P42" s="274">
        <f>IF(P$8="","",SUM(P38:P41))</f>
        <v>240568.11</v>
      </c>
      <c r="Q42" s="30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 t="s">
        <v>191</v>
      </c>
      <c r="C44" s="267" t="s">
        <v>209</v>
      </c>
      <c r="D44" s="268">
        <f t="shared" ref="D44:O48" si="19">IF(D$8="","",0)</f>
        <v>0</v>
      </c>
      <c r="E44" s="234">
        <f t="shared" si="19"/>
        <v>0</v>
      </c>
      <c r="F44" s="234">
        <f t="shared" si="19"/>
        <v>0</v>
      </c>
      <c r="G44" s="268">
        <f>416.5/19</f>
        <v>21.921052631578949</v>
      </c>
      <c r="H44" s="234">
        <f t="shared" si="19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19"/>
        <v/>
      </c>
      <c r="M44" s="268" t="str">
        <f t="shared" si="19"/>
        <v/>
      </c>
      <c r="N44" s="234" t="str">
        <f t="shared" si="19"/>
        <v/>
      </c>
      <c r="O44" s="234" t="str">
        <f t="shared" si="19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19"/>
        <v>0</v>
      </c>
      <c r="E45" s="234">
        <f t="shared" si="19"/>
        <v>0</v>
      </c>
      <c r="F45" s="269">
        <f t="shared" si="19"/>
        <v>0</v>
      </c>
      <c r="G45" s="268">
        <f t="shared" si="19"/>
        <v>0</v>
      </c>
      <c r="H45" s="234">
        <f>15600/19</f>
        <v>821.0526315789474</v>
      </c>
      <c r="I45" s="234">
        <f t="shared" si="19"/>
        <v>0</v>
      </c>
      <c r="J45" s="268">
        <f t="shared" si="19"/>
        <v>0</v>
      </c>
      <c r="K45" s="234">
        <f t="shared" si="19"/>
        <v>0</v>
      </c>
      <c r="L45" s="234" t="str">
        <f t="shared" si="19"/>
        <v/>
      </c>
      <c r="M45" s="268" t="str">
        <f t="shared" si="19"/>
        <v/>
      </c>
      <c r="N45" s="234" t="str">
        <f t="shared" si="19"/>
        <v/>
      </c>
      <c r="O45" s="234" t="str">
        <f t="shared" si="19"/>
        <v/>
      </c>
      <c r="P45" s="474">
        <f t="shared" ref="P45:P48" si="20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19"/>
        <v>0</v>
      </c>
      <c r="E46" s="234">
        <f t="shared" si="19"/>
        <v>0</v>
      </c>
      <c r="F46" s="269">
        <v>4500</v>
      </c>
      <c r="G46" s="268">
        <f t="shared" si="19"/>
        <v>0</v>
      </c>
      <c r="H46" s="234">
        <f t="shared" si="19"/>
        <v>0</v>
      </c>
      <c r="I46" s="234">
        <f t="shared" si="19"/>
        <v>0</v>
      </c>
      <c r="J46" s="268">
        <f t="shared" si="19"/>
        <v>0</v>
      </c>
      <c r="K46" s="234">
        <f t="shared" si="19"/>
        <v>0</v>
      </c>
      <c r="L46" s="234" t="str">
        <f t="shared" si="19"/>
        <v/>
      </c>
      <c r="M46" s="268" t="str">
        <f t="shared" si="19"/>
        <v/>
      </c>
      <c r="N46" s="234" t="str">
        <f t="shared" si="19"/>
        <v/>
      </c>
      <c r="O46" s="234" t="str">
        <f t="shared" si="19"/>
        <v/>
      </c>
      <c r="P46" s="474">
        <f t="shared" si="20"/>
        <v>4500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19"/>
        <v>0</v>
      </c>
      <c r="E47" s="234">
        <f t="shared" si="19"/>
        <v>0</v>
      </c>
      <c r="F47" s="234">
        <f t="shared" si="19"/>
        <v>0</v>
      </c>
      <c r="G47" s="268">
        <f t="shared" si="19"/>
        <v>0</v>
      </c>
      <c r="H47" s="234">
        <f t="shared" si="19"/>
        <v>0</v>
      </c>
      <c r="I47" s="234">
        <f t="shared" si="19"/>
        <v>0</v>
      </c>
      <c r="J47" s="268">
        <f t="shared" si="19"/>
        <v>0</v>
      </c>
      <c r="K47" s="234">
        <f t="shared" si="19"/>
        <v>0</v>
      </c>
      <c r="L47" s="234" t="str">
        <f t="shared" si="19"/>
        <v/>
      </c>
      <c r="M47" s="268" t="str">
        <f t="shared" si="19"/>
        <v/>
      </c>
      <c r="N47" s="234" t="str">
        <f t="shared" si="19"/>
        <v/>
      </c>
      <c r="O47" s="270" t="str">
        <f t="shared" si="19"/>
        <v/>
      </c>
      <c r="P47" s="234">
        <f t="shared" si="20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19"/>
        <v>0</v>
      </c>
      <c r="F48" s="456">
        <f t="shared" si="19"/>
        <v>0</v>
      </c>
      <c r="G48" s="458">
        <f t="shared" si="19"/>
        <v>0</v>
      </c>
      <c r="H48" s="234">
        <f t="shared" si="19"/>
        <v>0</v>
      </c>
      <c r="I48" s="456">
        <f t="shared" si="19"/>
        <v>0</v>
      </c>
      <c r="J48" s="268">
        <f t="shared" si="19"/>
        <v>0</v>
      </c>
      <c r="K48" s="457">
        <f t="shared" si="19"/>
        <v>0</v>
      </c>
      <c r="L48" s="456" t="str">
        <f t="shared" si="19"/>
        <v/>
      </c>
      <c r="M48" s="458" t="str">
        <f t="shared" si="19"/>
        <v/>
      </c>
      <c r="N48" s="234" t="str">
        <f t="shared" si="19"/>
        <v/>
      </c>
      <c r="O48" s="525" t="str">
        <f t="shared" si="19"/>
        <v/>
      </c>
      <c r="P48" s="475">
        <f t="shared" si="20"/>
        <v>0</v>
      </c>
      <c r="Q48" s="244"/>
    </row>
    <row r="49" spans="2:17" ht="18.5" x14ac:dyDescent="0.45">
      <c r="C49" s="272" t="s">
        <v>229</v>
      </c>
      <c r="D49" s="273">
        <f t="shared" ref="D49:P49" si="21">IF(D$8="","",SUM(D44:D48))</f>
        <v>0</v>
      </c>
      <c r="E49" s="274">
        <f t="shared" si="21"/>
        <v>0</v>
      </c>
      <c r="F49" s="275">
        <f t="shared" si="21"/>
        <v>4500</v>
      </c>
      <c r="G49" s="273">
        <f t="shared" si="21"/>
        <v>21.921052631578949</v>
      </c>
      <c r="H49" s="274">
        <f t="shared" si="21"/>
        <v>821.0526315789474</v>
      </c>
      <c r="I49" s="275">
        <f t="shared" si="21"/>
        <v>12.102631578947367</v>
      </c>
      <c r="J49" s="274">
        <f t="shared" si="21"/>
        <v>31.315789473684209</v>
      </c>
      <c r="K49" s="274">
        <f t="shared" si="21"/>
        <v>56.368421052631582</v>
      </c>
      <c r="L49" s="274" t="str">
        <f t="shared" si="21"/>
        <v/>
      </c>
      <c r="M49" s="273" t="str">
        <f t="shared" si="21"/>
        <v/>
      </c>
      <c r="N49" s="274" t="str">
        <f t="shared" si="21"/>
        <v/>
      </c>
      <c r="O49" s="276" t="str">
        <f t="shared" si="21"/>
        <v/>
      </c>
      <c r="P49" s="557">
        <f t="shared" si="21"/>
        <v>5442.7605263157893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-21234.83</v>
      </c>
      <c r="E51" s="289">
        <f>IF(E8="","",E14-SUM(E26,E36,E42,E49))</f>
        <v>-1401.1699999999983</v>
      </c>
      <c r="F51" s="290">
        <f>IF(F8="","",F14-SUM(F26,F36,F42,F49))</f>
        <v>-47823.290000000008</v>
      </c>
      <c r="G51" s="288">
        <f>IF(G8="","",G14-SUM(G26,G36,G42,G49))</f>
        <v>-10159.791052631583</v>
      </c>
      <c r="H51" s="289">
        <f>IF(H8="","",H14-SUM(H26,H36,H42,H49))</f>
        <v>-33789.552631578932</v>
      </c>
      <c r="I51" s="290">
        <f>IF(I8="","",I14-SUM(I26,I36,I42,I49))</f>
        <v>36407.78736842105</v>
      </c>
      <c r="J51" s="289">
        <f>IF(J8="","",J14-SUM(J26,J36,J42,J49))</f>
        <v>-31712.705789473679</v>
      </c>
      <c r="K51" s="289">
        <f>IF(K8="","",K14-SUM(K26,K36,K42,K49))</f>
        <v>5644.6015789473604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-104068.9505263156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639253.47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535184.51947368437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111</v>
      </c>
      <c r="E56" s="234">
        <f>IF(E12="","",-E12)</f>
        <v>117</v>
      </c>
      <c r="F56" s="269">
        <f>IF(F12="","",-F12)</f>
        <v>132</v>
      </c>
      <c r="G56" s="268">
        <f>IF(G12="","",-G12)</f>
        <v>138</v>
      </c>
      <c r="H56" s="234">
        <f>IF(H12="","",-H12)</f>
        <v>135</v>
      </c>
      <c r="I56" s="269">
        <f>IF(I12="","",-I12)</f>
        <v>138</v>
      </c>
      <c r="J56" s="234">
        <f>IF(J12="","",-J12)</f>
        <v>138</v>
      </c>
      <c r="K56" s="234">
        <f>IF(K12="","",-K12)</f>
        <v>138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1047</v>
      </c>
      <c r="Q56" s="244"/>
    </row>
    <row r="57" spans="2:17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2">IF(E$8="","",0)</f>
        <v>0</v>
      </c>
      <c r="F57" s="269">
        <f t="shared" si="22"/>
        <v>0</v>
      </c>
      <c r="G57" s="268">
        <f t="shared" si="22"/>
        <v>0</v>
      </c>
      <c r="H57" s="234">
        <f t="shared" si="22"/>
        <v>0</v>
      </c>
      <c r="I57" s="269">
        <f t="shared" si="22"/>
        <v>0</v>
      </c>
      <c r="J57" s="234">
        <f t="shared" si="22"/>
        <v>0</v>
      </c>
      <c r="K57" s="234">
        <f t="shared" si="22"/>
        <v>0</v>
      </c>
      <c r="L57" s="234" t="str">
        <f t="shared" si="22"/>
        <v/>
      </c>
      <c r="M57" s="268" t="str">
        <f t="shared" si="22"/>
        <v/>
      </c>
      <c r="N57" s="234" t="str">
        <f t="shared" si="22"/>
        <v/>
      </c>
      <c r="O57" s="270" t="str">
        <f t="shared" si="22"/>
        <v/>
      </c>
      <c r="P57" s="234">
        <f>SUM(D57:O57)</f>
        <v>0</v>
      </c>
      <c r="Q57" s="244"/>
    </row>
    <row r="58" spans="2:17" ht="18.5" x14ac:dyDescent="0.45">
      <c r="C58" s="296" t="s">
        <v>234</v>
      </c>
      <c r="D58" s="297">
        <f>IF(D$8="","",SUM(D56:D57))</f>
        <v>111</v>
      </c>
      <c r="E58" s="298">
        <f t="shared" ref="E58:O58" si="23">IF(E$8="","",SUM(E56:E57))</f>
        <v>117</v>
      </c>
      <c r="F58" s="299">
        <f t="shared" si="23"/>
        <v>132</v>
      </c>
      <c r="G58" s="297">
        <f t="shared" si="23"/>
        <v>138</v>
      </c>
      <c r="H58" s="298">
        <f t="shared" si="23"/>
        <v>135</v>
      </c>
      <c r="I58" s="299">
        <f t="shared" si="23"/>
        <v>138</v>
      </c>
      <c r="J58" s="298">
        <f t="shared" si="23"/>
        <v>138</v>
      </c>
      <c r="K58" s="298">
        <f t="shared" si="23"/>
        <v>138</v>
      </c>
      <c r="L58" s="298" t="str">
        <f t="shared" si="23"/>
        <v/>
      </c>
      <c r="M58" s="297" t="str">
        <f t="shared" si="23"/>
        <v/>
      </c>
      <c r="N58" s="298" t="str">
        <f t="shared" si="23"/>
        <v/>
      </c>
      <c r="O58" s="300" t="str">
        <f t="shared" si="23"/>
        <v/>
      </c>
      <c r="P58" s="298">
        <f>SUM(P56:P57)</f>
        <v>1047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23250.74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24297.74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9869.56</v>
      </c>
      <c r="E68" s="246">
        <v>15483.56</v>
      </c>
      <c r="F68" s="246">
        <v>30801.49</v>
      </c>
      <c r="G68" s="246">
        <v>13914.25</v>
      </c>
      <c r="H68" s="246">
        <v>0</v>
      </c>
      <c r="I68" s="308">
        <v>-2373.54</v>
      </c>
      <c r="J68" s="309">
        <f>SUM(D68:I68)</f>
        <v>67695.320000000007</v>
      </c>
      <c r="K68" s="310">
        <v>39</v>
      </c>
      <c r="L68" s="307">
        <v>0</v>
      </c>
      <c r="M68" s="246">
        <v>0</v>
      </c>
      <c r="N68" s="246">
        <v>3.78</v>
      </c>
      <c r="O68" s="246">
        <v>0</v>
      </c>
      <c r="P68" s="246">
        <v>0</v>
      </c>
      <c r="Q68" s="246">
        <v>0</v>
      </c>
      <c r="R68" s="246">
        <v>0</v>
      </c>
      <c r="S68" s="246">
        <v>0</v>
      </c>
      <c r="T68" s="246">
        <v>-4611.8500000000004</v>
      </c>
      <c r="U68" s="323">
        <v>0</v>
      </c>
    </row>
    <row r="69" spans="3:21" ht="18.5" x14ac:dyDescent="0.45">
      <c r="C69" s="306" t="str">
        <f>Addendum!E11</f>
        <v>August</v>
      </c>
      <c r="D69" s="307">
        <v>5530.25</v>
      </c>
      <c r="E69" s="246">
        <v>8237.5499999999993</v>
      </c>
      <c r="F69" s="246">
        <v>9581.24</v>
      </c>
      <c r="G69" s="246">
        <v>9836</v>
      </c>
      <c r="H69" s="246">
        <v>13723.9</v>
      </c>
      <c r="I69" s="308">
        <v>-2556.12</v>
      </c>
      <c r="J69" s="309">
        <f t="shared" ref="J69:J79" si="24">SUM(D69:I69)</f>
        <v>44352.82</v>
      </c>
      <c r="K69" s="311">
        <v>42</v>
      </c>
      <c r="L69" s="307">
        <f>2.1</f>
        <v>2.1</v>
      </c>
      <c r="M69" s="246">
        <v>0</v>
      </c>
      <c r="N69" s="246">
        <f>3.78</f>
        <v>3.78</v>
      </c>
      <c r="O69" s="246">
        <f>60</f>
        <v>60</v>
      </c>
      <c r="P69" s="246">
        <v>0</v>
      </c>
      <c r="Q69" s="246">
        <v>0</v>
      </c>
      <c r="R69" s="246">
        <v>0</v>
      </c>
      <c r="S69" s="246">
        <v>0</v>
      </c>
      <c r="T69" s="246">
        <v>-3514.5</v>
      </c>
      <c r="U69" s="323">
        <v>0</v>
      </c>
    </row>
    <row r="70" spans="3:21" ht="18.5" x14ac:dyDescent="0.45">
      <c r="C70" s="306" t="str">
        <f>Addendum!E12</f>
        <v>September</v>
      </c>
      <c r="D70" s="307">
        <v>31651.45</v>
      </c>
      <c r="E70" s="246">
        <v>27056.47</v>
      </c>
      <c r="F70" s="246">
        <v>29464.79</v>
      </c>
      <c r="G70" s="246">
        <v>8665.7199999999993</v>
      </c>
      <c r="H70" s="246">
        <v>0</v>
      </c>
      <c r="I70" s="308">
        <v>-2633.7</v>
      </c>
      <c r="J70" s="309">
        <f>SUM(D70:I70)</f>
        <v>94204.73</v>
      </c>
      <c r="K70" s="311">
        <v>45</v>
      </c>
      <c r="L70" s="307">
        <f>86.19+95.2</f>
        <v>181.39</v>
      </c>
      <c r="M70" s="246">
        <v>0</v>
      </c>
      <c r="N70" s="246">
        <f>3.78</f>
        <v>3.78</v>
      </c>
      <c r="O70" s="246">
        <f>40+110</f>
        <v>150</v>
      </c>
      <c r="P70" s="246">
        <v>0</v>
      </c>
      <c r="Q70" s="246">
        <v>0</v>
      </c>
      <c r="R70" s="246">
        <v>0</v>
      </c>
      <c r="S70" s="246">
        <v>0</v>
      </c>
      <c r="T70" s="246">
        <v>-5875.83</v>
      </c>
      <c r="U70" s="323">
        <v>0</v>
      </c>
    </row>
    <row r="71" spans="3:21" ht="18.5" x14ac:dyDescent="0.45">
      <c r="C71" s="306" t="str">
        <f>Addendum!E13</f>
        <v>October</v>
      </c>
      <c r="D71" s="307">
        <v>-6059.96</v>
      </c>
      <c r="E71" s="246">
        <v>44322.66</v>
      </c>
      <c r="F71" s="246">
        <v>16357.37</v>
      </c>
      <c r="G71" s="246">
        <v>7636.36</v>
      </c>
      <c r="H71" s="246">
        <v>0</v>
      </c>
      <c r="I71" s="308">
        <v>-2799.56</v>
      </c>
      <c r="J71" s="309">
        <f t="shared" si="24"/>
        <v>59456.87000000001</v>
      </c>
      <c r="K71" s="311">
        <v>46</v>
      </c>
      <c r="L71" s="307">
        <f>-86.19+224.67</f>
        <v>138.47999999999999</v>
      </c>
      <c r="M71" s="246">
        <v>0</v>
      </c>
      <c r="N71" s="246">
        <f>3.78</f>
        <v>3.78</v>
      </c>
      <c r="O71" s="246">
        <f>40+110</f>
        <v>150</v>
      </c>
      <c r="P71" s="246">
        <v>0</v>
      </c>
      <c r="Q71" s="246">
        <v>0</v>
      </c>
      <c r="R71" s="246">
        <v>0</v>
      </c>
      <c r="S71" s="246">
        <v>0</v>
      </c>
      <c r="T71" s="246">
        <v>-22657.14</v>
      </c>
      <c r="U71" s="323">
        <v>0</v>
      </c>
    </row>
    <row r="72" spans="3:21" ht="18.5" x14ac:dyDescent="0.45">
      <c r="C72" s="306" t="str">
        <f>Addendum!E14</f>
        <v>November</v>
      </c>
      <c r="D72" s="307">
        <v>26322.94</v>
      </c>
      <c r="E72" s="246">
        <v>23748.99</v>
      </c>
      <c r="F72" s="246">
        <v>13791.72</v>
      </c>
      <c r="G72" s="246">
        <v>17589.259999999998</v>
      </c>
      <c r="H72" s="246">
        <v>36173.300000000003</v>
      </c>
      <c r="I72" s="308">
        <v>-2738.7</v>
      </c>
      <c r="J72" s="309">
        <f t="shared" si="24"/>
        <v>114887.51000000001</v>
      </c>
      <c r="K72" s="311">
        <v>45</v>
      </c>
      <c r="L72" s="307">
        <f>-86.19-9.01</f>
        <v>-95.2</v>
      </c>
      <c r="M72" s="246">
        <v>0</v>
      </c>
      <c r="N72" s="246">
        <f>3.78</f>
        <v>3.78</v>
      </c>
      <c r="O72" s="246">
        <f>110</f>
        <v>110</v>
      </c>
      <c r="P72" s="246">
        <f>526.9</f>
        <v>526.9</v>
      </c>
      <c r="Q72" s="246">
        <f>137.49+7.65</f>
        <v>145.14000000000001</v>
      </c>
      <c r="R72" s="246">
        <v>0</v>
      </c>
      <c r="S72" s="246">
        <v>0</v>
      </c>
      <c r="T72" s="246">
        <v>-2151.91</v>
      </c>
      <c r="U72" s="323">
        <v>0</v>
      </c>
    </row>
    <row r="73" spans="3:21" ht="18.5" x14ac:dyDescent="0.45">
      <c r="C73" s="306" t="str">
        <f>Addendum!E15</f>
        <v>December</v>
      </c>
      <c r="D73" s="307">
        <v>6603.7</v>
      </c>
      <c r="E73" s="246">
        <v>4798.43</v>
      </c>
      <c r="F73" s="246">
        <v>35840.5</v>
      </c>
      <c r="G73" s="246">
        <v>11580.26</v>
      </c>
      <c r="H73" s="246">
        <v>0</v>
      </c>
      <c r="I73" s="308">
        <v>-2799.56</v>
      </c>
      <c r="J73" s="309">
        <f t="shared" si="24"/>
        <v>56023.330000000009</v>
      </c>
      <c r="K73" s="311">
        <v>46</v>
      </c>
      <c r="L73" s="307">
        <f>6.13+255.99+1.14</f>
        <v>263.26</v>
      </c>
      <c r="M73" s="246">
        <v>0</v>
      </c>
      <c r="N73" s="246">
        <v>3.78</v>
      </c>
      <c r="O73" s="246">
        <f>40</f>
        <v>40</v>
      </c>
      <c r="P73" s="246">
        <v>0</v>
      </c>
      <c r="Q73" s="246">
        <v>0</v>
      </c>
      <c r="R73" s="246">
        <v>0</v>
      </c>
      <c r="S73" s="246">
        <v>0</v>
      </c>
      <c r="T73" s="246">
        <v>-608.83000000000004</v>
      </c>
      <c r="U73" s="323">
        <v>0</v>
      </c>
    </row>
    <row r="74" spans="3:21" ht="18.5" x14ac:dyDescent="0.45">
      <c r="C74" s="306" t="str">
        <f>Addendum!E16</f>
        <v>January 2025</v>
      </c>
      <c r="D74" s="307">
        <v>11829.42</v>
      </c>
      <c r="E74" s="246">
        <v>19576.48</v>
      </c>
      <c r="F74" s="246">
        <v>20039.63</v>
      </c>
      <c r="G74" s="246">
        <v>25796.45</v>
      </c>
      <c r="H74" s="246">
        <v>22226.76</v>
      </c>
      <c r="I74" s="308">
        <v>-2799.56</v>
      </c>
      <c r="J74" s="309">
        <f t="shared" si="24"/>
        <v>96669.18</v>
      </c>
      <c r="K74" s="311">
        <v>46</v>
      </c>
      <c r="L74" s="307">
        <f>17.09+11.21</f>
        <v>28.3</v>
      </c>
      <c r="M74" s="246">
        <v>0</v>
      </c>
      <c r="N74" s="246">
        <v>3.78</v>
      </c>
      <c r="O74" s="246">
        <f>80+330+220</f>
        <v>630</v>
      </c>
      <c r="P74" s="246">
        <v>0</v>
      </c>
      <c r="Q74" s="246">
        <f>136.59</f>
        <v>136.59</v>
      </c>
      <c r="R74" s="246">
        <v>0</v>
      </c>
      <c r="S74" s="246">
        <v>0</v>
      </c>
      <c r="T74" s="246">
        <v>9.98</v>
      </c>
      <c r="U74" s="323">
        <v>0</v>
      </c>
    </row>
    <row r="75" spans="3:21" ht="18.5" x14ac:dyDescent="0.45">
      <c r="C75" s="306" t="str">
        <f>Addendum!E17</f>
        <v>February</v>
      </c>
      <c r="D75" s="307">
        <v>9741.4599999999991</v>
      </c>
      <c r="E75" s="246">
        <v>41514.160000000003</v>
      </c>
      <c r="F75" s="246">
        <v>22053.040000000001</v>
      </c>
      <c r="G75" s="246">
        <v>29838.42</v>
      </c>
      <c r="H75" s="246">
        <v>0</v>
      </c>
      <c r="I75" s="308">
        <v>-2860.42</v>
      </c>
      <c r="J75" s="309">
        <f t="shared" si="24"/>
        <v>100286.66</v>
      </c>
      <c r="K75" s="311">
        <v>47</v>
      </c>
      <c r="L75" s="307">
        <f>-16.69-11.21+157.51</f>
        <v>129.60999999999999</v>
      </c>
      <c r="M75" s="246">
        <v>0</v>
      </c>
      <c r="N75" s="246">
        <v>3.8</v>
      </c>
      <c r="O75" s="246">
        <f>100+220</f>
        <v>320</v>
      </c>
      <c r="P75" s="246">
        <v>0</v>
      </c>
      <c r="Q75" s="246">
        <f>115.99</f>
        <v>115.99</v>
      </c>
      <c r="R75" s="246">
        <v>0</v>
      </c>
      <c r="S75" s="246">
        <v>-5720</v>
      </c>
      <c r="T75" s="246">
        <v>0</v>
      </c>
      <c r="U75" s="323">
        <v>0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4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4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4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4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95488.82</v>
      </c>
      <c r="E80" s="314">
        <f t="shared" ref="E80:J80" si="25">SUM(E68:E79)</f>
        <v>184738.30000000002</v>
      </c>
      <c r="F80" s="314">
        <f>SUM(F68:F79)</f>
        <v>177929.78</v>
      </c>
      <c r="G80" s="314">
        <f t="shared" si="25"/>
        <v>124856.71999999999</v>
      </c>
      <c r="H80" s="314">
        <f t="shared" si="25"/>
        <v>72123.960000000006</v>
      </c>
      <c r="I80" s="315">
        <f t="shared" si="25"/>
        <v>-21561.159999999996</v>
      </c>
      <c r="J80" s="316">
        <f t="shared" si="25"/>
        <v>633576.42000000004</v>
      </c>
      <c r="K80" s="317">
        <f>SUM(K68:K79)</f>
        <v>356</v>
      </c>
      <c r="L80" s="313">
        <f>SUM(L68:L79)</f>
        <v>647.93999999999994</v>
      </c>
      <c r="M80" s="314">
        <f t="shared" ref="M80:U80" si="26">SUM(M68:M79)</f>
        <v>0</v>
      </c>
      <c r="N80" s="314">
        <f t="shared" si="26"/>
        <v>30.26</v>
      </c>
      <c r="O80" s="314">
        <f t="shared" si="26"/>
        <v>1460</v>
      </c>
      <c r="P80" s="314">
        <f t="shared" si="26"/>
        <v>526.9</v>
      </c>
      <c r="Q80" s="314">
        <f t="shared" si="26"/>
        <v>397.72</v>
      </c>
      <c r="R80" s="314">
        <f t="shared" si="26"/>
        <v>0</v>
      </c>
      <c r="S80" s="314">
        <f t="shared" si="26"/>
        <v>-5720</v>
      </c>
      <c r="T80" s="314">
        <f t="shared" si="26"/>
        <v>-39410.079999999994</v>
      </c>
      <c r="U80" s="322">
        <f t="shared" si="26"/>
        <v>0</v>
      </c>
    </row>
  </sheetData>
  <mergeCells count="20"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D66:H66"/>
    <mergeCell ref="I66:I67"/>
    <mergeCell ref="J66:J67"/>
    <mergeCell ref="K66:K67"/>
    <mergeCell ref="L66:U66"/>
  </mergeCells>
  <conditionalFormatting sqref="D51:P51">
    <cfRule type="cellIs" dxfId="15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B0778-3160-4BC3-8BFF-FF4C0668A2A4}">
  <sheetPr codeName="Sheet14">
    <tabColor theme="6" tint="0.39997558519241921"/>
    <pageSetUpPr fitToPage="1"/>
  </sheetPr>
  <dimension ref="B1:U80"/>
  <sheetViews>
    <sheetView view="pageBreakPreview" topLeftCell="A45" zoomScale="60" zoomScaleNormal="8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170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Entry'!$D$3:$D$500,MATCH(1,INDEX((Fairview!$C$7='Cash Flow Entry'!$B$3:$B$500)*(VALUE(Fairview!D$7)='Cash Flow Entry'!$C$3:$C$500),0,1),0)),"")</f>
        <v>176</v>
      </c>
      <c r="E8" s="256" cm="1">
        <f t="array" ref="E8">IFERROR(INDEX('Cash Flow Entry'!$D$3:$D$500,MATCH(1,INDEX((Fairview!$C$7='Cash Flow Entry'!$B$3:$B$500)*(VALUE(Fairview!E$7)='Cash Flow Entry'!$C$3:$C$500),0,1),0)),"")</f>
        <v>176</v>
      </c>
      <c r="F8" s="257" cm="1">
        <f t="array" ref="F8">IFERROR(INDEX('Cash Flow Entry'!$D$3:$D$500,MATCH(1,INDEX((Fairview!$C$7='Cash Flow Entry'!$B$3:$B$500)*(VALUE(Fairview!F$7)='Cash Flow Entry'!$C$3:$C$500),0,1),0)),"")</f>
        <v>184</v>
      </c>
      <c r="G8" s="255" cm="1">
        <f t="array" ref="G8">IFERROR(INDEX('Cash Flow Entry'!$D$3:$D$500,MATCH(1,INDEX((Fairview!$C$7='Cash Flow Entry'!$B$3:$B$500)*(VALUE(Fairview!G$7)='Cash Flow Entry'!$C$3:$C$500),0,1),0)),"")</f>
        <v>185</v>
      </c>
      <c r="H8" s="256" cm="1">
        <f t="array" ref="H8">IFERROR(INDEX('Cash Flow Entry'!$D$3:$D$500,MATCH(1,INDEX((Fairview!$C$7='Cash Flow Entry'!$B$3:$B$500)*(VALUE(Fairview!H$7)='Cash Flow Entry'!$C$3:$C$500),0,1),0)),"")</f>
        <v>186</v>
      </c>
      <c r="I8" s="257" cm="1">
        <f t="array" ref="I8">IFERROR(INDEX('Cash Flow Entry'!$D$3:$D$500,MATCH(1,INDEX((Fairview!$C$7='Cash Flow Entry'!$B$3:$B$500)*(VALUE(Fairview!I$7)='Cash Flow Entry'!$C$3:$C$500),0,1),0)),"")</f>
        <v>184</v>
      </c>
      <c r="J8" s="256" cm="1">
        <f t="array" ref="J8">IFERROR(INDEX('Cash Flow Entry'!$D$3:$D$500,MATCH(1,INDEX((Fairview!$C$7='Cash Flow Entry'!$B$3:$B$500)*(VALUE(Fairview!J$7)='Cash Flow Entry'!$C$3:$C$500),0,1),0)),"")</f>
        <v>184</v>
      </c>
      <c r="K8" s="256" cm="1">
        <f t="array" ref="K8">IFERROR(INDEX('Cash Flow Entry'!$D$3:$D$500,MATCH(1,INDEX((Fairview!$C$7='Cash Flow Entry'!$B$3:$B$500)*(VALUE(Fairview!K$7)='Cash Flow Entry'!$C$3:$C$500),0,1),0)),"")</f>
        <v>183</v>
      </c>
      <c r="L8" s="256" t="str" cm="1">
        <f t="array" ref="L8">IFERROR(INDEX('Cash Flow Entry'!$D$3:$D$500,MATCH(1,INDEX((Fairview!$C$7='Cash Flow Entry'!$B$3:$B$500)*(VALUE(Fairview!L$7)='Cash Flow Entry'!$C$3:$C$500),0,1),0)),"")</f>
        <v/>
      </c>
      <c r="M8" s="255" t="str" cm="1">
        <f t="array" ref="M8">IFERROR(INDEX('Cash Flow Entry'!$D$3:$D$500,MATCH(1,INDEX((Fairview!$C$7='Cash Flow Entry'!$B$3:$B$500)*(VALUE(Fairview!M$7)='Cash Flow Entry'!$C$3:$C$500),0,1),0)),"")</f>
        <v/>
      </c>
      <c r="N8" s="256" t="str" cm="1">
        <f t="array" ref="N8">IFERROR(INDEX('Cash Flow Entry'!$D$3:$D$500,MATCH(1,INDEX((Fairview!$C$7='Cash Flow Entry'!$B$3:$B$500)*(VALUE(Fairview!N$7)='Cash Flow Entry'!$C$3:$C$500),0,1),0)),"")</f>
        <v/>
      </c>
      <c r="O8" s="258" t="str" cm="1">
        <f t="array" ref="O8">IFERROR(INDEX('Cash Flow Entry'!$D$3:$D$500,MATCH(1,INDEX((Fairview!$C$7='Cash Flow Entry'!$B$3:$B$500)*(VALUE(Fairview!O$7)='Cash Flow Entry'!$C$3:$C$500),0,1),0)),"")</f>
        <v/>
      </c>
      <c r="P8" s="259">
        <f>SUM(D8:O8)</f>
        <v>1458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Entry'!$E$3:$E$500,MATCH(1,INDEX((Fairview!$C$7='Cash Flow Entry'!$B$3:$B$500)*(VALUE(Fairview!D$7)='Cash Flow Entry'!$C$3:$C$500),0,1),0)),"")</f>
        <v>475</v>
      </c>
      <c r="E9" s="256" cm="1">
        <f t="array" ref="E9">IFERROR(INDEX('Cash Flow Entry'!$E$3:$E$500,MATCH(1,INDEX((Fairview!$C$7='Cash Flow Entry'!$B$3:$B$500)*(VALUE(Fairview!E$7)='Cash Flow Entry'!$C$3:$C$500),0,1),0)),"")</f>
        <v>481</v>
      </c>
      <c r="F9" s="257" cm="1">
        <f t="array" ref="F9">IFERROR(INDEX('Cash Flow Entry'!$E$3:$E$500,MATCH(1,INDEX((Fairview!$C$7='Cash Flow Entry'!$B$3:$B$500)*(VALUE(Fairview!F$7)='Cash Flow Entry'!$C$3:$C$500),0,1),0)),"")</f>
        <v>505</v>
      </c>
      <c r="G9" s="255" cm="1">
        <f t="array" ref="G9">IFERROR(INDEX('Cash Flow Entry'!$E$3:$E$500,MATCH(1,INDEX((Fairview!$C$7='Cash Flow Entry'!$B$3:$B$500)*(VALUE(Fairview!G$7)='Cash Flow Entry'!$C$3:$C$500),0,1),0)),"")</f>
        <v>511</v>
      </c>
      <c r="H9" s="256" cm="1">
        <f t="array" ref="H9">IFERROR(INDEX('Cash Flow Entry'!$E$3:$E$500,MATCH(1,INDEX((Fairview!$C$7='Cash Flow Entry'!$B$3:$B$500)*(VALUE(Fairview!H$7)='Cash Flow Entry'!$C$3:$C$500),0,1),0)),"")</f>
        <v>511</v>
      </c>
      <c r="I9" s="257" cm="1">
        <f t="array" ref="I9">IFERROR(INDEX('Cash Flow Entry'!$E$3:$E$500,MATCH(1,INDEX((Fairview!$C$7='Cash Flow Entry'!$B$3:$B$500)*(VALUE(Fairview!I$7)='Cash Flow Entry'!$C$3:$C$500),0,1),0)),"")</f>
        <v>501</v>
      </c>
      <c r="J9" s="256" cm="1">
        <f t="array" ref="J9">IFERROR(INDEX('Cash Flow Entry'!$E$3:$E$500,MATCH(1,INDEX((Fairview!$C$7='Cash Flow Entry'!$B$3:$B$500)*(VALUE(Fairview!J$7)='Cash Flow Entry'!$C$3:$C$500),0,1),0)),"")</f>
        <v>501</v>
      </c>
      <c r="K9" s="256" cm="1">
        <f t="array" ref="K9">IFERROR(INDEX('Cash Flow Entry'!$E$3:$E$500,MATCH(1,INDEX((Fairview!$C$7='Cash Flow Entry'!$B$3:$B$500)*(VALUE(Fairview!K$7)='Cash Flow Entry'!$C$3:$C$500),0,1),0)),"")</f>
        <v>502</v>
      </c>
      <c r="L9" s="256" t="str" cm="1">
        <f t="array" ref="L9">IFERROR(INDEX('Cash Flow Entry'!$E$3:$E$500,MATCH(1,INDEX((Fairview!$C$7='Cash Flow Entry'!$B$3:$B$500)*(VALUE(Fairview!L$7)='Cash Flow Entry'!$C$3:$C$500),0,1),0)),"")</f>
        <v/>
      </c>
      <c r="M9" s="255" t="str" cm="1">
        <f t="array" ref="M9">IFERROR(INDEX('Cash Flow Entry'!$E$3:$E$500,MATCH(1,INDEX((Fairview!$C$7='Cash Flow Entry'!$B$3:$B$500)*(VALUE(Fairview!M$7)='Cash Flow Entry'!$C$3:$C$500),0,1),0)),"")</f>
        <v/>
      </c>
      <c r="N9" s="256" t="str" cm="1">
        <f t="array" ref="N9">IFERROR(INDEX('Cash Flow Entry'!$E$3:$E$500,MATCH(1,INDEX((Fairview!$C$7='Cash Flow Entry'!$B$3:$B$500)*(VALUE(Fairview!N$7)='Cash Flow Entry'!$C$3:$C$500),0,1),0)),"")</f>
        <v/>
      </c>
      <c r="O9" s="258" t="str" cm="1">
        <f t="array" ref="O9">IFERROR(INDEX('Cash Flow Entry'!$E$3:$E$500,MATCH(1,INDEX((Fairview!$C$7='Cash Flow Entry'!$B$3:$B$500)*(VALUE(Fairview!O$7)='Cash Flow Entry'!$C$3:$C$500),0,1),0)),"")</f>
        <v/>
      </c>
      <c r="P9" s="259">
        <f>SUM(D9:O9)</f>
        <v>3987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$1,806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$1,547.35</v>
      </c>
      <c r="N10" s="645"/>
      <c r="O10" s="647"/>
      <c r="P10" s="265">
        <f>P14</f>
        <v>2256038.5500000003</v>
      </c>
      <c r="Q10" s="534">
        <v>1805.82</v>
      </c>
      <c r="R10" s="305">
        <f>Q10*P8</f>
        <v>2632885.56</v>
      </c>
      <c r="S10" s="305"/>
    </row>
    <row r="11" spans="2:20" ht="18.5" x14ac:dyDescent="0.45">
      <c r="B11" s="213" t="s">
        <v>191</v>
      </c>
      <c r="C11" s="267" t="s">
        <v>194</v>
      </c>
      <c r="D11" s="268">
        <f>17939.9+275622.1</f>
        <v>293562</v>
      </c>
      <c r="E11" s="234">
        <f>19175.97+289382.82</f>
        <v>308558.79000000004</v>
      </c>
      <c r="F11" s="234">
        <f>299766.12+19864.02</f>
        <v>319630.14</v>
      </c>
      <c r="G11" s="268">
        <f>21669.84+312406.86</f>
        <v>334076.7</v>
      </c>
      <c r="H11" s="234">
        <f>314212.68+21669.84</f>
        <v>335882.52</v>
      </c>
      <c r="I11" s="269">
        <f>316018.5+21669.84</f>
        <v>337688.34</v>
      </c>
      <c r="J11" s="234">
        <f>310601.04+19864.02</f>
        <v>330465.06</v>
      </c>
      <c r="K11" s="234"/>
      <c r="L11" s="234"/>
      <c r="M11" s="268"/>
      <c r="N11" s="234"/>
      <c r="O11" s="270"/>
      <c r="P11" s="234">
        <f>SUM(D11:O11)</f>
        <v>2259863.5500000003</v>
      </c>
      <c r="Q11" s="302"/>
    </row>
    <row r="12" spans="2:20" ht="18.5" x14ac:dyDescent="0.45">
      <c r="C12" s="267" t="s">
        <v>195</v>
      </c>
      <c r="D12" s="268">
        <f>IF(D$8="","",IF(D$11=0,0,D$8*$Q12))</f>
        <v>-528</v>
      </c>
      <c r="E12" s="234">
        <f t="shared" ref="E12:O12" si="0">IF(E$8="","",IF(E$11=0,0,E$8*$Q12))</f>
        <v>-528</v>
      </c>
      <c r="F12" s="269">
        <f t="shared" si="0"/>
        <v>-552</v>
      </c>
      <c r="G12" s="268">
        <f t="shared" si="0"/>
        <v>-555</v>
      </c>
      <c r="H12" s="234">
        <f t="shared" si="0"/>
        <v>-558</v>
      </c>
      <c r="I12" s="269">
        <f t="shared" si="0"/>
        <v>-552</v>
      </c>
      <c r="J12" s="234">
        <f t="shared" si="0"/>
        <v>-552</v>
      </c>
      <c r="K12" s="234">
        <f t="shared" si="0"/>
        <v>0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-3825</v>
      </c>
      <c r="Q12" s="533">
        <v>-3</v>
      </c>
    </row>
    <row r="13" spans="2:20" ht="18.5" x14ac:dyDescent="0.45">
      <c r="B13" s="213" t="s">
        <v>191</v>
      </c>
      <c r="C13" s="470" t="s">
        <v>196</v>
      </c>
      <c r="D13" s="458">
        <f t="shared" ref="D13:O13" si="2">IF(D$8="","",0)</f>
        <v>0</v>
      </c>
      <c r="E13" s="234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293034</v>
      </c>
      <c r="E14" s="274">
        <f t="shared" ref="E14:O14" si="3">IF(E8="","",SUM(E11:E13))</f>
        <v>308030.79000000004</v>
      </c>
      <c r="F14" s="275">
        <f t="shared" si="3"/>
        <v>319078.14</v>
      </c>
      <c r="G14" s="273">
        <f t="shared" si="3"/>
        <v>333521.7</v>
      </c>
      <c r="H14" s="274">
        <f t="shared" si="3"/>
        <v>335324.52</v>
      </c>
      <c r="I14" s="275">
        <f t="shared" si="3"/>
        <v>337136.34</v>
      </c>
      <c r="J14" s="274">
        <f t="shared" si="3"/>
        <v>329913.06</v>
      </c>
      <c r="K14" s="274">
        <f t="shared" si="3"/>
        <v>0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2256038.5500000003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$1,654</v>
      </c>
      <c r="E16" s="645"/>
      <c r="F16" s="646"/>
      <c r="G16" s="644" t="str">
        <f>"Admin, Reinsurance, &amp; Misc. PEPM: "&amp;DOLLAR(SUM($P36,$P42,$P49)/$P$8,0)</f>
        <v>Admin, Reinsurance, &amp; Misc. PEPM: $571</v>
      </c>
      <c r="H16" s="645"/>
      <c r="I16" s="646"/>
      <c r="J16" s="644" t="str">
        <f>"Total Expenses PEPM: "&amp;DOLLAR($P16/$P$8,0)</f>
        <v>Total Expenses PEPM: $2,224</v>
      </c>
      <c r="K16" s="645"/>
      <c r="L16" s="646"/>
      <c r="M16" s="644" t="str">
        <f>"Projection Variance: "&amp;TEXT(($P$16/$P$8)/$Q$10-1,"0.00%")</f>
        <v>Projection Variance: 23.18%</v>
      </c>
      <c r="N16" s="645"/>
      <c r="O16" s="647"/>
      <c r="P16" s="265">
        <f>SUM(P26,P36,P42,P49)</f>
        <v>3243059.1105263159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Entry'!$F$3:$F$500,MATCH(1,INDEX((Fairview!$C$7='Cash Flow Entry'!$B$3:$B$500)*(VALUE(Fairview!D$7)='Cash Flow Entry'!$C$3:$C$500),0,1),0)),"")+IFERROR(INDEX('Cash Flow Entry'!$H$3:$H$500,MATCH(1,INDEX((Fairview!$C$7='Cash Flow Entry'!$B$3:$B$500)*(VALUE(Fairview!D$7)='Cash Flow Entry'!$C$3:$C$500),0,1),0)),""),"")</f>
        <v>268061.86</v>
      </c>
      <c r="E18" s="234" cm="1">
        <f t="array" ref="E18">IFERROR(IFERROR(INDEX('Cash Flow Entry'!$F$3:$F$500,MATCH(1,INDEX((Fairview!$C$7='Cash Flow Entry'!$B$3:$B$500)*(VALUE(Fairview!E$7)='Cash Flow Entry'!$C$3:$C$500),0,1),0)),"")+IFERROR(INDEX('Cash Flow Entry'!$H$3:$H$500,MATCH(1,INDEX((Fairview!$C$7='Cash Flow Entry'!$B$3:$B$500)*(VALUE(Fairview!E$7)='Cash Flow Entry'!$C$3:$C$500),0,1),0)),""),"")</f>
        <v>515729.76999999996</v>
      </c>
      <c r="F18" s="269" cm="1">
        <f t="array" ref="F18">IFERROR(IFERROR(INDEX('Cash Flow Entry'!$F$3:$F$500,MATCH(1,INDEX((Fairview!$C$7='Cash Flow Entry'!$B$3:$B$500)*(VALUE(Fairview!F$7)='Cash Flow Entry'!$C$3:$C$500),0,1),0)),"")+IFERROR(INDEX('Cash Flow Entry'!$H$3:$H$500,MATCH(1,INDEX((Fairview!$C$7='Cash Flow Entry'!$B$3:$B$500)*(VALUE(Fairview!F$7)='Cash Flow Entry'!$C$3:$C$500),0,1),0)),""),"")</f>
        <v>328416.65999999997</v>
      </c>
      <c r="G18" s="268" cm="1">
        <f t="array" ref="G18">IFERROR(IFERROR(INDEX('Cash Flow Entry'!$F$3:$F$500,MATCH(1,INDEX((Fairview!$C$7='Cash Flow Entry'!$B$3:$B$500)*(VALUE(Fairview!G$7)='Cash Flow Entry'!$C$3:$C$500),0,1),0)),"")+IFERROR(INDEX('Cash Flow Entry'!$H$3:$H$500,MATCH(1,INDEX((Fairview!$C$7='Cash Flow Entry'!$B$3:$B$500)*(VALUE(Fairview!G$7)='Cash Flow Entry'!$C$3:$C$500),0,1),0)),""),"")</f>
        <v>434905.47</v>
      </c>
      <c r="H18" s="234" cm="1">
        <f t="array" ref="H18">IFERROR(IFERROR(INDEX('Cash Flow Entry'!$F$3:$F$500,MATCH(1,INDEX((Fairview!$C$7='Cash Flow Entry'!$B$3:$B$500)*(VALUE(Fairview!H$7)='Cash Flow Entry'!$C$3:$C$500),0,1),0)),"")+IFERROR(INDEX('Cash Flow Entry'!$H$3:$H$500,MATCH(1,INDEX((Fairview!$C$7='Cash Flow Entry'!$B$3:$B$500)*(VALUE(Fairview!H$7)='Cash Flow Entry'!$C$3:$C$500),0,1),0)),""),"")</f>
        <v>351155.81</v>
      </c>
      <c r="I18" s="269" cm="1">
        <f t="array" ref="I18">IFERROR(IFERROR(INDEX('Cash Flow Entry'!$F$3:$F$500,MATCH(1,INDEX((Fairview!$C$7='Cash Flow Entry'!$B$3:$B$500)*(VALUE(Fairview!I$7)='Cash Flow Entry'!$C$3:$C$500),0,1),0)),"")+IFERROR(INDEX('Cash Flow Entry'!$H$3:$H$500,MATCH(1,INDEX((Fairview!$C$7='Cash Flow Entry'!$B$3:$B$500)*(VALUE(Fairview!I$7)='Cash Flow Entry'!$C$3:$C$500),0,1),0)),""),"")</f>
        <v>307188.21000000002</v>
      </c>
      <c r="J18" s="234" cm="1">
        <f t="array" ref="J18">IFERROR(IFERROR(INDEX('Cash Flow Entry'!$F$3:$F$500,MATCH(1,INDEX((Fairview!$C$7='Cash Flow Entry'!$B$3:$B$500)*(VALUE(Fairview!J$7)='Cash Flow Entry'!$C$3:$C$500),0,1),0)),"")+IFERROR(INDEX('Cash Flow Entry'!$H$3:$H$500,MATCH(1,INDEX((Fairview!$C$7='Cash Flow Entry'!$B$3:$B$500)*(VALUE(Fairview!J$7)='Cash Flow Entry'!$C$3:$C$500),0,1),0)),""),"")</f>
        <v>657139.48</v>
      </c>
      <c r="K18" s="234" cm="1">
        <f t="array" ref="K18">IFERROR(IFERROR(INDEX('Cash Flow Entry'!$F$3:$F$500,MATCH(1,INDEX((Fairview!$C$7='Cash Flow Entry'!$B$3:$B$500)*(VALUE(Fairview!K$7)='Cash Flow Entry'!$C$3:$C$500),0,1),0)),"")+IFERROR(INDEX('Cash Flow Entry'!$H$3:$H$500,MATCH(1,INDEX((Fairview!$C$7='Cash Flow Entry'!$B$3:$B$500)*(VALUE(Fairview!K$7)='Cash Flow Entry'!$C$3:$C$500),0,1),0)),""),"")</f>
        <v>342829.64</v>
      </c>
      <c r="L18" s="234" t="str" cm="1">
        <f t="array" ref="L18">IFERROR(IFERROR(INDEX('Cash Flow Entry'!$F$3:$F$500,MATCH(1,INDEX((Fairview!$C$7='Cash Flow Entry'!$B$3:$B$500)*(VALUE(Fairview!L$7)='Cash Flow Entry'!$C$3:$C$500),0,1),0)),"")+IFERROR(INDEX('Cash Flow Entry'!$H$3:$H$500,MATCH(1,INDEX((Fairview!$C$7='Cash Flow Entry'!$B$3:$B$500)*(VALUE(Fairview!L$7)='Cash Flow Entry'!$C$3:$C$500),0,1),0)),""),"")</f>
        <v/>
      </c>
      <c r="M18" s="268" t="str" cm="1">
        <f t="array" ref="M18">IFERROR(IFERROR(INDEX('Cash Flow Entry'!$F$3:$F$500,MATCH(1,INDEX((Fairview!$C$7='Cash Flow Entry'!$B$3:$B$500)*(VALUE(Fairview!M$7)='Cash Flow Entry'!$C$3:$C$500),0,1),0)),"")+IFERROR(INDEX('Cash Flow Entry'!$H$3:$H$500,MATCH(1,INDEX((Fairview!$C$7='Cash Flow Entry'!$B$3:$B$500)*(VALUE(Fairview!M$7)='Cash Flow Entry'!$C$3:$C$500),0,1),0)),""),"")</f>
        <v/>
      </c>
      <c r="N18" s="234" t="str" cm="1">
        <f t="array" ref="N18">IFERROR(IFERROR(INDEX('Cash Flow Entry'!$F$3:$F$500,MATCH(1,INDEX((Fairview!$C$7='Cash Flow Entry'!$B$3:$B$500)*(VALUE(Fairview!N$7)='Cash Flow Entry'!$C$3:$C$500),0,1),0)),"")+IFERROR(INDEX('Cash Flow Entry'!$H$3:$H$500,MATCH(1,INDEX((Fairview!$C$7='Cash Flow Entry'!$B$3:$B$500)*(VALUE(Fairview!N$7)='Cash Flow Entry'!$C$3:$C$500),0,1),0)),""),"")</f>
        <v/>
      </c>
      <c r="O18" s="270" t="str" cm="1">
        <f t="array" ref="O18">IFERROR(IFERROR(INDEX('Cash Flow Entry'!$F$3:$F$500,MATCH(1,INDEX((Fairview!$C$7='Cash Flow Entry'!$B$3:$B$500)*(VALUE(Fairview!O$7)='Cash Flow Entry'!$C$3:$C$500),0,1),0)),"")+IFERROR(INDEX('Cash Flow Entry'!$H$3:$H$500,MATCH(1,INDEX((Fairview!$C$7='Cash Flow Entry'!$B$3:$B$500)*(VALUE(Fairview!O$7)='Cash Flow Entry'!$C$3:$C$500),0,1),0)),""),"")</f>
        <v/>
      </c>
      <c r="P18" s="234">
        <f>SUM(D18:O18)</f>
        <v>3205426.9</v>
      </c>
      <c r="Q18" s="533">
        <v>890.87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Entry'!$G$3:$G$500,MATCH(1,INDEX((Fairview!$C$7='Cash Flow Entry'!$B$3:$B$500)*(VALUE(Fairview!D$7)='Cash Flow Entry'!$C$3:$C$500),0,1),0)),"")</f>
        <v>93491.82</v>
      </c>
      <c r="E19" s="234" cm="1">
        <f t="array" ref="E19">IFERROR(INDEX('Cash Flow Entry'!$G$3:$G$500,MATCH(1,INDEX((Fairview!$C$7='Cash Flow Entry'!$B$3:$B$500)*(VALUE(Fairview!E$7)='Cash Flow Entry'!$C$3:$C$500),0,1),0)),"")</f>
        <v>147211.07</v>
      </c>
      <c r="F19" s="269" cm="1">
        <f t="array" ref="F19">IFERROR(INDEX('Cash Flow Entry'!$G$3:$G$500,MATCH(1,INDEX((Fairview!$C$7='Cash Flow Entry'!$B$3:$B$500)*(VALUE(Fairview!F$7)='Cash Flow Entry'!$C$3:$C$500),0,1),0)),"")</f>
        <v>116788.44</v>
      </c>
      <c r="G19" s="268" cm="1">
        <f t="array" ref="G19">IFERROR(INDEX('Cash Flow Entry'!$G$3:$G$500,MATCH(1,INDEX((Fairview!$C$7='Cash Flow Entry'!$B$3:$B$500)*(VALUE(Fairview!G$7)='Cash Flow Entry'!$C$3:$C$500),0,1),0)),"")</f>
        <v>134649.59</v>
      </c>
      <c r="H19" s="234" cm="1">
        <f t="array" ref="H19">IFERROR(INDEX('Cash Flow Entry'!$G$3:$G$500,MATCH(1,INDEX((Fairview!$C$7='Cash Flow Entry'!$B$3:$B$500)*(VALUE(Fairview!H$7)='Cash Flow Entry'!$C$3:$C$500),0,1),0)),"")</f>
        <v>159189.75</v>
      </c>
      <c r="I19" s="269" cm="1">
        <f t="array" ref="I19">IFERROR(INDEX('Cash Flow Entry'!$G$3:$G$500,MATCH(1,INDEX((Fairview!$C$7='Cash Flow Entry'!$B$3:$B$500)*(VALUE(Fairview!I$7)='Cash Flow Entry'!$C$3:$C$500),0,1),0)),"")</f>
        <v>179142.75</v>
      </c>
      <c r="J19" s="234" cm="1">
        <f t="array" ref="J19">IFERROR(INDEX('Cash Flow Entry'!$G$3:$G$500,MATCH(1,INDEX((Fairview!$C$7='Cash Flow Entry'!$B$3:$B$500)*(VALUE(Fairview!J$7)='Cash Flow Entry'!$C$3:$C$500),0,1),0)),"")</f>
        <v>298148.81</v>
      </c>
      <c r="K19" s="234" cm="1">
        <f t="array" ref="K19">IFERROR(INDEX('Cash Flow Entry'!$G$3:$G$500,MATCH(1,INDEX((Fairview!$C$7='Cash Flow Entry'!$B$3:$B$500)*(VALUE(Fairview!K$7)='Cash Flow Entry'!$C$3:$C$500),0,1),0)),"")</f>
        <v>192046.1</v>
      </c>
      <c r="L19" s="234" t="str" cm="1">
        <f t="array" ref="L19">IFERROR(INDEX('Cash Flow Entry'!$G$3:$G$500,MATCH(1,INDEX((Fairview!$C$7='Cash Flow Entry'!$B$3:$B$500)*(VALUE(Fairview!L$7)='Cash Flow Entry'!$C$3:$C$500),0,1),0)),"")</f>
        <v/>
      </c>
      <c r="M19" s="268" t="str" cm="1">
        <f t="array" ref="M19">IFERROR(INDEX('Cash Flow Entry'!$G$3:$G$500,MATCH(1,INDEX((Fairview!$C$7='Cash Flow Entry'!$B$3:$B$500)*(VALUE(Fairview!M$7)='Cash Flow Entry'!$C$3:$C$500),0,1),0)),"")</f>
        <v/>
      </c>
      <c r="N19" s="234" t="str" cm="1">
        <f t="array" ref="N19">IFERROR(INDEX('Cash Flow Entry'!$G$3:$G$500,MATCH(1,INDEX((Fairview!$C$7='Cash Flow Entry'!$B$3:$B$500)*(VALUE(Fairview!N$7)='Cash Flow Entry'!$C$3:$C$500),0,1),0)),"")</f>
        <v/>
      </c>
      <c r="O19" s="270" t="str" cm="1">
        <f t="array" ref="O19">IFERROR(INDEX('Cash Flow Entry'!$G$3:$G$500,MATCH(1,INDEX((Fairview!$C$7='Cash Flow Entry'!$B$3:$B$500)*(VALUE(Fairview!O$7)='Cash Flow Entry'!$C$3:$C$500),0,1),0)),"")</f>
        <v/>
      </c>
      <c r="P19" s="234">
        <f>SUM(D19:O19)</f>
        <v>1320668.33</v>
      </c>
      <c r="Q19" s="533">
        <v>292.72000000000003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ht="18.5" x14ac:dyDescent="0.45">
      <c r="B21" s="219">
        <f>INDEX('HCC Summary'!$I$9:$I$27,MATCH(Fairview!C7,'HCC Summary'!B9:B27, 0))</f>
        <v>1053855.3499999999</v>
      </c>
      <c r="C21" s="282" t="s">
        <v>225</v>
      </c>
      <c r="D21" s="283">
        <v>0</v>
      </c>
      <c r="E21" s="284">
        <v>207381.8</v>
      </c>
      <c r="F21" s="285">
        <v>330786.40000000002</v>
      </c>
      <c r="G21" s="283">
        <v>468087.38</v>
      </c>
      <c r="H21" s="284">
        <v>501243.58</v>
      </c>
      <c r="I21" s="285">
        <v>717716.44</v>
      </c>
      <c r="J21" s="284">
        <v>968644.16</v>
      </c>
      <c r="K21" s="284">
        <v>1053855.3500000001</v>
      </c>
      <c r="L21" s="284"/>
      <c r="M21" s="283"/>
      <c r="N21" s="284"/>
      <c r="O21" s="286"/>
      <c r="P21" s="641">
        <f>SUM(D22:O22)</f>
        <v>-1053855.3500000001</v>
      </c>
      <c r="Q21" s="533"/>
    </row>
    <row r="22" spans="2:17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-207381.8</v>
      </c>
      <c r="F22" s="269">
        <f t="shared" si="5"/>
        <v>-123404.60000000003</v>
      </c>
      <c r="G22" s="268">
        <f t="shared" si="5"/>
        <v>-137300.97999999998</v>
      </c>
      <c r="H22" s="234">
        <f t="shared" si="5"/>
        <v>-33156.200000000012</v>
      </c>
      <c r="I22" s="269">
        <f t="shared" si="5"/>
        <v>-216472.85999999993</v>
      </c>
      <c r="J22" s="234">
        <f t="shared" si="5"/>
        <v>-250927.72000000009</v>
      </c>
      <c r="K22" s="234">
        <f t="shared" si="5"/>
        <v>-85211.190000000061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7" ht="18.5" x14ac:dyDescent="0.45">
      <c r="C23" s="267" t="s">
        <v>363</v>
      </c>
      <c r="D23" s="268">
        <f>IF(D$8="","",$U68)</f>
        <v>-303108.15000000002</v>
      </c>
      <c r="E23" s="234">
        <f>IF(E$8="","",$U69)</f>
        <v>0</v>
      </c>
      <c r="F23" s="269">
        <f>IF(F$8="","",$U70)</f>
        <v>0</v>
      </c>
      <c r="G23" s="268">
        <f>IF(G$8="","",$U71)</f>
        <v>-58818.21</v>
      </c>
      <c r="H23" s="234">
        <f>IF(H$8="","",$U72)</f>
        <v>-119454.05</v>
      </c>
      <c r="I23" s="269">
        <f>IF(I$8="","",$U73)</f>
        <v>-177068.44</v>
      </c>
      <c r="J23" s="234">
        <f>IF(J$8="","",$U74)</f>
        <v>-118596.18</v>
      </c>
      <c r="K23" s="234">
        <f>IF(K$8="","",$U75)</f>
        <v>-137915.15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-914960.18</v>
      </c>
      <c r="Q23" s="533"/>
    </row>
    <row r="24" spans="2:17" ht="18.5" x14ac:dyDescent="0.45">
      <c r="C24" s="267" t="s">
        <v>25</v>
      </c>
      <c r="D24" s="268">
        <f t="shared" ref="D24:O24" si="7">IF(D$8="","",D$8*$Q$24)</f>
        <v>-19360</v>
      </c>
      <c r="E24" s="234">
        <f t="shared" si="7"/>
        <v>-19360</v>
      </c>
      <c r="F24" s="269">
        <f t="shared" si="7"/>
        <v>-20240</v>
      </c>
      <c r="G24" s="268">
        <f t="shared" si="7"/>
        <v>-20350</v>
      </c>
      <c r="H24" s="234">
        <f t="shared" si="7"/>
        <v>-20460</v>
      </c>
      <c r="I24" s="269">
        <f t="shared" si="7"/>
        <v>-20240</v>
      </c>
      <c r="J24" s="234">
        <f t="shared" si="7"/>
        <v>-20240</v>
      </c>
      <c r="K24" s="234">
        <f t="shared" si="7"/>
        <v>-20130</v>
      </c>
      <c r="L24" s="234" t="str">
        <f t="shared" si="7"/>
        <v/>
      </c>
      <c r="M24" s="268" t="str">
        <f t="shared" si="7"/>
        <v/>
      </c>
      <c r="N24" s="234" t="str">
        <f t="shared" si="7"/>
        <v/>
      </c>
      <c r="O24" s="270" t="str">
        <f t="shared" si="7"/>
        <v/>
      </c>
      <c r="P24" s="234">
        <f t="shared" si="6"/>
        <v>-160380</v>
      </c>
      <c r="Q24" s="533">
        <v>-110</v>
      </c>
    </row>
    <row r="25" spans="2:17" ht="18.5" x14ac:dyDescent="0.45">
      <c r="B25" s="213"/>
      <c r="C25" s="267" t="s">
        <v>199</v>
      </c>
      <c r="D25" s="268">
        <f>IF(D$8="","",SUM($L68:$R68))</f>
        <v>2792.25</v>
      </c>
      <c r="E25" s="234">
        <f>IF(E$8="","",SUM($L69:$R69))</f>
        <v>3779.8</v>
      </c>
      <c r="F25" s="269">
        <f>IF(F$8="","",SUM($L70:$R70))</f>
        <v>13308.46</v>
      </c>
      <c r="G25" s="268">
        <f>IF(G$8="","",SUM($L71:$R71))</f>
        <v>4362.7699999999995</v>
      </c>
      <c r="H25" s="234">
        <f>IF(H$8="","",SUM($L72:$R72))</f>
        <v>2878.96</v>
      </c>
      <c r="I25" s="269">
        <f>IF(I$8="","",SUM($L73:$R73))</f>
        <v>2185.7599999999998</v>
      </c>
      <c r="J25" s="234">
        <f>IF(J$8="","",SUM($L74:$R74))</f>
        <v>3408.07</v>
      </c>
      <c r="K25" s="234">
        <f>IF(K$8="","",SUM($L75:$S75))</f>
        <v>-18642.54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14073.529999999995</v>
      </c>
      <c r="Q25" s="533"/>
    </row>
    <row r="26" spans="2:17" ht="18.5" x14ac:dyDescent="0.45">
      <c r="C26" s="272" t="s">
        <v>200</v>
      </c>
      <c r="D26" s="273">
        <f>IF(D8="","",SUM(D18:D20,D22:D25))</f>
        <v>41877.77999999997</v>
      </c>
      <c r="E26" s="274">
        <f t="shared" ref="E26:L26" si="8">IF(E8="","",SUM(E18:E20,E22:E25))</f>
        <v>439978.83999999997</v>
      </c>
      <c r="F26" s="275">
        <f t="shared" si="8"/>
        <v>314868.95999999996</v>
      </c>
      <c r="G26" s="273">
        <f t="shared" si="8"/>
        <v>357448.63999999996</v>
      </c>
      <c r="H26" s="274">
        <f t="shared" si="8"/>
        <v>340154.27</v>
      </c>
      <c r="I26" s="275">
        <f t="shared" si="8"/>
        <v>74735.420000000086</v>
      </c>
      <c r="J26" s="273">
        <f t="shared" si="8"/>
        <v>568932.45999999985</v>
      </c>
      <c r="K26" s="274">
        <f t="shared" si="8"/>
        <v>272976.85999999993</v>
      </c>
      <c r="L26" s="275" t="str">
        <f t="shared" si="8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9">IF(O8="","",SUM(O18:O19,O22:O25))</f>
        <v/>
      </c>
      <c r="P26" s="274">
        <f>SUM(P18:P25)</f>
        <v>2410973.23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ht="18.5" x14ac:dyDescent="0.45">
      <c r="C28" s="267" t="s">
        <v>223</v>
      </c>
      <c r="D28" s="268">
        <f>IF(D$8="","",D$8*$Q28)</f>
        <v>7064.64</v>
      </c>
      <c r="E28" s="234">
        <f t="shared" ref="E28:O35" si="10">IF(E$8="","",E$8*$Q28)</f>
        <v>7064.64</v>
      </c>
      <c r="F28" s="269">
        <f t="shared" si="10"/>
        <v>7385.76</v>
      </c>
      <c r="G28" s="268">
        <f t="shared" si="10"/>
        <v>7425.9000000000005</v>
      </c>
      <c r="H28" s="234">
        <f t="shared" si="10"/>
        <v>7466.04</v>
      </c>
      <c r="I28" s="269">
        <f t="shared" si="10"/>
        <v>7385.76</v>
      </c>
      <c r="J28" s="234">
        <f t="shared" si="10"/>
        <v>7385.76</v>
      </c>
      <c r="K28" s="234">
        <f t="shared" si="10"/>
        <v>7345.62</v>
      </c>
      <c r="L28" s="234" t="str">
        <f t="shared" si="10"/>
        <v/>
      </c>
      <c r="M28" s="268" t="str">
        <f t="shared" si="10"/>
        <v/>
      </c>
      <c r="N28" s="234" t="str">
        <f t="shared" si="10"/>
        <v/>
      </c>
      <c r="O28" s="270" t="str">
        <f t="shared" si="10"/>
        <v/>
      </c>
      <c r="P28" s="234">
        <f>SUM(D28:O28)</f>
        <v>58524.12000000001</v>
      </c>
      <c r="Q28" s="533">
        <v>40.14</v>
      </c>
    </row>
    <row r="29" spans="2:17" ht="18.5" x14ac:dyDescent="0.45">
      <c r="C29" s="267" t="s">
        <v>224</v>
      </c>
      <c r="D29" s="268">
        <f t="shared" ref="D29:O35" si="11">IF(D$8="","",D$8*$Q29)</f>
        <v>704</v>
      </c>
      <c r="E29" s="234">
        <f t="shared" si="10"/>
        <v>704</v>
      </c>
      <c r="F29" s="269">
        <f t="shared" si="10"/>
        <v>736</v>
      </c>
      <c r="G29" s="268">
        <f t="shared" si="10"/>
        <v>740</v>
      </c>
      <c r="H29" s="234">
        <f t="shared" si="10"/>
        <v>744</v>
      </c>
      <c r="I29" s="269">
        <f t="shared" si="10"/>
        <v>736</v>
      </c>
      <c r="J29" s="234">
        <f t="shared" si="10"/>
        <v>736</v>
      </c>
      <c r="K29" s="234">
        <f t="shared" si="10"/>
        <v>732</v>
      </c>
      <c r="L29" s="234" t="str">
        <f t="shared" si="10"/>
        <v/>
      </c>
      <c r="M29" s="268" t="str">
        <f t="shared" si="10"/>
        <v/>
      </c>
      <c r="N29" s="234" t="str">
        <f t="shared" si="10"/>
        <v/>
      </c>
      <c r="O29" s="270" t="str">
        <f t="shared" si="10"/>
        <v/>
      </c>
      <c r="P29" s="234">
        <f t="shared" ref="P29:P35" si="12">SUM(D29:O29)</f>
        <v>5832</v>
      </c>
      <c r="Q29" s="533">
        <v>4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10"/>
        <v>0</v>
      </c>
      <c r="F30" s="234">
        <f t="shared" si="10"/>
        <v>0</v>
      </c>
      <c r="G30" s="268">
        <f t="shared" si="10"/>
        <v>0</v>
      </c>
      <c r="H30" s="234">
        <f t="shared" si="10"/>
        <v>0</v>
      </c>
      <c r="I30" s="234">
        <f t="shared" si="10"/>
        <v>0</v>
      </c>
      <c r="J30" s="268">
        <f t="shared" si="10"/>
        <v>0</v>
      </c>
      <c r="K30" s="234">
        <f t="shared" si="10"/>
        <v>0</v>
      </c>
      <c r="L30" s="234" t="str">
        <f t="shared" si="10"/>
        <v/>
      </c>
      <c r="M30" s="268" t="str">
        <f t="shared" si="10"/>
        <v/>
      </c>
      <c r="N30" s="234" t="str">
        <f t="shared" si="10"/>
        <v/>
      </c>
      <c r="O30" s="270" t="str">
        <f t="shared" si="10"/>
        <v/>
      </c>
      <c r="P30" s="234">
        <f t="shared" si="12"/>
        <v>0</v>
      </c>
      <c r="Q30" s="533">
        <v>0</v>
      </c>
    </row>
    <row r="31" spans="2:17" ht="18.5" x14ac:dyDescent="0.45">
      <c r="C31" s="267" t="s">
        <v>325</v>
      </c>
      <c r="D31" s="268">
        <f t="shared" si="11"/>
        <v>0</v>
      </c>
      <c r="E31" s="234">
        <f t="shared" si="11"/>
        <v>0</v>
      </c>
      <c r="F31" s="234">
        <f t="shared" si="11"/>
        <v>0</v>
      </c>
      <c r="G31" s="268">
        <f t="shared" si="11"/>
        <v>0</v>
      </c>
      <c r="H31" s="234">
        <f t="shared" si="11"/>
        <v>0</v>
      </c>
      <c r="I31" s="234">
        <f t="shared" si="11"/>
        <v>0</v>
      </c>
      <c r="J31" s="268">
        <f t="shared" si="11"/>
        <v>0</v>
      </c>
      <c r="K31" s="234">
        <f t="shared" si="11"/>
        <v>0</v>
      </c>
      <c r="L31" s="234" t="str">
        <f t="shared" si="11"/>
        <v/>
      </c>
      <c r="M31" s="268" t="str">
        <f t="shared" si="11"/>
        <v/>
      </c>
      <c r="N31" s="234" t="str">
        <f t="shared" si="11"/>
        <v/>
      </c>
      <c r="O31" s="270" t="str">
        <f t="shared" si="11"/>
        <v/>
      </c>
      <c r="P31" s="234">
        <f t="shared" si="12"/>
        <v>0</v>
      </c>
      <c r="Q31" s="533">
        <v>0</v>
      </c>
    </row>
    <row r="32" spans="2:17" ht="18.5" x14ac:dyDescent="0.45">
      <c r="C32" s="267" t="s">
        <v>247</v>
      </c>
      <c r="D32" s="268">
        <f t="shared" si="11"/>
        <v>0</v>
      </c>
      <c r="E32" s="234">
        <f t="shared" si="11"/>
        <v>0</v>
      </c>
      <c r="F32" s="269">
        <f t="shared" si="11"/>
        <v>0</v>
      </c>
      <c r="G32" s="268">
        <f t="shared" si="11"/>
        <v>0</v>
      </c>
      <c r="H32" s="234">
        <f t="shared" si="11"/>
        <v>0</v>
      </c>
      <c r="I32" s="269">
        <f t="shared" si="11"/>
        <v>0</v>
      </c>
      <c r="J32" s="234">
        <f t="shared" si="11"/>
        <v>0</v>
      </c>
      <c r="K32" s="234">
        <f t="shared" si="11"/>
        <v>0</v>
      </c>
      <c r="L32" s="234" t="str">
        <f t="shared" si="11"/>
        <v/>
      </c>
      <c r="M32" s="268" t="str">
        <f t="shared" si="11"/>
        <v/>
      </c>
      <c r="N32" s="234" t="str">
        <f t="shared" si="11"/>
        <v/>
      </c>
      <c r="O32" s="270" t="str">
        <f t="shared" si="11"/>
        <v/>
      </c>
      <c r="P32" s="234">
        <f t="shared" si="12"/>
        <v>0</v>
      </c>
      <c r="Q32" s="533">
        <v>0</v>
      </c>
    </row>
    <row r="33" spans="2:18" ht="18.5" x14ac:dyDescent="0.45">
      <c r="C33" s="267" t="s">
        <v>227</v>
      </c>
      <c r="D33" s="268">
        <f t="shared" si="11"/>
        <v>308</v>
      </c>
      <c r="E33" s="234">
        <f t="shared" si="10"/>
        <v>308</v>
      </c>
      <c r="F33" s="269">
        <f t="shared" si="10"/>
        <v>322</v>
      </c>
      <c r="G33" s="268">
        <f t="shared" si="10"/>
        <v>323.75</v>
      </c>
      <c r="H33" s="234">
        <f t="shared" si="10"/>
        <v>325.5</v>
      </c>
      <c r="I33" s="269">
        <f t="shared" si="10"/>
        <v>322</v>
      </c>
      <c r="J33" s="234">
        <f t="shared" si="10"/>
        <v>322</v>
      </c>
      <c r="K33" s="234">
        <f t="shared" si="10"/>
        <v>320.25</v>
      </c>
      <c r="L33" s="234" t="str">
        <f t="shared" si="10"/>
        <v/>
      </c>
      <c r="M33" s="268" t="str">
        <f t="shared" si="10"/>
        <v/>
      </c>
      <c r="N33" s="234" t="str">
        <f t="shared" si="10"/>
        <v/>
      </c>
      <c r="O33" s="270" t="str">
        <f t="shared" si="10"/>
        <v/>
      </c>
      <c r="P33" s="234">
        <f t="shared" si="12"/>
        <v>2551.5</v>
      </c>
      <c r="Q33" s="533">
        <v>1.75</v>
      </c>
    </row>
    <row r="34" spans="2:18" ht="18.5" x14ac:dyDescent="0.45">
      <c r="C34" s="267" t="s">
        <v>228</v>
      </c>
      <c r="D34" s="268">
        <f t="shared" si="11"/>
        <v>580.79999999999995</v>
      </c>
      <c r="E34" s="234">
        <f t="shared" si="10"/>
        <v>580.79999999999995</v>
      </c>
      <c r="F34" s="269">
        <f t="shared" si="10"/>
        <v>607.19999999999993</v>
      </c>
      <c r="G34" s="268">
        <f t="shared" si="10"/>
        <v>610.5</v>
      </c>
      <c r="H34" s="234">
        <f t="shared" si="10"/>
        <v>613.79999999999995</v>
      </c>
      <c r="I34" s="269">
        <f t="shared" si="10"/>
        <v>607.19999999999993</v>
      </c>
      <c r="J34" s="234">
        <f t="shared" si="10"/>
        <v>607.19999999999993</v>
      </c>
      <c r="K34" s="234">
        <f t="shared" si="10"/>
        <v>603.9</v>
      </c>
      <c r="L34" s="234" t="str">
        <f t="shared" si="10"/>
        <v/>
      </c>
      <c r="M34" s="268" t="str">
        <f t="shared" si="10"/>
        <v/>
      </c>
      <c r="N34" s="234" t="str">
        <f t="shared" si="10"/>
        <v/>
      </c>
      <c r="O34" s="270" t="str">
        <f t="shared" si="10"/>
        <v/>
      </c>
      <c r="P34" s="234">
        <f t="shared" si="12"/>
        <v>4811.3999999999987</v>
      </c>
      <c r="Q34" s="533">
        <v>3.3</v>
      </c>
    </row>
    <row r="35" spans="2:18" ht="18.5" x14ac:dyDescent="0.45">
      <c r="C35" s="267" t="s">
        <v>202</v>
      </c>
      <c r="D35" s="268">
        <f t="shared" si="11"/>
        <v>696.96</v>
      </c>
      <c r="E35" s="234">
        <f t="shared" si="10"/>
        <v>696.96</v>
      </c>
      <c r="F35" s="269">
        <f t="shared" si="10"/>
        <v>728.64</v>
      </c>
      <c r="G35" s="268">
        <f t="shared" si="10"/>
        <v>732.6</v>
      </c>
      <c r="H35" s="234">
        <f t="shared" si="10"/>
        <v>736.56</v>
      </c>
      <c r="I35" s="269">
        <f t="shared" si="10"/>
        <v>728.64</v>
      </c>
      <c r="J35" s="234">
        <f t="shared" si="10"/>
        <v>728.64</v>
      </c>
      <c r="K35" s="234">
        <f t="shared" si="10"/>
        <v>724.68</v>
      </c>
      <c r="L35" s="234" t="str">
        <f t="shared" si="10"/>
        <v/>
      </c>
      <c r="M35" s="268" t="str">
        <f t="shared" si="10"/>
        <v/>
      </c>
      <c r="N35" s="234" t="str">
        <f t="shared" si="10"/>
        <v/>
      </c>
      <c r="O35" s="270" t="str">
        <f t="shared" si="10"/>
        <v/>
      </c>
      <c r="P35" s="234">
        <f t="shared" si="12"/>
        <v>5773.68</v>
      </c>
      <c r="Q35" s="533">
        <v>3.96</v>
      </c>
    </row>
    <row r="36" spans="2:18" ht="18.5" x14ac:dyDescent="0.45">
      <c r="C36" s="272" t="s">
        <v>203</v>
      </c>
      <c r="D36" s="273">
        <f t="shared" ref="D36:P36" si="13">IF(D$8="","",SUM(D28:D35))</f>
        <v>9354.4000000000015</v>
      </c>
      <c r="E36" s="274">
        <f t="shared" si="13"/>
        <v>9354.4000000000015</v>
      </c>
      <c r="F36" s="275">
        <f t="shared" si="13"/>
        <v>9779.6</v>
      </c>
      <c r="G36" s="273">
        <f t="shared" si="13"/>
        <v>9832.7500000000018</v>
      </c>
      <c r="H36" s="274">
        <f t="shared" si="13"/>
        <v>9885.9</v>
      </c>
      <c r="I36" s="275">
        <f t="shared" si="13"/>
        <v>9779.6</v>
      </c>
      <c r="J36" s="274">
        <f t="shared" si="13"/>
        <v>9779.6</v>
      </c>
      <c r="K36" s="274">
        <f t="shared" si="13"/>
        <v>9726.4499999999989</v>
      </c>
      <c r="L36" s="274" t="str">
        <f t="shared" si="13"/>
        <v/>
      </c>
      <c r="M36" s="273" t="str">
        <f t="shared" si="13"/>
        <v/>
      </c>
      <c r="N36" s="274" t="str">
        <f t="shared" si="13"/>
        <v/>
      </c>
      <c r="O36" s="276" t="str">
        <f t="shared" si="13"/>
        <v/>
      </c>
      <c r="P36" s="274">
        <f t="shared" si="13"/>
        <v>77492.700000000012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17383.52</v>
      </c>
      <c r="E38" s="234">
        <f t="shared" ref="E38:O41" si="14">IF(E$8="","",E$8*$Q38)</f>
        <v>17383.52</v>
      </c>
      <c r="F38" s="269">
        <f t="shared" si="14"/>
        <v>18173.68</v>
      </c>
      <c r="G38" s="268">
        <f t="shared" si="14"/>
        <v>18272.45</v>
      </c>
      <c r="H38" s="234">
        <f t="shared" si="14"/>
        <v>18371.219999999998</v>
      </c>
      <c r="I38" s="269">
        <f t="shared" si="14"/>
        <v>18173.68</v>
      </c>
      <c r="J38" s="234">
        <f t="shared" si="14"/>
        <v>18173.68</v>
      </c>
      <c r="K38" s="234">
        <f t="shared" si="14"/>
        <v>18074.91</v>
      </c>
      <c r="L38" s="234" t="str">
        <f t="shared" si="14"/>
        <v/>
      </c>
      <c r="M38" s="268" t="str">
        <f t="shared" si="14"/>
        <v/>
      </c>
      <c r="N38" s="234" t="str">
        <f t="shared" si="14"/>
        <v/>
      </c>
      <c r="O38" s="270" t="str">
        <f t="shared" si="14"/>
        <v/>
      </c>
      <c r="P38" s="234">
        <f>SUM(D38:O38)</f>
        <v>144006.66</v>
      </c>
      <c r="Q38" s="533">
        <v>98.77</v>
      </c>
    </row>
    <row r="39" spans="2:18" ht="18.5" x14ac:dyDescent="0.45">
      <c r="C39" s="267" t="s">
        <v>205</v>
      </c>
      <c r="D39" s="268">
        <f t="shared" ref="D39:D41" si="15">IF(D$8="","",D$8*$Q39)</f>
        <v>85683.839999999997</v>
      </c>
      <c r="E39" s="234">
        <f t="shared" si="14"/>
        <v>85683.839999999997</v>
      </c>
      <c r="F39" s="269">
        <f t="shared" si="14"/>
        <v>89578.559999999998</v>
      </c>
      <c r="G39" s="268">
        <f t="shared" si="14"/>
        <v>90065.4</v>
      </c>
      <c r="H39" s="234">
        <f t="shared" si="14"/>
        <v>90552.239999999991</v>
      </c>
      <c r="I39" s="269">
        <f t="shared" ref="I39:O39" si="16">IF(I$8="","",I$8*$R39)</f>
        <v>52778.559999999998</v>
      </c>
      <c r="J39" s="234">
        <f t="shared" si="16"/>
        <v>52778.559999999998</v>
      </c>
      <c r="K39" s="234">
        <f t="shared" si="16"/>
        <v>52491.719999999994</v>
      </c>
      <c r="L39" s="234" t="str">
        <f t="shared" si="16"/>
        <v/>
      </c>
      <c r="M39" s="268" t="str">
        <f t="shared" si="16"/>
        <v/>
      </c>
      <c r="N39" s="234" t="str">
        <f t="shared" si="16"/>
        <v/>
      </c>
      <c r="O39" s="270" t="str">
        <f t="shared" si="16"/>
        <v/>
      </c>
      <c r="P39" s="234">
        <f t="shared" ref="P39:P41" si="17">SUM(D39:O39)</f>
        <v>599612.72</v>
      </c>
      <c r="Q39" s="533">
        <v>486.84</v>
      </c>
      <c r="R39" s="11">
        <f>Q39-200</f>
        <v>286.83999999999997</v>
      </c>
    </row>
    <row r="40" spans="2:18" ht="18.5" x14ac:dyDescent="0.45">
      <c r="C40" s="267" t="s">
        <v>322</v>
      </c>
      <c r="D40" s="268">
        <f t="shared" ref="D40:O40" si="18">IF(D$8="","",D$8*$Q40)</f>
        <v>704</v>
      </c>
      <c r="E40" s="234">
        <f t="shared" si="18"/>
        <v>704</v>
      </c>
      <c r="F40" s="269">
        <f t="shared" si="18"/>
        <v>736</v>
      </c>
      <c r="G40" s="234">
        <f t="shared" si="18"/>
        <v>740</v>
      </c>
      <c r="H40" s="234">
        <f t="shared" si="18"/>
        <v>744</v>
      </c>
      <c r="I40" s="269">
        <f t="shared" si="18"/>
        <v>736</v>
      </c>
      <c r="J40" s="234">
        <f t="shared" si="18"/>
        <v>736</v>
      </c>
      <c r="K40" s="234">
        <f t="shared" si="18"/>
        <v>732</v>
      </c>
      <c r="L40" s="234" t="str">
        <f t="shared" si="18"/>
        <v/>
      </c>
      <c r="M40" s="268" t="str">
        <f t="shared" si="18"/>
        <v/>
      </c>
      <c r="N40" s="234" t="str">
        <f t="shared" si="18"/>
        <v/>
      </c>
      <c r="O40" s="270" t="str">
        <f t="shared" si="18"/>
        <v/>
      </c>
      <c r="P40" s="234">
        <f>SUM(D40:O40)</f>
        <v>5832</v>
      </c>
      <c r="Q40" s="533">
        <v>4</v>
      </c>
    </row>
    <row r="41" spans="2:18" ht="18.5" x14ac:dyDescent="0.45">
      <c r="C41" s="267" t="s">
        <v>206</v>
      </c>
      <c r="D41" s="268">
        <f t="shared" si="15"/>
        <v>506.88</v>
      </c>
      <c r="E41" s="234">
        <f t="shared" si="14"/>
        <v>506.88</v>
      </c>
      <c r="F41" s="269">
        <f t="shared" si="14"/>
        <v>529.91999999999996</v>
      </c>
      <c r="G41" s="268">
        <f t="shared" si="14"/>
        <v>532.79999999999995</v>
      </c>
      <c r="H41" s="234">
        <f t="shared" si="14"/>
        <v>535.67999999999995</v>
      </c>
      <c r="I41" s="269">
        <f t="shared" si="14"/>
        <v>529.91999999999996</v>
      </c>
      <c r="J41" s="234">
        <f t="shared" si="14"/>
        <v>529.91999999999996</v>
      </c>
      <c r="K41" s="234">
        <f t="shared" si="14"/>
        <v>527.04</v>
      </c>
      <c r="L41" s="234" t="str">
        <f t="shared" si="14"/>
        <v/>
      </c>
      <c r="M41" s="268" t="str">
        <f t="shared" si="14"/>
        <v/>
      </c>
      <c r="N41" s="234" t="str">
        <f t="shared" si="14"/>
        <v/>
      </c>
      <c r="O41" s="270" t="str">
        <f t="shared" si="14"/>
        <v/>
      </c>
      <c r="P41" s="234">
        <f t="shared" si="17"/>
        <v>4199.0399999999991</v>
      </c>
      <c r="Q41" s="533">
        <v>2.88</v>
      </c>
    </row>
    <row r="42" spans="2:18" ht="18.5" x14ac:dyDescent="0.45">
      <c r="C42" s="272" t="s">
        <v>207</v>
      </c>
      <c r="D42" s="273">
        <f t="shared" ref="D42:O42" si="19">IF(D$8="","",SUM(D38:D41))</f>
        <v>104278.24</v>
      </c>
      <c r="E42" s="274">
        <f t="shared" si="19"/>
        <v>104278.24</v>
      </c>
      <c r="F42" s="275">
        <f t="shared" si="19"/>
        <v>109018.15999999999</v>
      </c>
      <c r="G42" s="273">
        <f t="shared" si="19"/>
        <v>109610.65</v>
      </c>
      <c r="H42" s="274">
        <f t="shared" si="19"/>
        <v>110203.13999999998</v>
      </c>
      <c r="I42" s="275">
        <f t="shared" si="19"/>
        <v>72218.159999999989</v>
      </c>
      <c r="J42" s="274">
        <f t="shared" si="19"/>
        <v>72218.159999999989</v>
      </c>
      <c r="K42" s="274">
        <f t="shared" si="19"/>
        <v>71825.669999999984</v>
      </c>
      <c r="L42" s="274" t="str">
        <f t="shared" si="19"/>
        <v/>
      </c>
      <c r="M42" s="273" t="str">
        <f t="shared" si="19"/>
        <v/>
      </c>
      <c r="N42" s="274" t="str">
        <f t="shared" si="19"/>
        <v/>
      </c>
      <c r="O42" s="276" t="str">
        <f t="shared" si="19"/>
        <v/>
      </c>
      <c r="P42" s="274">
        <f>IF(P$8="","",SUM(P38:P41))</f>
        <v>753650.42</v>
      </c>
      <c r="Q42" s="30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 t="s">
        <v>191</v>
      </c>
      <c r="C44" s="267" t="s">
        <v>209</v>
      </c>
      <c r="D44" s="268">
        <f t="shared" ref="D44:O48" si="20">IF(D$8="","",0)</f>
        <v>0</v>
      </c>
      <c r="E44" s="234">
        <f t="shared" si="20"/>
        <v>0</v>
      </c>
      <c r="F44" s="234">
        <f t="shared" si="20"/>
        <v>0</v>
      </c>
      <c r="G44" s="268">
        <f>416.5/19</f>
        <v>21.921052631578949</v>
      </c>
      <c r="H44" s="234">
        <f t="shared" si="20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20"/>
        <v/>
      </c>
      <c r="M44" s="268" t="str">
        <f t="shared" si="20"/>
        <v/>
      </c>
      <c r="N44" s="234" t="str">
        <f t="shared" si="20"/>
        <v/>
      </c>
      <c r="O44" s="234" t="str">
        <f t="shared" si="20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20"/>
        <v>0</v>
      </c>
      <c r="E45" s="234">
        <f t="shared" si="20"/>
        <v>0</v>
      </c>
      <c r="F45" s="269">
        <f t="shared" si="20"/>
        <v>0</v>
      </c>
      <c r="G45" s="268">
        <f t="shared" si="20"/>
        <v>0</v>
      </c>
      <c r="H45" s="234">
        <f>15600/19</f>
        <v>821.0526315789474</v>
      </c>
      <c r="I45" s="234">
        <f t="shared" si="20"/>
        <v>0</v>
      </c>
      <c r="J45" s="268">
        <f t="shared" si="20"/>
        <v>0</v>
      </c>
      <c r="K45" s="234">
        <f t="shared" si="20"/>
        <v>0</v>
      </c>
      <c r="L45" s="234" t="str">
        <f t="shared" si="20"/>
        <v/>
      </c>
      <c r="M45" s="268" t="str">
        <f t="shared" si="20"/>
        <v/>
      </c>
      <c r="N45" s="234" t="str">
        <f t="shared" si="20"/>
        <v/>
      </c>
      <c r="O45" s="234" t="str">
        <f t="shared" si="20"/>
        <v/>
      </c>
      <c r="P45" s="474">
        <f t="shared" ref="P45:P48" si="21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20"/>
        <v>0</v>
      </c>
      <c r="E46" s="234">
        <f t="shared" si="20"/>
        <v>0</v>
      </c>
      <c r="F46" s="269">
        <f t="shared" si="20"/>
        <v>0</v>
      </c>
      <c r="G46" s="268">
        <f t="shared" si="20"/>
        <v>0</v>
      </c>
      <c r="H46" s="234">
        <f t="shared" si="20"/>
        <v>0</v>
      </c>
      <c r="I46" s="234">
        <f t="shared" si="20"/>
        <v>0</v>
      </c>
      <c r="J46" s="268">
        <f t="shared" si="20"/>
        <v>0</v>
      </c>
      <c r="K46" s="234">
        <f t="shared" si="20"/>
        <v>0</v>
      </c>
      <c r="L46" s="234" t="str">
        <f t="shared" si="20"/>
        <v/>
      </c>
      <c r="M46" s="268" t="str">
        <f t="shared" si="20"/>
        <v/>
      </c>
      <c r="N46" s="234" t="str">
        <f t="shared" si="20"/>
        <v/>
      </c>
      <c r="O46" s="234" t="str">
        <f t="shared" si="20"/>
        <v/>
      </c>
      <c r="P46" s="474">
        <f t="shared" si="21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20"/>
        <v>0</v>
      </c>
      <c r="E47" s="234">
        <f t="shared" si="20"/>
        <v>0</v>
      </c>
      <c r="F47" s="234">
        <f t="shared" si="20"/>
        <v>0</v>
      </c>
      <c r="G47" s="268">
        <f t="shared" si="20"/>
        <v>0</v>
      </c>
      <c r="H47" s="234">
        <f t="shared" si="20"/>
        <v>0</v>
      </c>
      <c r="I47" s="234">
        <f t="shared" si="20"/>
        <v>0</v>
      </c>
      <c r="J47" s="268">
        <f t="shared" si="20"/>
        <v>0</v>
      </c>
      <c r="K47" s="234">
        <f t="shared" si="20"/>
        <v>0</v>
      </c>
      <c r="L47" s="234" t="str">
        <f t="shared" si="20"/>
        <v/>
      </c>
      <c r="M47" s="268" t="str">
        <f t="shared" si="20"/>
        <v/>
      </c>
      <c r="N47" s="234" t="str">
        <f t="shared" si="20"/>
        <v/>
      </c>
      <c r="O47" s="270" t="str">
        <f t="shared" si="20"/>
        <v/>
      </c>
      <c r="P47" s="234">
        <f t="shared" si="21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20"/>
        <v>0</v>
      </c>
      <c r="F48" s="456">
        <f t="shared" si="20"/>
        <v>0</v>
      </c>
      <c r="G48" s="458">
        <f t="shared" si="20"/>
        <v>0</v>
      </c>
      <c r="H48" s="234">
        <f t="shared" si="20"/>
        <v>0</v>
      </c>
      <c r="I48" s="456">
        <f t="shared" si="20"/>
        <v>0</v>
      </c>
      <c r="J48" s="268">
        <f t="shared" si="20"/>
        <v>0</v>
      </c>
      <c r="K48" s="457">
        <f t="shared" si="20"/>
        <v>0</v>
      </c>
      <c r="L48" s="456" t="str">
        <f t="shared" si="20"/>
        <v/>
      </c>
      <c r="M48" s="458" t="str">
        <f t="shared" si="20"/>
        <v/>
      </c>
      <c r="N48" s="234" t="str">
        <f t="shared" si="20"/>
        <v/>
      </c>
      <c r="O48" s="525" t="str">
        <f t="shared" si="20"/>
        <v/>
      </c>
      <c r="P48" s="475">
        <f t="shared" si="21"/>
        <v>0</v>
      </c>
      <c r="Q48" s="244"/>
    </row>
    <row r="49" spans="2:17" ht="18.5" x14ac:dyDescent="0.45">
      <c r="C49" s="272" t="s">
        <v>229</v>
      </c>
      <c r="D49" s="273">
        <f t="shared" ref="D49:P49" si="22">IF(D$8="","",SUM(D44:D48))</f>
        <v>0</v>
      </c>
      <c r="E49" s="274">
        <f t="shared" si="22"/>
        <v>0</v>
      </c>
      <c r="F49" s="275">
        <f t="shared" si="22"/>
        <v>0</v>
      </c>
      <c r="G49" s="273">
        <f t="shared" si="22"/>
        <v>21.921052631578949</v>
      </c>
      <c r="H49" s="274">
        <f t="shared" si="22"/>
        <v>821.0526315789474</v>
      </c>
      <c r="I49" s="275">
        <f t="shared" si="22"/>
        <v>12.102631578947367</v>
      </c>
      <c r="J49" s="274">
        <f t="shared" si="22"/>
        <v>31.315789473684209</v>
      </c>
      <c r="K49" s="274">
        <f t="shared" si="22"/>
        <v>56.368421052631582</v>
      </c>
      <c r="L49" s="274" t="str">
        <f t="shared" si="22"/>
        <v/>
      </c>
      <c r="M49" s="273" t="str">
        <f t="shared" si="22"/>
        <v/>
      </c>
      <c r="N49" s="274" t="str">
        <f t="shared" si="22"/>
        <v/>
      </c>
      <c r="O49" s="276" t="str">
        <f t="shared" si="22"/>
        <v/>
      </c>
      <c r="P49" s="557">
        <f t="shared" si="22"/>
        <v>942.76052631578955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137523.58000000002</v>
      </c>
      <c r="E51" s="289">
        <f>IF(E8="","",E14-SUM(E26,E36,E42,E49))</f>
        <v>-245580.68999999994</v>
      </c>
      <c r="F51" s="290">
        <f>IF(F8="","",F14-SUM(F26,F36,F42,F49))</f>
        <v>-114588.5799999999</v>
      </c>
      <c r="G51" s="288">
        <f>IF(G8="","",G14-SUM(G26,G36,G42,G49))</f>
        <v>-143392.26105263148</v>
      </c>
      <c r="H51" s="289">
        <f>IF(H8="","",H14-SUM(H26,H36,H42,H49))</f>
        <v>-125739.84263157897</v>
      </c>
      <c r="I51" s="290">
        <f>IF(I8="","",I14-SUM(I26,I36,I42,I49))</f>
        <v>180391.057368421</v>
      </c>
      <c r="J51" s="289">
        <f>IF(J8="","",J14-SUM(J26,J36,J42,J49))</f>
        <v>-321048.47578947357</v>
      </c>
      <c r="K51" s="289">
        <f>IF(K8="","",K14-SUM(K26,K36,K42,K49))</f>
        <v>-354585.34842105256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-987020.56052631559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746621.67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-240398.89052631555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528</v>
      </c>
      <c r="E56" s="234">
        <f>IF(E12="","",-E12)</f>
        <v>528</v>
      </c>
      <c r="F56" s="269">
        <f>IF(F12="","",-F12)</f>
        <v>552</v>
      </c>
      <c r="G56" s="268">
        <f>IF(G12="","",-G12)</f>
        <v>555</v>
      </c>
      <c r="H56" s="234">
        <f>IF(H12="","",-H12)</f>
        <v>558</v>
      </c>
      <c r="I56" s="269">
        <f>IF(I12="","",-I12)</f>
        <v>552</v>
      </c>
      <c r="J56" s="234">
        <f>IF(J12="","",-J12)</f>
        <v>552</v>
      </c>
      <c r="K56" s="234">
        <f>IF(K12="","",-K12)</f>
        <v>0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3825</v>
      </c>
      <c r="Q56" s="244"/>
    </row>
    <row r="57" spans="2:17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3">IF(E$8="","",0)</f>
        <v>0</v>
      </c>
      <c r="F57" s="269">
        <f t="shared" si="23"/>
        <v>0</v>
      </c>
      <c r="G57" s="234">
        <f t="shared" si="23"/>
        <v>0</v>
      </c>
      <c r="H57" s="457">
        <f t="shared" si="23"/>
        <v>0</v>
      </c>
      <c r="I57" s="456">
        <f t="shared" si="23"/>
        <v>0</v>
      </c>
      <c r="J57" s="234">
        <f t="shared" si="23"/>
        <v>0</v>
      </c>
      <c r="K57" s="234">
        <f t="shared" si="23"/>
        <v>0</v>
      </c>
      <c r="L57" s="234" t="str">
        <f t="shared" si="23"/>
        <v/>
      </c>
      <c r="M57" s="268" t="str">
        <f t="shared" si="23"/>
        <v/>
      </c>
      <c r="N57" s="234" t="str">
        <f t="shared" si="23"/>
        <v/>
      </c>
      <c r="O57" s="270" t="str">
        <f t="shared" si="23"/>
        <v/>
      </c>
      <c r="P57" s="234">
        <f>SUM(D57:O57)</f>
        <v>0</v>
      </c>
      <c r="Q57" s="244"/>
    </row>
    <row r="58" spans="2:17" ht="18.5" x14ac:dyDescent="0.45">
      <c r="C58" s="296" t="s">
        <v>234</v>
      </c>
      <c r="D58" s="297">
        <f>IF(D$8="","",SUM(D56:D57))</f>
        <v>528</v>
      </c>
      <c r="E58" s="298">
        <f t="shared" ref="E58:O58" si="24">IF(E$8="","",SUM(E56:E57))</f>
        <v>528</v>
      </c>
      <c r="F58" s="299">
        <f t="shared" si="24"/>
        <v>552</v>
      </c>
      <c r="G58" s="297">
        <f>IF(G$8="","",SUM(G56:G57))</f>
        <v>555</v>
      </c>
      <c r="H58" s="298">
        <f t="shared" si="24"/>
        <v>558</v>
      </c>
      <c r="I58" s="299">
        <f t="shared" si="24"/>
        <v>552</v>
      </c>
      <c r="J58" s="298">
        <f t="shared" si="24"/>
        <v>552</v>
      </c>
      <c r="K58" s="298">
        <f t="shared" si="24"/>
        <v>0</v>
      </c>
      <c r="L58" s="298" t="str">
        <f t="shared" si="24"/>
        <v/>
      </c>
      <c r="M58" s="297" t="str">
        <f t="shared" si="24"/>
        <v/>
      </c>
      <c r="N58" s="298" t="str">
        <f t="shared" si="24"/>
        <v/>
      </c>
      <c r="O58" s="300" t="str">
        <f t="shared" si="24"/>
        <v/>
      </c>
      <c r="P58" s="298">
        <f>SUM(P56:P57)</f>
        <v>3825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28207.360000000001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32032.36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73344.289999999994</v>
      </c>
      <c r="E68" s="246">
        <v>83534.87</v>
      </c>
      <c r="F68" s="246">
        <v>83559.66</v>
      </c>
      <c r="G68" s="246">
        <v>121114.86</v>
      </c>
      <c r="H68" s="246">
        <v>0</v>
      </c>
      <c r="I68" s="308">
        <v>-10772.22</v>
      </c>
      <c r="J68" s="309">
        <f>SUM(D68:I68)</f>
        <v>350781.46</v>
      </c>
      <c r="K68" s="310">
        <v>177</v>
      </c>
      <c r="L68" s="307">
        <f>53.11+0.96+50.61</f>
        <v>104.68</v>
      </c>
      <c r="M68" s="246">
        <v>0</v>
      </c>
      <c r="N68" s="246">
        <v>0</v>
      </c>
      <c r="O68" s="246">
        <f>260+1650</f>
        <v>1910</v>
      </c>
      <c r="P68" s="246">
        <f>604.06</f>
        <v>604.05999999999995</v>
      </c>
      <c r="Q68" s="246">
        <f>111.26+35.38+26.87</f>
        <v>173.51000000000002</v>
      </c>
      <c r="R68" s="246">
        <v>0</v>
      </c>
      <c r="S68" s="246">
        <v>0</v>
      </c>
      <c r="T68" s="246">
        <v>0</v>
      </c>
      <c r="U68" s="323">
        <v>-303108.15000000002</v>
      </c>
    </row>
    <row r="69" spans="3:21" ht="18.5" x14ac:dyDescent="0.45">
      <c r="C69" s="306" t="str">
        <f>Addendum!E11</f>
        <v>August</v>
      </c>
      <c r="D69" s="307">
        <v>55637.04</v>
      </c>
      <c r="E69" s="246">
        <v>284825.68</v>
      </c>
      <c r="F69" s="246">
        <v>119606.74</v>
      </c>
      <c r="G69" s="246">
        <v>126291.32</v>
      </c>
      <c r="H69" s="246">
        <v>76580.070000000007</v>
      </c>
      <c r="I69" s="308">
        <v>-10772.22</v>
      </c>
      <c r="J69" s="309">
        <f t="shared" ref="J69:J79" si="25">SUM(D69:I69)</f>
        <v>652168.63000000012</v>
      </c>
      <c r="K69" s="311">
        <v>177</v>
      </c>
      <c r="L69" s="307">
        <f>37.33+1260.92+1.14+0.96+0.96</f>
        <v>1301.3100000000002</v>
      </c>
      <c r="M69" s="246">
        <v>0</v>
      </c>
      <c r="N69" s="246">
        <v>0</v>
      </c>
      <c r="O69" s="246">
        <f>140+110+1870</f>
        <v>2120</v>
      </c>
      <c r="P69" s="246">
        <v>0</v>
      </c>
      <c r="Q69" s="246">
        <f>134.21+187.91+17.5+18.87</f>
        <v>358.49</v>
      </c>
      <c r="R69" s="246">
        <v>0</v>
      </c>
      <c r="S69" s="246">
        <v>0</v>
      </c>
      <c r="T69" s="246">
        <v>0</v>
      </c>
      <c r="U69" s="323">
        <v>0</v>
      </c>
    </row>
    <row r="70" spans="3:21" ht="18.5" x14ac:dyDescent="0.45">
      <c r="C70" s="306" t="str">
        <f>Addendum!E12</f>
        <v>September</v>
      </c>
      <c r="D70" s="307">
        <v>120363.95</v>
      </c>
      <c r="E70" s="246">
        <v>68375.600000000006</v>
      </c>
      <c r="F70" s="246">
        <v>162332.6</v>
      </c>
      <c r="G70" s="246">
        <v>94132.95</v>
      </c>
      <c r="H70" s="246">
        <v>0</v>
      </c>
      <c r="I70" s="308">
        <v>-11259.1</v>
      </c>
      <c r="J70" s="309">
        <f>SUM(D70:I70)</f>
        <v>433946.00000000006</v>
      </c>
      <c r="K70" s="311">
        <v>185</v>
      </c>
      <c r="L70" s="307">
        <f>116.96+9644.38+25.62+497.91</f>
        <v>10284.869999999999</v>
      </c>
      <c r="M70" s="246">
        <v>0</v>
      </c>
      <c r="N70" s="246">
        <v>0</v>
      </c>
      <c r="O70" s="246">
        <f>40+330+2640</f>
        <v>3010</v>
      </c>
      <c r="P70" s="246">
        <v>0</v>
      </c>
      <c r="Q70" s="246">
        <f>17.5+13.13-17.04</f>
        <v>13.590000000000003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56629.82</v>
      </c>
      <c r="E71" s="246">
        <v>73626.67</v>
      </c>
      <c r="F71" s="246">
        <v>368250.05</v>
      </c>
      <c r="G71" s="246">
        <v>71048.52</v>
      </c>
      <c r="H71" s="246">
        <v>0</v>
      </c>
      <c r="I71" s="308">
        <v>-11319.96</v>
      </c>
      <c r="J71" s="309">
        <f t="shared" si="25"/>
        <v>558235.1</v>
      </c>
      <c r="K71" s="311">
        <v>186</v>
      </c>
      <c r="L71" s="307">
        <f>6.3+240.84+1.89</f>
        <v>249.03</v>
      </c>
      <c r="M71" s="246">
        <f>1053.8+722.83</f>
        <v>1776.63</v>
      </c>
      <c r="N71" s="246">
        <v>0</v>
      </c>
      <c r="O71" s="246">
        <f>100+1870</f>
        <v>1970</v>
      </c>
      <c r="P71" s="246">
        <v>0</v>
      </c>
      <c r="Q71" s="246">
        <f>198.28+10.15+158.68</f>
        <v>367.11</v>
      </c>
      <c r="R71" s="246">
        <v>0</v>
      </c>
      <c r="S71" s="246">
        <v>0</v>
      </c>
      <c r="T71" s="246">
        <v>0</v>
      </c>
      <c r="U71" s="323">
        <v>-58818.21</v>
      </c>
    </row>
    <row r="72" spans="3:21" ht="18.5" x14ac:dyDescent="0.45">
      <c r="C72" s="306" t="str">
        <f>Addendum!E14</f>
        <v>November</v>
      </c>
      <c r="D72" s="307">
        <v>51831.74</v>
      </c>
      <c r="E72" s="246">
        <v>69875.520000000004</v>
      </c>
      <c r="F72" s="246">
        <v>106496.51</v>
      </c>
      <c r="G72" s="246">
        <v>88910.89</v>
      </c>
      <c r="H72" s="246">
        <v>193230.9</v>
      </c>
      <c r="I72" s="308">
        <v>-11380.82</v>
      </c>
      <c r="J72" s="309">
        <f t="shared" si="25"/>
        <v>498964.74000000005</v>
      </c>
      <c r="K72" s="311">
        <v>187</v>
      </c>
      <c r="L72" s="307">
        <f>-35.4-153.93+1.89+24.17+13.09</f>
        <v>-150.18000000000004</v>
      </c>
      <c r="M72" s="246">
        <v>0</v>
      </c>
      <c r="N72" s="246">
        <v>0</v>
      </c>
      <c r="O72" s="246">
        <f>200+550+1650</f>
        <v>2400</v>
      </c>
      <c r="P72" s="246">
        <f>211.14</f>
        <v>211.14</v>
      </c>
      <c r="Q72" s="246">
        <f>6.83-17.5+95.23+19.74+9.83+19.66+284.21</f>
        <v>418</v>
      </c>
      <c r="R72" s="246">
        <v>0</v>
      </c>
      <c r="S72" s="246">
        <v>0</v>
      </c>
      <c r="T72" s="246">
        <v>0</v>
      </c>
      <c r="U72" s="323">
        <v>-119454.05</v>
      </c>
    </row>
    <row r="73" spans="3:21" ht="18.5" x14ac:dyDescent="0.45">
      <c r="C73" s="306" t="str">
        <f>Addendum!E15</f>
        <v>December</v>
      </c>
      <c r="D73" s="307">
        <v>134184.57</v>
      </c>
      <c r="E73" s="246">
        <v>67090.02</v>
      </c>
      <c r="F73" s="246">
        <v>239917.71</v>
      </c>
      <c r="G73" s="246">
        <v>56311.86</v>
      </c>
      <c r="H73" s="246">
        <v>0</v>
      </c>
      <c r="I73" s="308">
        <v>-11137.38</v>
      </c>
      <c r="J73" s="309">
        <f t="shared" si="25"/>
        <v>486366.78</v>
      </c>
      <c r="K73" s="311">
        <v>183</v>
      </c>
      <c r="L73" s="307">
        <f>-356.23+42.47-30.76+5.08</f>
        <v>-339.44</v>
      </c>
      <c r="M73" s="246">
        <v>0</v>
      </c>
      <c r="N73" s="246">
        <v>0</v>
      </c>
      <c r="O73" s="246">
        <f>120+440+1430</f>
        <v>1990</v>
      </c>
      <c r="P73" s="246">
        <f>400</f>
        <v>400</v>
      </c>
      <c r="Q73" s="246">
        <f>72.2+29.38+33.62</f>
        <v>135.19999999999999</v>
      </c>
      <c r="R73" s="246">
        <v>0</v>
      </c>
      <c r="S73" s="246">
        <v>0</v>
      </c>
      <c r="T73" s="246">
        <v>0</v>
      </c>
      <c r="U73" s="323">
        <v>-177068.44</v>
      </c>
    </row>
    <row r="74" spans="3:21" ht="18.5" x14ac:dyDescent="0.45">
      <c r="C74" s="306" t="str">
        <f>Addendum!E16</f>
        <v>January 2025</v>
      </c>
      <c r="D74" s="307">
        <v>336720.28</v>
      </c>
      <c r="E74" s="246">
        <v>171448.53</v>
      </c>
      <c r="F74" s="246">
        <v>102690.22</v>
      </c>
      <c r="G74" s="246">
        <v>68221.320000000007</v>
      </c>
      <c r="H74" s="246">
        <v>276207.94</v>
      </c>
      <c r="I74" s="308">
        <v>-11198.24</v>
      </c>
      <c r="J74" s="309">
        <f t="shared" si="25"/>
        <v>944090.05</v>
      </c>
      <c r="K74" s="311">
        <v>184</v>
      </c>
      <c r="L74" s="307">
        <f>44.58+181.26+35.23-113.8+20.72</f>
        <v>167.98999999999998</v>
      </c>
      <c r="M74" s="246">
        <v>0</v>
      </c>
      <c r="N74" s="246">
        <v>0</v>
      </c>
      <c r="O74" s="246">
        <f>120+550+2310</f>
        <v>2980</v>
      </c>
      <c r="P74" s="246">
        <f>4.57</f>
        <v>4.57</v>
      </c>
      <c r="Q74" s="246">
        <f>211.71+6.83+36.97</f>
        <v>255.51000000000002</v>
      </c>
      <c r="R74" s="246">
        <v>0</v>
      </c>
      <c r="S74" s="246">
        <v>0</v>
      </c>
      <c r="T74" s="246">
        <v>0</v>
      </c>
      <c r="U74" s="323">
        <v>-118596.18</v>
      </c>
    </row>
    <row r="75" spans="3:21" ht="18.5" x14ac:dyDescent="0.45">
      <c r="C75" s="306" t="str">
        <f>Addendum!E17</f>
        <v>February</v>
      </c>
      <c r="D75" s="307">
        <v>147227.26</v>
      </c>
      <c r="E75" s="246">
        <v>111096.36</v>
      </c>
      <c r="F75" s="246">
        <v>171724.02</v>
      </c>
      <c r="G75" s="246">
        <v>104828.1</v>
      </c>
      <c r="H75" s="246">
        <v>0</v>
      </c>
      <c r="I75" s="308">
        <v>-11137.38</v>
      </c>
      <c r="J75" s="309">
        <f t="shared" si="25"/>
        <v>523738.36</v>
      </c>
      <c r="K75" s="311">
        <v>183</v>
      </c>
      <c r="L75" s="307">
        <f>5.8+202.71+593.25-22.05</f>
        <v>779.71</v>
      </c>
      <c r="M75" s="246">
        <v>0</v>
      </c>
      <c r="N75" s="246">
        <v>0</v>
      </c>
      <c r="O75" s="246">
        <f>100+770+2090</f>
        <v>2960</v>
      </c>
      <c r="P75" s="246">
        <f>400</f>
        <v>400</v>
      </c>
      <c r="Q75" s="246">
        <f>6.17-85.4+47.15+6.83</f>
        <v>-25.250000000000007</v>
      </c>
      <c r="R75" s="246">
        <v>0</v>
      </c>
      <c r="S75" s="246">
        <v>-22757</v>
      </c>
      <c r="T75" s="246">
        <v>0</v>
      </c>
      <c r="U75" s="323">
        <f>-117422.56-20492.59</f>
        <v>-137915.15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5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5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5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5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975938.95</v>
      </c>
      <c r="E80" s="314">
        <f t="shared" ref="E80:J80" si="26">SUM(E68:E79)</f>
        <v>929873.25</v>
      </c>
      <c r="F80" s="314">
        <f t="shared" si="26"/>
        <v>1354577.51</v>
      </c>
      <c r="G80" s="314">
        <f t="shared" si="26"/>
        <v>730859.82</v>
      </c>
      <c r="H80" s="314">
        <f t="shared" si="26"/>
        <v>546018.90999999992</v>
      </c>
      <c r="I80" s="315">
        <f t="shared" si="26"/>
        <v>-88977.32</v>
      </c>
      <c r="J80" s="316">
        <f t="shared" si="26"/>
        <v>4448291.12</v>
      </c>
      <c r="K80" s="317">
        <f>SUM(K68:K79)</f>
        <v>1462</v>
      </c>
      <c r="L80" s="313">
        <f>SUM(L68:L79)</f>
        <v>12397.969999999998</v>
      </c>
      <c r="M80" s="314">
        <f t="shared" ref="M80:U80" si="27">SUM(M68:M79)</f>
        <v>1776.63</v>
      </c>
      <c r="N80" s="314">
        <f t="shared" si="27"/>
        <v>0</v>
      </c>
      <c r="O80" s="314">
        <f t="shared" si="27"/>
        <v>19340</v>
      </c>
      <c r="P80" s="314">
        <f t="shared" si="27"/>
        <v>1619.7699999999998</v>
      </c>
      <c r="Q80" s="314">
        <f t="shared" si="27"/>
        <v>1696.16</v>
      </c>
      <c r="R80" s="314">
        <f t="shared" si="27"/>
        <v>0</v>
      </c>
      <c r="S80" s="314">
        <f t="shared" si="27"/>
        <v>-22757</v>
      </c>
      <c r="T80" s="314">
        <f t="shared" si="27"/>
        <v>0</v>
      </c>
      <c r="U80" s="322">
        <f t="shared" si="27"/>
        <v>-914960.18</v>
      </c>
    </row>
  </sheetData>
  <mergeCells count="20"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D66:H66"/>
    <mergeCell ref="I66:I67"/>
    <mergeCell ref="J66:J67"/>
    <mergeCell ref="K66:K67"/>
    <mergeCell ref="L66:U66"/>
  </mergeCells>
  <conditionalFormatting sqref="D51:P51">
    <cfRule type="cellIs" dxfId="14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4E039-C0FF-4B4D-97A4-D075F7E8E89A}">
  <sheetPr codeName="Sheet15">
    <tabColor theme="6" tint="0.39997558519241921"/>
    <pageSetUpPr fitToPage="1"/>
  </sheetPr>
  <dimension ref="B1:U81"/>
  <sheetViews>
    <sheetView view="pageBreakPreview" topLeftCell="A45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5" width="20.7265625" customWidth="1"/>
    <col min="16" max="16" width="26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215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Entry'!$D$3:$D$500,MATCH(1,INDEX((Franklin!$C$7='Cash Flow Entry'!$B$3:$B$500)*(VALUE(Franklin!D$7)='Cash Flow Entry'!$C$3:$C$500),0,1),0)),"")</f>
        <v>247</v>
      </c>
      <c r="E8" s="256" cm="1">
        <f t="array" ref="E8">IFERROR(INDEX('Cash Flow Entry'!$D$3:$D$500,MATCH(1,INDEX((Franklin!$C$7='Cash Flow Entry'!$B$3:$B$500)*(VALUE(Franklin!E$7)='Cash Flow Entry'!$C$3:$C$500),0,1),0)),"")</f>
        <v>246</v>
      </c>
      <c r="F8" s="257" cm="1">
        <f t="array" ref="F8">IFERROR(INDEX('Cash Flow Entry'!$D$3:$D$500,MATCH(1,INDEX((Franklin!$C$7='Cash Flow Entry'!$B$3:$B$500)*(VALUE(Franklin!F$7)='Cash Flow Entry'!$C$3:$C$500),0,1),0)),"")</f>
        <v>242</v>
      </c>
      <c r="G8" s="255" cm="1">
        <f t="array" ref="G8">IFERROR(INDEX('Cash Flow Entry'!$D$3:$D$500,MATCH(1,INDEX((Franklin!$C$7='Cash Flow Entry'!$B$3:$B$500)*(VALUE(Franklin!G$7)='Cash Flow Entry'!$C$3:$C$500),0,1),0)),"")</f>
        <v>245</v>
      </c>
      <c r="H8" s="256" cm="1">
        <f t="array" ref="H8">IFERROR(INDEX('Cash Flow Entry'!$D$3:$D$500,MATCH(1,INDEX((Franklin!$C$7='Cash Flow Entry'!$B$3:$B$500)*(VALUE(Franklin!H$7)='Cash Flow Entry'!$C$3:$C$500),0,1),0)),"")</f>
        <v>246</v>
      </c>
      <c r="I8" s="257" cm="1">
        <f t="array" ref="I8">IFERROR(INDEX('Cash Flow Entry'!$D$3:$D$500,MATCH(1,INDEX((Franklin!$C$7='Cash Flow Entry'!$B$3:$B$500)*(VALUE(Franklin!I$7)='Cash Flow Entry'!$C$3:$C$500),0,1),0)),"")</f>
        <v>250</v>
      </c>
      <c r="J8" s="256" cm="1">
        <f t="array" ref="J8">IFERROR(INDEX('Cash Flow Entry'!$D$3:$D$500,MATCH(1,INDEX((Franklin!$C$7='Cash Flow Entry'!$B$3:$B$500)*(VALUE(Franklin!J$7)='Cash Flow Entry'!$C$3:$C$500),0,1),0)),"")</f>
        <v>251</v>
      </c>
      <c r="K8" s="256" cm="1">
        <f t="array" ref="K8">IFERROR(INDEX('Cash Flow Entry'!$D$3:$D$500,MATCH(1,INDEX((Franklin!$C$7='Cash Flow Entry'!$B$3:$B$500)*(VALUE(Franklin!K$7)='Cash Flow Entry'!$C$3:$C$500),0,1),0)),"")</f>
        <v>251</v>
      </c>
      <c r="L8" s="256" t="str" cm="1">
        <f t="array" ref="L8">IFERROR(INDEX('Cash Flow Entry'!$D$3:$D$500,MATCH(1,INDEX((Franklin!$C$7='Cash Flow Entry'!$B$3:$B$500)*(VALUE(Franklin!L$7)='Cash Flow Entry'!$C$3:$C$500),0,1),0)),"")</f>
        <v/>
      </c>
      <c r="M8" s="255" t="str" cm="1">
        <f t="array" ref="M8">IFERROR(INDEX('Cash Flow Entry'!$D$3:$D$500,MATCH(1,INDEX((Franklin!$C$7='Cash Flow Entry'!$B$3:$B$500)*(VALUE(Franklin!M$7)='Cash Flow Entry'!$C$3:$C$500),0,1),0)),"")</f>
        <v/>
      </c>
      <c r="N8" s="256" t="str" cm="1">
        <f t="array" ref="N8">IFERROR(INDEX('Cash Flow Entry'!$D$3:$D$500,MATCH(1,INDEX((Franklin!$C$7='Cash Flow Entry'!$B$3:$B$500)*(VALUE(Franklin!N$7)='Cash Flow Entry'!$C$3:$C$500),0,1),0)),"")</f>
        <v/>
      </c>
      <c r="O8" s="258" t="str" cm="1">
        <f t="array" ref="O8">IFERROR(INDEX('Cash Flow Entry'!$D$3:$D$500,MATCH(1,INDEX((Franklin!$C$7='Cash Flow Entry'!$B$3:$B$500)*(VALUE(Franklin!O$7)='Cash Flow Entry'!$C$3:$C$500),0,1),0)),"")</f>
        <v/>
      </c>
      <c r="P8" s="259">
        <f>SUM(D8:O8)</f>
        <v>1978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Entry'!$E$3:$E$500,MATCH(1,INDEX((Franklin!$C$7='Cash Flow Entry'!$B$3:$B$500)*(VALUE(Franklin!D$7)='Cash Flow Entry'!$C$3:$C$500),0,1),0)),"")</f>
        <v>647</v>
      </c>
      <c r="E9" s="256" cm="1">
        <f t="array" ref="E9">IFERROR(INDEX('Cash Flow Entry'!$E$3:$E$500,MATCH(1,INDEX((Franklin!$C$7='Cash Flow Entry'!$B$3:$B$500)*(VALUE(Franklin!E$7)='Cash Flow Entry'!$C$3:$C$500),0,1),0)),"")</f>
        <v>646</v>
      </c>
      <c r="F9" s="257" cm="1">
        <f t="array" ref="F9">IFERROR(INDEX('Cash Flow Entry'!$E$3:$E$500,MATCH(1,INDEX((Franklin!$C$7='Cash Flow Entry'!$B$3:$B$500)*(VALUE(Franklin!F$7)='Cash Flow Entry'!$C$3:$C$500),0,1),0)),"")</f>
        <v>636</v>
      </c>
      <c r="G9" s="255" cm="1">
        <f t="array" ref="G9">IFERROR(INDEX('Cash Flow Entry'!$E$3:$E$500,MATCH(1,INDEX((Franklin!$C$7='Cash Flow Entry'!$B$3:$B$500)*(VALUE(Franklin!G$7)='Cash Flow Entry'!$C$3:$C$500),0,1),0)),"")</f>
        <v>642</v>
      </c>
      <c r="H9" s="256" cm="1">
        <f t="array" ref="H9">IFERROR(INDEX('Cash Flow Entry'!$E$3:$E$500,MATCH(1,INDEX((Franklin!$C$7='Cash Flow Entry'!$B$3:$B$500)*(VALUE(Franklin!H$7)='Cash Flow Entry'!$C$3:$C$500),0,1),0)),"")</f>
        <v>643</v>
      </c>
      <c r="I9" s="257" cm="1">
        <f t="array" ref="I9">IFERROR(INDEX('Cash Flow Entry'!$E$3:$E$500,MATCH(1,INDEX((Franklin!$C$7='Cash Flow Entry'!$B$3:$B$500)*(VALUE(Franklin!I$7)='Cash Flow Entry'!$C$3:$C$500),0,1),0)),"")</f>
        <v>651</v>
      </c>
      <c r="J9" s="256" cm="1">
        <f t="array" ref="J9">IFERROR(INDEX('Cash Flow Entry'!$E$3:$E$500,MATCH(1,INDEX((Franklin!$C$7='Cash Flow Entry'!$B$3:$B$500)*(VALUE(Franklin!J$7)='Cash Flow Entry'!$C$3:$C$500),0,1),0)),"")</f>
        <v>654</v>
      </c>
      <c r="K9" s="256" cm="1">
        <f t="array" ref="K9">IFERROR(INDEX('Cash Flow Entry'!$E$3:$E$500,MATCH(1,INDEX((Franklin!$C$7='Cash Flow Entry'!$B$3:$B$500)*(VALUE(Franklin!K$7)='Cash Flow Entry'!$C$3:$C$500),0,1),0)),"")</f>
        <v>653</v>
      </c>
      <c r="L9" s="256" t="str" cm="1">
        <f t="array" ref="L9">IFERROR(INDEX('Cash Flow Entry'!$E$3:$E$500,MATCH(1,INDEX((Franklin!$C$7='Cash Flow Entry'!$B$3:$B$500)*(VALUE(Franklin!L$7)='Cash Flow Entry'!$C$3:$C$500),0,1),0)),"")</f>
        <v/>
      </c>
      <c r="M9" s="255" t="str" cm="1">
        <f t="array" ref="M9">IFERROR(INDEX('Cash Flow Entry'!$E$3:$E$500,MATCH(1,INDEX((Franklin!$C$7='Cash Flow Entry'!$B$3:$B$500)*(VALUE(Franklin!M$7)='Cash Flow Entry'!$C$3:$C$500),0,1),0)),"")</f>
        <v/>
      </c>
      <c r="N9" s="256" t="str" cm="1">
        <f t="array" ref="N9">IFERROR(INDEX('Cash Flow Entry'!$E$3:$E$500,MATCH(1,INDEX((Franklin!$C$7='Cash Flow Entry'!$B$3:$B$500)*(VALUE(Franklin!N$7)='Cash Flow Entry'!$C$3:$C$500),0,1),0)),"")</f>
        <v/>
      </c>
      <c r="O9" s="258" t="str" cm="1">
        <f t="array" ref="O9">IFERROR(INDEX('Cash Flow Entry'!$E$3:$E$500,MATCH(1,INDEX((Franklin!$C$7='Cash Flow Entry'!$B$3:$B$500)*(VALUE(Franklin!O$7)='Cash Flow Entry'!$C$3:$C$500),0,1),0)),"")</f>
        <v/>
      </c>
      <c r="P9" s="259">
        <f>SUM(D9:O9)</f>
        <v>5172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$1,676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$1,582.51</v>
      </c>
      <c r="N10" s="645"/>
      <c r="O10" s="647"/>
      <c r="P10" s="265">
        <f>P14</f>
        <v>3130205.6599999997</v>
      </c>
      <c r="Q10" s="534">
        <v>1675.74</v>
      </c>
      <c r="R10" s="305">
        <f>Q10*P8</f>
        <v>3314613.72</v>
      </c>
      <c r="S10" s="305"/>
    </row>
    <row r="11" spans="2:20" ht="18.5" x14ac:dyDescent="0.45">
      <c r="B11" s="213" t="s">
        <v>191</v>
      </c>
      <c r="C11" s="267" t="s">
        <v>194</v>
      </c>
      <c r="D11" s="268">
        <v>395075.86</v>
      </c>
      <c r="E11" s="234">
        <v>393635.82</v>
      </c>
      <c r="F11" s="234">
        <v>381575.74</v>
      </c>
      <c r="G11" s="268">
        <v>384252.47</v>
      </c>
      <c r="H11" s="234">
        <v>385992.51</v>
      </c>
      <c r="I11" s="269">
        <v>395076.05</v>
      </c>
      <c r="J11" s="234">
        <v>397570.9</v>
      </c>
      <c r="K11" s="234">
        <v>397026.31</v>
      </c>
      <c r="L11" s="234"/>
      <c r="M11" s="268"/>
      <c r="N11" s="234"/>
      <c r="O11" s="270"/>
      <c r="P11" s="234">
        <f>SUM(D11:O11)</f>
        <v>3130205.6599999997</v>
      </c>
      <c r="Q11" s="302"/>
    </row>
    <row r="12" spans="2:20" ht="18.5" x14ac:dyDescent="0.45">
      <c r="C12" s="267" t="s">
        <v>195</v>
      </c>
      <c r="D12" s="268">
        <f>IF(D$8="","",IF(D$11=0,0,D$8*$Q12))</f>
        <v>0</v>
      </c>
      <c r="E12" s="234">
        <f t="shared" ref="E12:O12" si="0">IF(E$8="","",IF(E$11=0,0,E$8*$Q12))</f>
        <v>0</v>
      </c>
      <c r="F12" s="269">
        <f t="shared" si="0"/>
        <v>0</v>
      </c>
      <c r="G12" s="268">
        <f t="shared" si="0"/>
        <v>0</v>
      </c>
      <c r="H12" s="234">
        <f>IF(H$8="","",IF(H$11=0,0,H$8*$Q12))</f>
        <v>0</v>
      </c>
      <c r="I12" s="269">
        <f t="shared" si="0"/>
        <v>0</v>
      </c>
      <c r="J12" s="234">
        <f t="shared" si="0"/>
        <v>0</v>
      </c>
      <c r="K12" s="234">
        <f t="shared" si="0"/>
        <v>0</v>
      </c>
      <c r="L12" s="269" t="str">
        <f t="shared" si="0"/>
        <v/>
      </c>
      <c r="M12" s="234" t="str">
        <f t="shared" si="0"/>
        <v/>
      </c>
      <c r="N12" s="234" t="str">
        <f t="shared" si="0"/>
        <v/>
      </c>
      <c r="O12" s="269" t="str">
        <f t="shared" si="0"/>
        <v/>
      </c>
      <c r="P12" s="234">
        <f t="shared" ref="P12:P13" si="1">SUM(D12:O12)</f>
        <v>0</v>
      </c>
      <c r="Q12" s="533">
        <v>0</v>
      </c>
    </row>
    <row r="13" spans="2:20" ht="18.5" x14ac:dyDescent="0.45">
      <c r="B13" s="213" t="s">
        <v>191</v>
      </c>
      <c r="C13" s="470" t="s">
        <v>196</v>
      </c>
      <c r="D13" s="458">
        <f t="shared" ref="D13:O13" si="2">IF(D$8="","",0)</f>
        <v>0</v>
      </c>
      <c r="E13" s="234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395075.86</v>
      </c>
      <c r="E14" s="274">
        <f t="shared" ref="E14:O14" si="3">IF(E8="","",SUM(E11:E13))</f>
        <v>393635.82</v>
      </c>
      <c r="F14" s="275">
        <f t="shared" si="3"/>
        <v>381575.74</v>
      </c>
      <c r="G14" s="273">
        <f t="shared" si="3"/>
        <v>384252.47</v>
      </c>
      <c r="H14" s="274">
        <f t="shared" si="3"/>
        <v>385992.51</v>
      </c>
      <c r="I14" s="275">
        <f t="shared" si="3"/>
        <v>395076.05</v>
      </c>
      <c r="J14" s="274">
        <f t="shared" si="3"/>
        <v>397570.9</v>
      </c>
      <c r="K14" s="274">
        <f t="shared" si="3"/>
        <v>397026.31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3130205.6599999997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$1,130</v>
      </c>
      <c r="E16" s="645"/>
      <c r="F16" s="646"/>
      <c r="G16" s="644" t="str">
        <f>"Admin, Reinsurance, &amp; Misc. PEPM: "&amp;DOLLAR(SUM($P36,$P42,$P49)/$P$8,0)</f>
        <v>Admin, Reinsurance, &amp; Misc. PEPM: $576</v>
      </c>
      <c r="H16" s="645"/>
      <c r="I16" s="646"/>
      <c r="J16" s="644" t="str">
        <f>"Total Expenses PEPM: "&amp;DOLLAR($P16/$P$8,0)</f>
        <v>Total Expenses PEPM: $1,706</v>
      </c>
      <c r="K16" s="645"/>
      <c r="L16" s="646"/>
      <c r="M16" s="644" t="str">
        <f>"Projection Variance: "&amp;TEXT(($P$16/$P$8)/$Q$10-1,"0.00%")</f>
        <v>Projection Variance: 1.78%</v>
      </c>
      <c r="N16" s="645"/>
      <c r="O16" s="647"/>
      <c r="P16" s="265">
        <f>SUM(P26,P36,P42,P49)</f>
        <v>3373565.3028263156</v>
      </c>
      <c r="Q16" s="534"/>
    </row>
    <row r="17" spans="2:19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9" ht="18.5" x14ac:dyDescent="0.45">
      <c r="B18" s="213"/>
      <c r="C18" s="267" t="s">
        <v>91</v>
      </c>
      <c r="D18" s="268" cm="1">
        <f t="array" ref="D18">IFERROR(IFERROR(INDEX('Cash Flow Entry'!$F$3:$F$500,MATCH(1,INDEX((Franklin!$C$7='Cash Flow Entry'!$B$3:$B$500)*(VALUE(Franklin!D$7)='Cash Flow Entry'!$C$3:$C$500),0,1),0)),"")+IFERROR(INDEX('Cash Flow Entry'!$H$3:$H$500,MATCH(1,INDEX((Franklin!$C$7='Cash Flow Entry'!$B$3:$B$500)*(VALUE(Franklin!D$7)='Cash Flow Entry'!$C$3:$C$500),0,1),0)),""),"")</f>
        <v>209280.83</v>
      </c>
      <c r="E18" s="234" cm="1">
        <f t="array" ref="E18">IFERROR(IFERROR(INDEX('Cash Flow Entry'!$F$3:$F$500,MATCH(1,INDEX((Franklin!$C$7='Cash Flow Entry'!$B$3:$B$500)*(VALUE(Franklin!E$7)='Cash Flow Entry'!$C$3:$C$500),0,1),0)),"")+IFERROR(INDEX('Cash Flow Entry'!$H$3:$H$500,MATCH(1,INDEX((Franklin!$C$7='Cash Flow Entry'!$B$3:$B$500)*(VALUE(Franklin!E$7)='Cash Flow Entry'!$C$3:$C$500),0,1),0)),""),"")</f>
        <v>161037.04999999999</v>
      </c>
      <c r="F18" s="269" cm="1">
        <f t="array" ref="F18">IFERROR(IFERROR(INDEX('Cash Flow Entry'!$F$3:$F$500,MATCH(1,INDEX((Franklin!$C$7='Cash Flow Entry'!$B$3:$B$500)*(VALUE(Franklin!F$7)='Cash Flow Entry'!$C$3:$C$500),0,1),0)),"")+IFERROR(INDEX('Cash Flow Entry'!$H$3:$H$500,MATCH(1,INDEX((Franklin!$C$7='Cash Flow Entry'!$B$3:$B$500)*(VALUE(Franklin!F$7)='Cash Flow Entry'!$C$3:$C$500),0,1),0)),""),"")</f>
        <v>359922.41</v>
      </c>
      <c r="G18" s="268" cm="1">
        <f t="array" ref="G18">IFERROR(IFERROR(INDEX('Cash Flow Entry'!$F$3:$F$500,MATCH(1,INDEX((Franklin!$C$7='Cash Flow Entry'!$B$3:$B$500)*(VALUE(Franklin!G$7)='Cash Flow Entry'!$C$3:$C$500),0,1),0)),"")+IFERROR(INDEX('Cash Flow Entry'!$H$3:$H$500,MATCH(1,INDEX((Franklin!$C$7='Cash Flow Entry'!$B$3:$B$500)*(VALUE(Franklin!G$7)='Cash Flow Entry'!$C$3:$C$500),0,1),0)),""),"")</f>
        <v>178443.86</v>
      </c>
      <c r="H18" s="234" cm="1">
        <f t="array" ref="H18">IFERROR(IFERROR(INDEX('Cash Flow Entry'!$F$3:$F$500,MATCH(1,INDEX((Franklin!$C$7='Cash Flow Entry'!$B$3:$B$500)*(VALUE(Franklin!H$7)='Cash Flow Entry'!$C$3:$C$500),0,1),0)),"")+IFERROR(INDEX('Cash Flow Entry'!$H$3:$H$500,MATCH(1,INDEX((Franklin!$C$7='Cash Flow Entry'!$B$3:$B$500)*(VALUE(Franklin!H$7)='Cash Flow Entry'!$C$3:$C$500),0,1),0)),""),"")</f>
        <v>268224.40000000002</v>
      </c>
      <c r="I18" s="269" cm="1">
        <f t="array" ref="I18">IFERROR(IFERROR(INDEX('Cash Flow Entry'!$F$3:$F$500,MATCH(1,INDEX((Franklin!$C$7='Cash Flow Entry'!$B$3:$B$500)*(VALUE(Franklin!I$7)='Cash Flow Entry'!$C$3:$C$500),0,1),0)),"")+IFERROR(INDEX('Cash Flow Entry'!$H$3:$H$500,MATCH(1,INDEX((Franklin!$C$7='Cash Flow Entry'!$B$3:$B$500)*(VALUE(Franklin!I$7)='Cash Flow Entry'!$C$3:$C$500),0,1),0)),""),"")</f>
        <v>239219.46</v>
      </c>
      <c r="J18" s="234" cm="1">
        <f t="array" ref="J18">IFERROR(IFERROR(INDEX('Cash Flow Entry'!$F$3:$F$500,MATCH(1,INDEX((Franklin!$C$7='Cash Flow Entry'!$B$3:$B$500)*(VALUE(Franklin!J$7)='Cash Flow Entry'!$C$3:$C$500),0,1),0)),"")+IFERROR(INDEX('Cash Flow Entry'!$H$3:$H$500,MATCH(1,INDEX((Franklin!$C$7='Cash Flow Entry'!$B$3:$B$500)*(VALUE(Franklin!J$7)='Cash Flow Entry'!$C$3:$C$500),0,1),0)),""),"")</f>
        <v>364201.32999999996</v>
      </c>
      <c r="K18" s="234" cm="1">
        <f t="array" ref="K18">IFERROR(IFERROR(INDEX('Cash Flow Entry'!$F$3:$F$500,MATCH(1,INDEX((Franklin!$C$7='Cash Flow Entry'!$B$3:$B$500)*(VALUE(Franklin!K$7)='Cash Flow Entry'!$C$3:$C$500),0,1),0)),"")+IFERROR(INDEX('Cash Flow Entry'!$H$3:$H$500,MATCH(1,INDEX((Franklin!$C$7='Cash Flow Entry'!$B$3:$B$500)*(VALUE(Franklin!K$7)='Cash Flow Entry'!$C$3:$C$500),0,1),0)),""),"")</f>
        <v>302636.57999999996</v>
      </c>
      <c r="L18" s="234" t="str" cm="1">
        <f t="array" ref="L18">IFERROR(IFERROR(INDEX('Cash Flow Entry'!$F$3:$F$500,MATCH(1,INDEX((Franklin!$C$7='Cash Flow Entry'!$B$3:$B$500)*(VALUE(Franklin!L$7)='Cash Flow Entry'!$C$3:$C$500),0,1),0)),"")+IFERROR(INDEX('Cash Flow Entry'!$H$3:$H$500,MATCH(1,INDEX((Franklin!$C$7='Cash Flow Entry'!$B$3:$B$500)*(VALUE(Franklin!L$7)='Cash Flow Entry'!$C$3:$C$500),0,1),0)),""),"")</f>
        <v/>
      </c>
      <c r="M18" s="268" t="str" cm="1">
        <f t="array" ref="M18">IFERROR(IFERROR(INDEX('Cash Flow Entry'!$F$3:$F$500,MATCH(1,INDEX((Franklin!$C$7='Cash Flow Entry'!$B$3:$B$500)*(VALUE(Franklin!M$7)='Cash Flow Entry'!$C$3:$C$500),0,1),0)),"")+IFERROR(INDEX('Cash Flow Entry'!$H$3:$H$500,MATCH(1,INDEX((Franklin!$C$7='Cash Flow Entry'!$B$3:$B$500)*(VALUE(Franklin!M$7)='Cash Flow Entry'!$C$3:$C$500),0,1),0)),""),"")</f>
        <v/>
      </c>
      <c r="N18" s="234" t="str" cm="1">
        <f t="array" ref="N18">IFERROR(IFERROR(INDEX('Cash Flow Entry'!$F$3:$F$500,MATCH(1,INDEX((Franklin!$C$7='Cash Flow Entry'!$B$3:$B$500)*(VALUE(Franklin!N$7)='Cash Flow Entry'!$C$3:$C$500),0,1),0)),"")+IFERROR(INDEX('Cash Flow Entry'!$H$3:$H$500,MATCH(1,INDEX((Franklin!$C$7='Cash Flow Entry'!$B$3:$B$500)*(VALUE(Franklin!N$7)='Cash Flow Entry'!$C$3:$C$500),0,1),0)),""),"")</f>
        <v/>
      </c>
      <c r="O18" s="270" t="str" cm="1">
        <f t="array" ref="O18">IFERROR(IFERROR(INDEX('Cash Flow Entry'!$F$3:$F$500,MATCH(1,INDEX((Franklin!$C$7='Cash Flow Entry'!$B$3:$B$500)*(VALUE(Franklin!O$7)='Cash Flow Entry'!$C$3:$C$500),0,1),0)),"")+IFERROR(INDEX('Cash Flow Entry'!$H$3:$H$500,MATCH(1,INDEX((Franklin!$C$7='Cash Flow Entry'!$B$3:$B$500)*(VALUE(Franklin!O$7)='Cash Flow Entry'!$C$3:$C$500),0,1),0)),""),"")</f>
        <v/>
      </c>
      <c r="P18" s="234">
        <f>SUM(D18:O18)</f>
        <v>2082965.92</v>
      </c>
      <c r="Q18" s="533">
        <v>844.78</v>
      </c>
    </row>
    <row r="19" spans="2:19" ht="18.5" x14ac:dyDescent="0.45">
      <c r="B19" s="213"/>
      <c r="C19" s="267" t="s">
        <v>93</v>
      </c>
      <c r="D19" s="268" cm="1">
        <f t="array" ref="D19">IFERROR(INDEX('Cash Flow Entry'!$G$3:$G$500,MATCH(1,INDEX((Franklin!$C$7='Cash Flow Entry'!$B$3:$B$500)*(VALUE(Franklin!D$7)='Cash Flow Entry'!$C$3:$C$500),0,1),0)),"")</f>
        <v>88009.85</v>
      </c>
      <c r="E19" s="234" cm="1">
        <f t="array" ref="E19">IFERROR(INDEX('Cash Flow Entry'!$G$3:$G$500,MATCH(1,INDEX((Franklin!$C$7='Cash Flow Entry'!$B$3:$B$500)*(VALUE(Franklin!E$7)='Cash Flow Entry'!$C$3:$C$500),0,1),0)),"")</f>
        <v>81941.86</v>
      </c>
      <c r="F19" s="269" cm="1">
        <f t="array" ref="F19">IFERROR(INDEX('Cash Flow Entry'!$G$3:$G$500,MATCH(1,INDEX((Franklin!$C$7='Cash Flow Entry'!$B$3:$B$500)*(VALUE(Franklin!F$7)='Cash Flow Entry'!$C$3:$C$500),0,1),0)),"")</f>
        <v>91004.85</v>
      </c>
      <c r="G19" s="268" cm="1">
        <f t="array" ref="G19">IFERROR(INDEX('Cash Flow Entry'!$G$3:$G$500,MATCH(1,INDEX((Franklin!$C$7='Cash Flow Entry'!$B$3:$B$500)*(VALUE(Franklin!G$7)='Cash Flow Entry'!$C$3:$C$500),0,1),0)),"")</f>
        <v>62190.94</v>
      </c>
      <c r="H19" s="234" cm="1">
        <f t="array" ref="H19">IFERROR(INDEX('Cash Flow Entry'!$G$3:$G$500,MATCH(1,INDEX((Franklin!$C$7='Cash Flow Entry'!$B$3:$B$500)*(VALUE(Franklin!H$7)='Cash Flow Entry'!$C$3:$C$500),0,1),0)),"")</f>
        <v>125753.06</v>
      </c>
      <c r="I19" s="269" cm="1">
        <f t="array" ref="I19">IFERROR(INDEX('Cash Flow Entry'!$G$3:$G$500,MATCH(1,INDEX((Franklin!$C$7='Cash Flow Entry'!$B$3:$B$500)*(VALUE(Franklin!I$7)='Cash Flow Entry'!$C$3:$C$500),0,1),0)),"")</f>
        <v>76049.210000000006</v>
      </c>
      <c r="J19" s="234" cm="1">
        <f t="array" ref="J19">IFERROR(INDEX('Cash Flow Entry'!$G$3:$G$500,MATCH(1,INDEX((Franklin!$C$7='Cash Flow Entry'!$B$3:$B$500)*(VALUE(Franklin!J$7)='Cash Flow Entry'!$C$3:$C$500),0,1),0)),"")</f>
        <v>125346.25</v>
      </c>
      <c r="K19" s="234" cm="1">
        <f t="array" ref="K19">IFERROR(INDEX('Cash Flow Entry'!$G$3:$G$500,MATCH(1,INDEX((Franklin!$C$7='Cash Flow Entry'!$B$3:$B$500)*(VALUE(Franklin!K$7)='Cash Flow Entry'!$C$3:$C$500),0,1),0)),"")</f>
        <v>92548.52</v>
      </c>
      <c r="L19" s="234" t="str" cm="1">
        <f t="array" ref="L19">IFERROR(INDEX('Cash Flow Entry'!$G$3:$G$500,MATCH(1,INDEX((Franklin!$C$7='Cash Flow Entry'!$B$3:$B$500)*(VALUE(Franklin!L$7)='Cash Flow Entry'!$C$3:$C$500),0,1),0)),"")</f>
        <v/>
      </c>
      <c r="M19" s="268" t="str" cm="1">
        <f t="array" ref="M19">IFERROR(INDEX('Cash Flow Entry'!$G$3:$G$500,MATCH(1,INDEX((Franklin!$C$7='Cash Flow Entry'!$B$3:$B$500)*(VALUE(Franklin!M$7)='Cash Flow Entry'!$C$3:$C$500),0,1),0)),"")</f>
        <v/>
      </c>
      <c r="N19" s="234" t="str" cm="1">
        <f t="array" ref="N19">IFERROR(INDEX('Cash Flow Entry'!$G$3:$G$500,MATCH(1,INDEX((Franklin!$C$7='Cash Flow Entry'!$B$3:$B$500)*(VALUE(Franklin!N$7)='Cash Flow Entry'!$C$3:$C$500),0,1),0)),"")</f>
        <v/>
      </c>
      <c r="O19" s="270" t="str" cm="1">
        <f t="array" ref="O19">IFERROR(INDEX('Cash Flow Entry'!$G$3:$G$500,MATCH(1,INDEX((Franklin!$C$7='Cash Flow Entry'!$B$3:$B$500)*(VALUE(Franklin!O$7)='Cash Flow Entry'!$C$3:$C$500),0,1),0)),"")</f>
        <v/>
      </c>
      <c r="P19" s="234">
        <f>SUM(D19:O19)</f>
        <v>742844.54</v>
      </c>
      <c r="Q19" s="533">
        <v>215.31</v>
      </c>
    </row>
    <row r="20" spans="2:19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9" ht="18.5" x14ac:dyDescent="0.45">
      <c r="B21" s="219">
        <f>INDEX('HCC Summary'!$I$9:$I$27,MATCH(Franklin!C7,'HCC Summary'!B9:B27, 0))</f>
        <v>324117.77999999997</v>
      </c>
      <c r="C21" s="282" t="s">
        <v>225</v>
      </c>
      <c r="D21" s="283">
        <v>13546.08</v>
      </c>
      <c r="E21" s="284">
        <v>18050.45</v>
      </c>
      <c r="F21" s="285">
        <v>70052.72</v>
      </c>
      <c r="G21" s="283">
        <v>105784.56</v>
      </c>
      <c r="H21" s="284">
        <v>147730.38</v>
      </c>
      <c r="I21" s="285">
        <v>213948.37</v>
      </c>
      <c r="J21" s="284">
        <v>264985.38</v>
      </c>
      <c r="K21" s="284">
        <v>324117.78000000003</v>
      </c>
      <c r="L21" s="284"/>
      <c r="M21" s="283"/>
      <c r="N21" s="284"/>
      <c r="O21" s="286"/>
      <c r="P21" s="641">
        <f>SUM(D22:O22)</f>
        <v>-324117.78000000003</v>
      </c>
      <c r="Q21" s="533"/>
    </row>
    <row r="22" spans="2:19" ht="18.5" x14ac:dyDescent="0.45">
      <c r="C22" s="267" t="s">
        <v>226</v>
      </c>
      <c r="D22" s="268">
        <f>IF(D8="","",-D21)</f>
        <v>-13546.08</v>
      </c>
      <c r="E22" s="234">
        <f t="shared" ref="E22:O22" si="5">IF(E8="","",-(E21-D21))</f>
        <v>-4504.3700000000008</v>
      </c>
      <c r="F22" s="269">
        <f t="shared" si="5"/>
        <v>-52002.270000000004</v>
      </c>
      <c r="G22" s="268">
        <f t="shared" si="5"/>
        <v>-35731.839999999997</v>
      </c>
      <c r="H22" s="234">
        <f t="shared" si="5"/>
        <v>-41945.820000000007</v>
      </c>
      <c r="I22" s="269">
        <f t="shared" si="5"/>
        <v>-66217.989999999991</v>
      </c>
      <c r="J22" s="234">
        <f t="shared" si="5"/>
        <v>-51037.010000000009</v>
      </c>
      <c r="K22" s="234">
        <f t="shared" si="5"/>
        <v>-59132.400000000023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9" ht="18.5" x14ac:dyDescent="0.45">
      <c r="C23" s="267" t="s">
        <v>363</v>
      </c>
      <c r="D23" s="268">
        <f>IF(D$8="","",$U68)</f>
        <v>-47136.06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0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-47136.06</v>
      </c>
      <c r="Q23" s="533"/>
    </row>
    <row r="24" spans="2:19" ht="18.5" x14ac:dyDescent="0.45">
      <c r="C24" s="267" t="s">
        <v>25</v>
      </c>
      <c r="D24" s="268">
        <f t="shared" ref="D24:O24" si="7">IF(D$8="","",D$8*$Q$24)</f>
        <v>-27170</v>
      </c>
      <c r="E24" s="234">
        <f t="shared" si="7"/>
        <v>-27060</v>
      </c>
      <c r="F24" s="269">
        <f t="shared" si="7"/>
        <v>-26620</v>
      </c>
      <c r="G24" s="268">
        <f t="shared" si="7"/>
        <v>-26950</v>
      </c>
      <c r="H24" s="234">
        <f t="shared" si="7"/>
        <v>-27060</v>
      </c>
      <c r="I24" s="269">
        <f t="shared" si="7"/>
        <v>-27500</v>
      </c>
      <c r="J24" s="234">
        <f t="shared" si="7"/>
        <v>-27610</v>
      </c>
      <c r="K24" s="234">
        <f t="shared" si="7"/>
        <v>-27610</v>
      </c>
      <c r="L24" s="234" t="str">
        <f t="shared" si="7"/>
        <v/>
      </c>
      <c r="M24" s="268" t="str">
        <f t="shared" si="7"/>
        <v/>
      </c>
      <c r="N24" s="234" t="str">
        <f t="shared" si="7"/>
        <v/>
      </c>
      <c r="O24" s="270" t="str">
        <f t="shared" si="7"/>
        <v/>
      </c>
      <c r="P24" s="234">
        <f t="shared" si="6"/>
        <v>-217580</v>
      </c>
      <c r="Q24" s="533">
        <v>-110</v>
      </c>
    </row>
    <row r="25" spans="2:19" ht="18.5" x14ac:dyDescent="0.45">
      <c r="B25" s="213"/>
      <c r="C25" s="267" t="s">
        <v>199</v>
      </c>
      <c r="D25" s="268">
        <f>IF(D$8="","",SUM($L68:$R68))</f>
        <v>1042.3699999999999</v>
      </c>
      <c r="E25" s="234">
        <f>IF(E$8="","",SUM($L69:$R69))</f>
        <v>4282.99</v>
      </c>
      <c r="F25" s="269">
        <f>IF(F$8="","",SUM($L70:$R70))</f>
        <v>3969.3</v>
      </c>
      <c r="G25" s="268">
        <f>IF(G$8="","",SUM($L71:$R71))</f>
        <v>3140.3</v>
      </c>
      <c r="H25" s="234">
        <f>IF(H$8="","",SUM($L72:$R72))</f>
        <v>3030.88</v>
      </c>
      <c r="I25" s="269">
        <f>IF(I$8="","",SUM($L73:$R73))</f>
        <v>2388.9499999999998</v>
      </c>
      <c r="J25" s="234">
        <f>IF(J$8="","",SUM($L74:$R74))</f>
        <v>20279.22</v>
      </c>
      <c r="K25" s="234">
        <f>IF(K$8="","",SUM($L75:$S75))</f>
        <v>-39941.520000000004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-1807.510000000002</v>
      </c>
      <c r="Q25" s="533"/>
    </row>
    <row r="26" spans="2:19" ht="18.5" x14ac:dyDescent="0.45">
      <c r="C26" s="272" t="s">
        <v>200</v>
      </c>
      <c r="D26" s="273">
        <f>IF(D8="","",SUM(D18:D20,D22:D25))</f>
        <v>210480.90999999997</v>
      </c>
      <c r="E26" s="274">
        <f t="shared" ref="E26:L26" si="8">IF(E8="","",SUM(E18:E20,E22:E25))</f>
        <v>215697.52999999997</v>
      </c>
      <c r="F26" s="275">
        <f t="shared" si="8"/>
        <v>376274.29</v>
      </c>
      <c r="G26" s="273">
        <f t="shared" si="8"/>
        <v>181093.25999999998</v>
      </c>
      <c r="H26" s="274">
        <f t="shared" si="8"/>
        <v>328002.52</v>
      </c>
      <c r="I26" s="275">
        <f t="shared" si="8"/>
        <v>223939.63</v>
      </c>
      <c r="J26" s="273">
        <f t="shared" si="8"/>
        <v>431179.78999999992</v>
      </c>
      <c r="K26" s="274">
        <f t="shared" si="8"/>
        <v>268501.17999999993</v>
      </c>
      <c r="L26" s="275" t="str">
        <f t="shared" si="8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9">IF(O8="","",SUM(O18:O19,O22:O25))</f>
        <v/>
      </c>
      <c r="P26" s="274">
        <f>SUM(P18:P25)</f>
        <v>2235169.11</v>
      </c>
      <c r="Q26" s="533"/>
    </row>
    <row r="27" spans="2:19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9" ht="18.5" x14ac:dyDescent="0.45">
      <c r="C28" s="267" t="s">
        <v>223</v>
      </c>
      <c r="D28" s="268">
        <f>IF(D$8="","",D$8*$Q28)</f>
        <v>9914.58</v>
      </c>
      <c r="E28" s="234">
        <f t="shared" ref="E28:O35" si="10">IF(E$8="","",E$8*$Q28)</f>
        <v>9874.44</v>
      </c>
      <c r="F28" s="269">
        <f t="shared" si="10"/>
        <v>9713.880000000001</v>
      </c>
      <c r="G28" s="268">
        <f t="shared" si="10"/>
        <v>9834.2999999999993</v>
      </c>
      <c r="H28" s="234">
        <f t="shared" si="10"/>
        <v>9874.44</v>
      </c>
      <c r="I28" s="269">
        <f t="shared" si="10"/>
        <v>10035</v>
      </c>
      <c r="J28" s="234">
        <f t="shared" si="10"/>
        <v>10075.14</v>
      </c>
      <c r="K28" s="234">
        <f t="shared" si="10"/>
        <v>10075.14</v>
      </c>
      <c r="L28" s="234" t="str">
        <f t="shared" si="10"/>
        <v/>
      </c>
      <c r="M28" s="268" t="str">
        <f t="shared" si="10"/>
        <v/>
      </c>
      <c r="N28" s="234" t="str">
        <f t="shared" si="10"/>
        <v/>
      </c>
      <c r="O28" s="270" t="str">
        <f t="shared" si="10"/>
        <v/>
      </c>
      <c r="P28" s="234">
        <f>SUM(D28:O28)</f>
        <v>79396.92</v>
      </c>
      <c r="Q28" s="533">
        <v>40.14</v>
      </c>
    </row>
    <row r="29" spans="2:19" ht="18.5" x14ac:dyDescent="0.45">
      <c r="C29" s="267" t="s">
        <v>224</v>
      </c>
      <c r="D29" s="268">
        <f t="shared" ref="D29:O35" si="11">IF(D$8="","",D$8*$Q29)</f>
        <v>988</v>
      </c>
      <c r="E29" s="234">
        <f t="shared" si="10"/>
        <v>984</v>
      </c>
      <c r="F29" s="269">
        <f t="shared" si="10"/>
        <v>968</v>
      </c>
      <c r="G29" s="268">
        <f t="shared" si="10"/>
        <v>980</v>
      </c>
      <c r="H29" s="234">
        <f t="shared" si="10"/>
        <v>984</v>
      </c>
      <c r="I29" s="269">
        <f t="shared" si="10"/>
        <v>1000</v>
      </c>
      <c r="J29" s="234">
        <f t="shared" si="10"/>
        <v>1004</v>
      </c>
      <c r="K29" s="234">
        <f t="shared" si="10"/>
        <v>1004</v>
      </c>
      <c r="L29" s="234" t="str">
        <f t="shared" si="10"/>
        <v/>
      </c>
      <c r="M29" s="268" t="str">
        <f t="shared" si="10"/>
        <v/>
      </c>
      <c r="N29" s="234" t="str">
        <f t="shared" si="10"/>
        <v/>
      </c>
      <c r="O29" s="270" t="str">
        <f t="shared" si="10"/>
        <v/>
      </c>
      <c r="P29" s="234">
        <f t="shared" ref="P29:P35" si="12">SUM(D29:O29)</f>
        <v>7912</v>
      </c>
      <c r="Q29" s="533">
        <v>4</v>
      </c>
    </row>
    <row r="30" spans="2:19" ht="18.5" x14ac:dyDescent="0.45">
      <c r="C30" s="267" t="s">
        <v>324</v>
      </c>
      <c r="D30" s="268">
        <f>IF(D$8="","",D$8*$Q30)</f>
        <v>0</v>
      </c>
      <c r="E30" s="234">
        <f t="shared" si="10"/>
        <v>0</v>
      </c>
      <c r="F30" s="234">
        <f t="shared" si="10"/>
        <v>0</v>
      </c>
      <c r="G30" s="268">
        <f t="shared" si="10"/>
        <v>0</v>
      </c>
      <c r="H30" s="234">
        <f t="shared" si="10"/>
        <v>0</v>
      </c>
      <c r="I30" s="234">
        <f t="shared" si="10"/>
        <v>0</v>
      </c>
      <c r="J30" s="268">
        <f t="shared" si="10"/>
        <v>0</v>
      </c>
      <c r="K30" s="234">
        <f t="shared" si="10"/>
        <v>0</v>
      </c>
      <c r="L30" s="234" t="str">
        <f t="shared" si="10"/>
        <v/>
      </c>
      <c r="M30" s="268" t="str">
        <f t="shared" si="10"/>
        <v/>
      </c>
      <c r="N30" s="234" t="str">
        <f t="shared" si="10"/>
        <v/>
      </c>
      <c r="O30" s="270" t="str">
        <f t="shared" si="10"/>
        <v/>
      </c>
      <c r="P30" s="234">
        <f t="shared" si="12"/>
        <v>0</v>
      </c>
      <c r="Q30" s="533">
        <v>0</v>
      </c>
    </row>
    <row r="31" spans="2:19" ht="18.5" x14ac:dyDescent="0.45">
      <c r="C31" s="267" t="s">
        <v>325</v>
      </c>
      <c r="D31" s="268">
        <f t="shared" si="11"/>
        <v>0</v>
      </c>
      <c r="E31" s="234">
        <f t="shared" si="11"/>
        <v>0</v>
      </c>
      <c r="F31" s="234">
        <f t="shared" si="11"/>
        <v>0</v>
      </c>
      <c r="G31" s="268">
        <f t="shared" si="11"/>
        <v>0</v>
      </c>
      <c r="H31" s="234">
        <f t="shared" si="11"/>
        <v>0</v>
      </c>
      <c r="I31" s="234">
        <f t="shared" si="11"/>
        <v>0</v>
      </c>
      <c r="J31" s="268">
        <f t="shared" si="11"/>
        <v>0</v>
      </c>
      <c r="K31" s="234">
        <f t="shared" si="11"/>
        <v>0</v>
      </c>
      <c r="L31" s="234" t="str">
        <f t="shared" si="11"/>
        <v/>
      </c>
      <c r="M31" s="268" t="str">
        <f t="shared" si="11"/>
        <v/>
      </c>
      <c r="N31" s="234" t="str">
        <f t="shared" si="11"/>
        <v/>
      </c>
      <c r="O31" s="270" t="str">
        <f t="shared" si="11"/>
        <v/>
      </c>
      <c r="P31" s="234">
        <f t="shared" si="12"/>
        <v>0</v>
      </c>
      <c r="Q31" s="533">
        <v>0</v>
      </c>
    </row>
    <row r="32" spans="2:19" ht="18.5" x14ac:dyDescent="0.45">
      <c r="B32" s="325" t="s">
        <v>249</v>
      </c>
      <c r="C32" s="267" t="s">
        <v>247</v>
      </c>
      <c r="D32" s="268">
        <f t="shared" ref="D32:O32" si="13">IF(D$8="","",(D$8*$Q32)+SUM(D$18:D$19)*$R$32)</f>
        <v>2968.4534000000003</v>
      </c>
      <c r="E32" s="234">
        <f t="shared" si="13"/>
        <v>2690.89455</v>
      </c>
      <c r="F32" s="269">
        <f t="shared" si="13"/>
        <v>3706.6363000000001</v>
      </c>
      <c r="G32" s="268">
        <f t="shared" si="13"/>
        <v>2673.174</v>
      </c>
      <c r="H32" s="234">
        <f t="shared" si="13"/>
        <v>3445.8873000000003</v>
      </c>
      <c r="I32" s="269">
        <f t="shared" si="13"/>
        <v>3076.3433500000001</v>
      </c>
      <c r="J32" s="234">
        <f t="shared" si="13"/>
        <v>3953.7378999999996</v>
      </c>
      <c r="K32" s="234">
        <f t="shared" si="13"/>
        <v>3481.9254999999998</v>
      </c>
      <c r="L32" s="234" t="str">
        <f t="shared" si="13"/>
        <v/>
      </c>
      <c r="M32" s="268" t="str">
        <f t="shared" si="13"/>
        <v/>
      </c>
      <c r="N32" s="234" t="str">
        <f t="shared" si="13"/>
        <v/>
      </c>
      <c r="O32" s="270" t="str">
        <f t="shared" si="13"/>
        <v/>
      </c>
      <c r="P32" s="234">
        <f t="shared" si="12"/>
        <v>25997.052300000003</v>
      </c>
      <c r="Q32" s="533">
        <v>6</v>
      </c>
      <c r="R32" s="324">
        <v>5.0000000000000001E-3</v>
      </c>
      <c r="S32" s="324"/>
    </row>
    <row r="33" spans="2:18" ht="18.5" x14ac:dyDescent="0.45">
      <c r="C33" s="267" t="s">
        <v>227</v>
      </c>
      <c r="D33" s="268">
        <f t="shared" si="11"/>
        <v>432.25</v>
      </c>
      <c r="E33" s="234">
        <f t="shared" si="10"/>
        <v>430.5</v>
      </c>
      <c r="F33" s="269">
        <f t="shared" si="10"/>
        <v>423.5</v>
      </c>
      <c r="G33" s="268">
        <f t="shared" si="10"/>
        <v>428.75</v>
      </c>
      <c r="H33" s="234">
        <f t="shared" si="10"/>
        <v>430.5</v>
      </c>
      <c r="I33" s="269">
        <f t="shared" si="10"/>
        <v>437.5</v>
      </c>
      <c r="J33" s="234">
        <f t="shared" si="10"/>
        <v>439.25</v>
      </c>
      <c r="K33" s="234">
        <f t="shared" si="10"/>
        <v>439.25</v>
      </c>
      <c r="L33" s="234" t="str">
        <f t="shared" si="10"/>
        <v/>
      </c>
      <c r="M33" s="268" t="str">
        <f t="shared" si="10"/>
        <v/>
      </c>
      <c r="N33" s="234" t="str">
        <f t="shared" si="10"/>
        <v/>
      </c>
      <c r="O33" s="270" t="str">
        <f t="shared" si="10"/>
        <v/>
      </c>
      <c r="P33" s="234">
        <f t="shared" si="12"/>
        <v>3461.5</v>
      </c>
      <c r="Q33" s="533">
        <v>1.75</v>
      </c>
    </row>
    <row r="34" spans="2:18" ht="18.5" x14ac:dyDescent="0.45">
      <c r="C34" s="267" t="s">
        <v>228</v>
      </c>
      <c r="D34" s="268">
        <f t="shared" si="11"/>
        <v>815.09999999999991</v>
      </c>
      <c r="E34" s="234">
        <f t="shared" si="10"/>
        <v>811.8</v>
      </c>
      <c r="F34" s="269">
        <f t="shared" si="10"/>
        <v>798.59999999999991</v>
      </c>
      <c r="G34" s="268">
        <f t="shared" si="10"/>
        <v>808.5</v>
      </c>
      <c r="H34" s="234">
        <f t="shared" si="10"/>
        <v>811.8</v>
      </c>
      <c r="I34" s="269">
        <f t="shared" si="10"/>
        <v>825</v>
      </c>
      <c r="J34" s="234">
        <f t="shared" si="10"/>
        <v>828.3</v>
      </c>
      <c r="K34" s="234">
        <f t="shared" si="10"/>
        <v>828.3</v>
      </c>
      <c r="L34" s="234" t="str">
        <f t="shared" si="10"/>
        <v/>
      </c>
      <c r="M34" s="268" t="str">
        <f t="shared" si="10"/>
        <v/>
      </c>
      <c r="N34" s="234" t="str">
        <f t="shared" si="10"/>
        <v/>
      </c>
      <c r="O34" s="270" t="str">
        <f t="shared" si="10"/>
        <v/>
      </c>
      <c r="P34" s="234">
        <f t="shared" si="12"/>
        <v>6527.4000000000005</v>
      </c>
      <c r="Q34" s="533">
        <v>3.3</v>
      </c>
    </row>
    <row r="35" spans="2:18" ht="18.5" x14ac:dyDescent="0.45">
      <c r="C35" s="267" t="s">
        <v>202</v>
      </c>
      <c r="D35" s="268">
        <f t="shared" si="11"/>
        <v>978.12</v>
      </c>
      <c r="E35" s="234">
        <f t="shared" si="10"/>
        <v>974.16</v>
      </c>
      <c r="F35" s="269">
        <f t="shared" si="10"/>
        <v>958.31999999999994</v>
      </c>
      <c r="G35" s="268">
        <f t="shared" si="10"/>
        <v>970.2</v>
      </c>
      <c r="H35" s="234">
        <f t="shared" si="10"/>
        <v>974.16</v>
      </c>
      <c r="I35" s="269">
        <f t="shared" si="10"/>
        <v>990</v>
      </c>
      <c r="J35" s="234">
        <f t="shared" si="10"/>
        <v>993.96</v>
      </c>
      <c r="K35" s="234">
        <f t="shared" si="10"/>
        <v>993.96</v>
      </c>
      <c r="L35" s="234" t="str">
        <f t="shared" si="10"/>
        <v/>
      </c>
      <c r="M35" s="268" t="str">
        <f t="shared" si="10"/>
        <v/>
      </c>
      <c r="N35" s="234" t="str">
        <f t="shared" si="10"/>
        <v/>
      </c>
      <c r="O35" s="270" t="str">
        <f t="shared" si="10"/>
        <v/>
      </c>
      <c r="P35" s="234">
        <f t="shared" si="12"/>
        <v>7832.88</v>
      </c>
      <c r="Q35" s="533">
        <v>3.96</v>
      </c>
    </row>
    <row r="36" spans="2:18" ht="18.5" x14ac:dyDescent="0.45">
      <c r="C36" s="272" t="s">
        <v>203</v>
      </c>
      <c r="D36" s="273">
        <f t="shared" ref="D36:P36" si="14">IF(D$8="","",SUM(D28:D35))</f>
        <v>16096.503400000001</v>
      </c>
      <c r="E36" s="274">
        <f t="shared" si="14"/>
        <v>15765.794549999999</v>
      </c>
      <c r="F36" s="275">
        <f t="shared" si="14"/>
        <v>16568.936300000001</v>
      </c>
      <c r="G36" s="273">
        <f t="shared" si="14"/>
        <v>15694.923999999999</v>
      </c>
      <c r="H36" s="274">
        <f t="shared" si="14"/>
        <v>16520.7873</v>
      </c>
      <c r="I36" s="275">
        <f t="shared" si="14"/>
        <v>16363.843349999999</v>
      </c>
      <c r="J36" s="274">
        <f t="shared" si="14"/>
        <v>17294.387899999998</v>
      </c>
      <c r="K36" s="274">
        <f t="shared" si="14"/>
        <v>16822.575499999999</v>
      </c>
      <c r="L36" s="274" t="str">
        <f t="shared" si="14"/>
        <v/>
      </c>
      <c r="M36" s="273" t="str">
        <f t="shared" si="14"/>
        <v/>
      </c>
      <c r="N36" s="274" t="str">
        <f t="shared" si="14"/>
        <v/>
      </c>
      <c r="O36" s="276" t="str">
        <f t="shared" si="14"/>
        <v/>
      </c>
      <c r="P36" s="274">
        <f t="shared" si="14"/>
        <v>131127.75229999999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24396.19</v>
      </c>
      <c r="E38" s="234">
        <f t="shared" ref="E38:O41" si="15">IF(E$8="","",E$8*$Q38)</f>
        <v>24297.42</v>
      </c>
      <c r="F38" s="269">
        <f t="shared" si="15"/>
        <v>23902.34</v>
      </c>
      <c r="G38" s="268">
        <f t="shared" si="15"/>
        <v>24198.649999999998</v>
      </c>
      <c r="H38" s="234">
        <f t="shared" si="15"/>
        <v>24297.42</v>
      </c>
      <c r="I38" s="269">
        <f t="shared" si="15"/>
        <v>24692.5</v>
      </c>
      <c r="J38" s="234">
        <f t="shared" si="15"/>
        <v>24791.27</v>
      </c>
      <c r="K38" s="234">
        <f t="shared" si="15"/>
        <v>24791.27</v>
      </c>
      <c r="L38" s="234" t="str">
        <f t="shared" si="15"/>
        <v/>
      </c>
      <c r="M38" s="268" t="str">
        <f t="shared" si="15"/>
        <v/>
      </c>
      <c r="N38" s="234" t="str">
        <f t="shared" si="15"/>
        <v/>
      </c>
      <c r="O38" s="270" t="str">
        <f t="shared" si="15"/>
        <v/>
      </c>
      <c r="P38" s="234">
        <f>SUM(D38:O38)</f>
        <v>195367.05999999997</v>
      </c>
      <c r="Q38" s="533">
        <v>98.77</v>
      </c>
    </row>
    <row r="39" spans="2:18" ht="18.5" x14ac:dyDescent="0.45">
      <c r="C39" s="267" t="s">
        <v>205</v>
      </c>
      <c r="D39" s="268">
        <f t="shared" ref="D39:D41" si="16">IF(D$8="","",D$8*$Q39)</f>
        <v>117549.77</v>
      </c>
      <c r="E39" s="234">
        <f t="shared" si="15"/>
        <v>117073.86</v>
      </c>
      <c r="F39" s="269">
        <f t="shared" si="15"/>
        <v>115170.22</v>
      </c>
      <c r="G39" s="268">
        <f t="shared" si="15"/>
        <v>116597.95000000001</v>
      </c>
      <c r="H39" s="234">
        <f t="shared" si="15"/>
        <v>117073.86</v>
      </c>
      <c r="I39" s="269">
        <f t="shared" ref="I39:O39" si="17">IF(I$8="","",I$8*$R39)</f>
        <v>68977.5</v>
      </c>
      <c r="J39" s="234">
        <f t="shared" si="17"/>
        <v>69253.41</v>
      </c>
      <c r="K39" s="234">
        <f t="shared" si="17"/>
        <v>69253.41</v>
      </c>
      <c r="L39" s="234" t="str">
        <f t="shared" si="17"/>
        <v/>
      </c>
      <c r="M39" s="268" t="str">
        <f t="shared" si="17"/>
        <v/>
      </c>
      <c r="N39" s="234" t="str">
        <f t="shared" si="17"/>
        <v/>
      </c>
      <c r="O39" s="270" t="str">
        <f t="shared" si="17"/>
        <v/>
      </c>
      <c r="P39" s="234">
        <f t="shared" ref="P39:P41" si="18">SUM(D39:O39)</f>
        <v>790949.9800000001</v>
      </c>
      <c r="Q39" s="533">
        <v>475.91</v>
      </c>
      <c r="R39" s="11">
        <f>Q39-200</f>
        <v>275.91000000000003</v>
      </c>
    </row>
    <row r="40" spans="2:18" ht="18.5" x14ac:dyDescent="0.45">
      <c r="C40" s="267" t="s">
        <v>322</v>
      </c>
      <c r="D40" s="268">
        <f t="shared" ref="D40:O40" si="19">IF(D$8="","",D$8*$Q40)</f>
        <v>988</v>
      </c>
      <c r="E40" s="234">
        <f t="shared" si="19"/>
        <v>984</v>
      </c>
      <c r="F40" s="269">
        <f t="shared" si="19"/>
        <v>968</v>
      </c>
      <c r="G40" s="234">
        <f t="shared" si="19"/>
        <v>980</v>
      </c>
      <c r="H40" s="234">
        <f t="shared" si="19"/>
        <v>984</v>
      </c>
      <c r="I40" s="269">
        <f t="shared" si="19"/>
        <v>1000</v>
      </c>
      <c r="J40" s="234">
        <f t="shared" si="19"/>
        <v>1004</v>
      </c>
      <c r="K40" s="234">
        <f t="shared" si="19"/>
        <v>1004</v>
      </c>
      <c r="L40" s="234" t="str">
        <f t="shared" si="19"/>
        <v/>
      </c>
      <c r="M40" s="268" t="str">
        <f t="shared" si="19"/>
        <v/>
      </c>
      <c r="N40" s="234" t="str">
        <f t="shared" si="19"/>
        <v/>
      </c>
      <c r="O40" s="270" t="str">
        <f t="shared" si="19"/>
        <v/>
      </c>
      <c r="P40" s="234">
        <f>SUM(D40:O40)</f>
        <v>7912</v>
      </c>
      <c r="Q40" s="533">
        <v>4</v>
      </c>
    </row>
    <row r="41" spans="2:18" ht="18.5" x14ac:dyDescent="0.45">
      <c r="C41" s="267" t="s">
        <v>206</v>
      </c>
      <c r="D41" s="268">
        <f t="shared" si="16"/>
        <v>711.36</v>
      </c>
      <c r="E41" s="234">
        <f t="shared" si="15"/>
        <v>708.48</v>
      </c>
      <c r="F41" s="269">
        <f t="shared" si="15"/>
        <v>696.95999999999992</v>
      </c>
      <c r="G41" s="268">
        <f t="shared" si="15"/>
        <v>705.6</v>
      </c>
      <c r="H41" s="234">
        <f t="shared" si="15"/>
        <v>708.48</v>
      </c>
      <c r="I41" s="269">
        <f t="shared" si="15"/>
        <v>720</v>
      </c>
      <c r="J41" s="234">
        <f t="shared" si="15"/>
        <v>722.88</v>
      </c>
      <c r="K41" s="234">
        <f t="shared" si="15"/>
        <v>722.88</v>
      </c>
      <c r="L41" s="234" t="str">
        <f t="shared" si="15"/>
        <v/>
      </c>
      <c r="M41" s="268" t="str">
        <f t="shared" si="15"/>
        <v/>
      </c>
      <c r="N41" s="234" t="str">
        <f t="shared" si="15"/>
        <v/>
      </c>
      <c r="O41" s="270" t="str">
        <f t="shared" si="15"/>
        <v/>
      </c>
      <c r="P41" s="234">
        <f t="shared" si="18"/>
        <v>5696.64</v>
      </c>
      <c r="Q41" s="533">
        <v>2.88</v>
      </c>
    </row>
    <row r="42" spans="2:18" ht="18.5" x14ac:dyDescent="0.45">
      <c r="C42" s="272" t="s">
        <v>207</v>
      </c>
      <c r="D42" s="273">
        <f t="shared" ref="D42:P42" si="20">IF(D$8="","",SUM(D38:D41))</f>
        <v>143645.31999999998</v>
      </c>
      <c r="E42" s="274">
        <f t="shared" si="20"/>
        <v>143063.76</v>
      </c>
      <c r="F42" s="275">
        <f t="shared" si="20"/>
        <v>140737.51999999999</v>
      </c>
      <c r="G42" s="273">
        <f t="shared" si="20"/>
        <v>142482.20000000001</v>
      </c>
      <c r="H42" s="274">
        <f t="shared" si="20"/>
        <v>143063.76</v>
      </c>
      <c r="I42" s="275">
        <f t="shared" si="20"/>
        <v>95390</v>
      </c>
      <c r="J42" s="274">
        <f t="shared" si="20"/>
        <v>95771.560000000012</v>
      </c>
      <c r="K42" s="274">
        <f t="shared" si="20"/>
        <v>95771.560000000012</v>
      </c>
      <c r="L42" s="274" t="str">
        <f t="shared" si="20"/>
        <v/>
      </c>
      <c r="M42" s="273" t="str">
        <f t="shared" si="20"/>
        <v/>
      </c>
      <c r="N42" s="274" t="str">
        <f t="shared" si="20"/>
        <v/>
      </c>
      <c r="O42" s="276" t="str">
        <f t="shared" si="20"/>
        <v/>
      </c>
      <c r="P42" s="274">
        <f t="shared" si="20"/>
        <v>999925.68</v>
      </c>
      <c r="Q42" s="30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 t="s">
        <v>191</v>
      </c>
      <c r="C44" s="267" t="s">
        <v>209</v>
      </c>
      <c r="D44" s="268">
        <f t="shared" ref="D44:O48" si="21">IF(D$8="","",0)</f>
        <v>0</v>
      </c>
      <c r="E44" s="234">
        <f t="shared" si="21"/>
        <v>0</v>
      </c>
      <c r="F44" s="234">
        <f t="shared" si="21"/>
        <v>0</v>
      </c>
      <c r="G44" s="268">
        <f>416.5/19</f>
        <v>21.921052631578949</v>
      </c>
      <c r="H44" s="234">
        <f t="shared" si="21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21"/>
        <v/>
      </c>
      <c r="M44" s="268" t="str">
        <f t="shared" si="21"/>
        <v/>
      </c>
      <c r="N44" s="234" t="str">
        <f t="shared" si="21"/>
        <v/>
      </c>
      <c r="O44" s="234" t="str">
        <f t="shared" si="21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21"/>
        <v>0</v>
      </c>
      <c r="E45" s="234">
        <f t="shared" si="21"/>
        <v>0</v>
      </c>
      <c r="F45" s="269">
        <f t="shared" si="21"/>
        <v>0</v>
      </c>
      <c r="G45" s="268">
        <f t="shared" si="21"/>
        <v>0</v>
      </c>
      <c r="H45" s="234">
        <f>15600/19</f>
        <v>821.0526315789474</v>
      </c>
      <c r="I45" s="234">
        <f t="shared" si="21"/>
        <v>0</v>
      </c>
      <c r="J45" s="268">
        <f t="shared" si="21"/>
        <v>0</v>
      </c>
      <c r="K45" s="234">
        <f t="shared" si="21"/>
        <v>0</v>
      </c>
      <c r="L45" s="234" t="str">
        <f t="shared" si="21"/>
        <v/>
      </c>
      <c r="M45" s="268" t="str">
        <f t="shared" si="21"/>
        <v/>
      </c>
      <c r="N45" s="234" t="str">
        <f t="shared" si="21"/>
        <v/>
      </c>
      <c r="O45" s="234" t="str">
        <f t="shared" si="21"/>
        <v/>
      </c>
      <c r="P45" s="474">
        <f t="shared" ref="P45:P48" si="22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21"/>
        <v>0</v>
      </c>
      <c r="E46" s="234">
        <f t="shared" si="21"/>
        <v>0</v>
      </c>
      <c r="F46" s="269">
        <f t="shared" si="21"/>
        <v>0</v>
      </c>
      <c r="G46" s="268">
        <f t="shared" si="21"/>
        <v>0</v>
      </c>
      <c r="H46" s="234">
        <f t="shared" si="21"/>
        <v>0</v>
      </c>
      <c r="I46" s="234">
        <v>6400</v>
      </c>
      <c r="J46" s="268">
        <f t="shared" si="21"/>
        <v>0</v>
      </c>
      <c r="K46" s="234">
        <f t="shared" si="21"/>
        <v>0</v>
      </c>
      <c r="L46" s="234" t="str">
        <f t="shared" si="21"/>
        <v/>
      </c>
      <c r="M46" s="268" t="str">
        <f t="shared" si="21"/>
        <v/>
      </c>
      <c r="N46" s="234" t="str">
        <f t="shared" si="21"/>
        <v/>
      </c>
      <c r="O46" s="234" t="str">
        <f t="shared" si="21"/>
        <v/>
      </c>
      <c r="P46" s="474">
        <f t="shared" si="22"/>
        <v>6400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21"/>
        <v>0</v>
      </c>
      <c r="E47" s="234">
        <f t="shared" si="21"/>
        <v>0</v>
      </c>
      <c r="F47" s="234">
        <f t="shared" si="21"/>
        <v>0</v>
      </c>
      <c r="G47" s="268">
        <f t="shared" si="21"/>
        <v>0</v>
      </c>
      <c r="H47" s="234">
        <f t="shared" si="21"/>
        <v>0</v>
      </c>
      <c r="I47" s="234">
        <f t="shared" si="21"/>
        <v>0</v>
      </c>
      <c r="J47" s="268">
        <f t="shared" si="21"/>
        <v>0</v>
      </c>
      <c r="K47" s="234">
        <f t="shared" si="21"/>
        <v>0</v>
      </c>
      <c r="L47" s="234" t="str">
        <f t="shared" si="21"/>
        <v/>
      </c>
      <c r="M47" s="268" t="str">
        <f t="shared" si="21"/>
        <v/>
      </c>
      <c r="N47" s="234" t="str">
        <f t="shared" si="21"/>
        <v/>
      </c>
      <c r="O47" s="270" t="str">
        <f t="shared" si="21"/>
        <v/>
      </c>
      <c r="P47" s="234">
        <f t="shared" si="22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21"/>
        <v>0</v>
      </c>
      <c r="F48" s="456">
        <f t="shared" si="21"/>
        <v>0</v>
      </c>
      <c r="G48" s="458">
        <f t="shared" si="21"/>
        <v>0</v>
      </c>
      <c r="H48" s="234">
        <f t="shared" si="21"/>
        <v>0</v>
      </c>
      <c r="I48" s="456">
        <f t="shared" si="21"/>
        <v>0</v>
      </c>
      <c r="J48" s="268">
        <f t="shared" si="21"/>
        <v>0</v>
      </c>
      <c r="K48" s="457">
        <f t="shared" si="21"/>
        <v>0</v>
      </c>
      <c r="L48" s="456" t="str">
        <f t="shared" si="21"/>
        <v/>
      </c>
      <c r="M48" s="458" t="str">
        <f t="shared" si="21"/>
        <v/>
      </c>
      <c r="N48" s="234" t="str">
        <f t="shared" si="21"/>
        <v/>
      </c>
      <c r="O48" s="525" t="str">
        <f t="shared" si="21"/>
        <v/>
      </c>
      <c r="P48" s="475">
        <f t="shared" si="22"/>
        <v>0</v>
      </c>
      <c r="Q48" s="244"/>
    </row>
    <row r="49" spans="2:17" ht="18.5" x14ac:dyDescent="0.45">
      <c r="C49" s="272" t="s">
        <v>229</v>
      </c>
      <c r="D49" s="273">
        <f t="shared" ref="D49:P49" si="23">IF(D$8="","",SUM(D44:D48))</f>
        <v>0</v>
      </c>
      <c r="E49" s="274">
        <f t="shared" si="23"/>
        <v>0</v>
      </c>
      <c r="F49" s="275">
        <f t="shared" si="23"/>
        <v>0</v>
      </c>
      <c r="G49" s="273">
        <f t="shared" si="23"/>
        <v>21.921052631578949</v>
      </c>
      <c r="H49" s="274">
        <f t="shared" si="23"/>
        <v>821.0526315789474</v>
      </c>
      <c r="I49" s="275">
        <f t="shared" si="23"/>
        <v>6412.1026315789477</v>
      </c>
      <c r="J49" s="274">
        <f t="shared" si="23"/>
        <v>31.315789473684209</v>
      </c>
      <c r="K49" s="274">
        <f t="shared" si="23"/>
        <v>56.368421052631582</v>
      </c>
      <c r="L49" s="274" t="str">
        <f t="shared" si="23"/>
        <v/>
      </c>
      <c r="M49" s="273" t="str">
        <f t="shared" si="23"/>
        <v/>
      </c>
      <c r="N49" s="274" t="str">
        <f t="shared" si="23"/>
        <v/>
      </c>
      <c r="O49" s="276" t="str">
        <f t="shared" si="23"/>
        <v/>
      </c>
      <c r="P49" s="557">
        <f t="shared" si="23"/>
        <v>7342.7605263157893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24853.126600000076</v>
      </c>
      <c r="E51" s="289">
        <f>IF(E8="","",E14-SUM(E26,E36,E42,E49))</f>
        <v>19108.735450000037</v>
      </c>
      <c r="F51" s="290">
        <f>IF(F8="","",F14-SUM(F26,F36,F42,F49))</f>
        <v>-152005.00630000001</v>
      </c>
      <c r="G51" s="288">
        <f>IF(G8="","",G14-SUM(G26,G36,G42,G49))</f>
        <v>44960.164947368437</v>
      </c>
      <c r="H51" s="289">
        <f>IF(H8="","",H14-SUM(H26,H36,H42,H49))</f>
        <v>-102415.60993157898</v>
      </c>
      <c r="I51" s="290">
        <f>IF(I8="","",I14-SUM(I26,I36,I42,I49))</f>
        <v>52970.474018421082</v>
      </c>
      <c r="J51" s="289">
        <f>IF(J8="","",J14-SUM(J26,J36,J42,J49))</f>
        <v>-146706.15368947363</v>
      </c>
      <c r="K51" s="289">
        <f>IF(K8="","",K14-SUM(K26,K36,K42,K49))</f>
        <v>15874.626078947447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-243359.64282631595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469121.94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225762.29717368406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0</v>
      </c>
      <c r="E56" s="234">
        <f>IF(E12="","",-E12)</f>
        <v>0</v>
      </c>
      <c r="F56" s="269">
        <f>IF(F12="","",-F12)</f>
        <v>0</v>
      </c>
      <c r="G56" s="268">
        <f>IF(G12="","",-G12)</f>
        <v>0</v>
      </c>
      <c r="H56" s="234">
        <f>IF(H12="","",-H12)</f>
        <v>0</v>
      </c>
      <c r="I56" s="269">
        <f>IF(I12="","",-I12)</f>
        <v>0</v>
      </c>
      <c r="J56" s="234">
        <f>IF(J12="","",-J12)</f>
        <v>0</v>
      </c>
      <c r="K56" s="234">
        <f>IF(K12="","",-K12)</f>
        <v>0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0</v>
      </c>
      <c r="Q56" s="244"/>
    </row>
    <row r="57" spans="2:17" ht="18.5" x14ac:dyDescent="0.45">
      <c r="B57" s="213" t="s">
        <v>191</v>
      </c>
      <c r="C57" s="470" t="s">
        <v>233</v>
      </c>
      <c r="D57" s="457">
        <f t="shared" ref="D57:O57" si="24">IF(D$8="","",0)</f>
        <v>0</v>
      </c>
      <c r="E57" s="234">
        <f t="shared" si="24"/>
        <v>0</v>
      </c>
      <c r="F57" s="456">
        <f>-4907-4782-4592.98-4567</f>
        <v>-18848.98</v>
      </c>
      <c r="G57" s="457">
        <v>-1550</v>
      </c>
      <c r="H57" s="234">
        <f t="shared" si="24"/>
        <v>0</v>
      </c>
      <c r="I57" s="234">
        <v>-19112.05</v>
      </c>
      <c r="J57" s="458">
        <f t="shared" si="24"/>
        <v>0</v>
      </c>
      <c r="K57" s="234">
        <f t="shared" si="24"/>
        <v>0</v>
      </c>
      <c r="L57" s="234" t="str">
        <f t="shared" si="24"/>
        <v/>
      </c>
      <c r="M57" s="458" t="str">
        <f t="shared" si="24"/>
        <v/>
      </c>
      <c r="N57" s="234" t="str">
        <f t="shared" si="24"/>
        <v/>
      </c>
      <c r="O57" s="525" t="str">
        <f t="shared" si="24"/>
        <v/>
      </c>
      <c r="P57" s="234">
        <f>SUM(D57:O57)</f>
        <v>-39511.03</v>
      </c>
      <c r="Q57" s="244"/>
    </row>
    <row r="58" spans="2:17" ht="18.5" x14ac:dyDescent="0.45">
      <c r="C58" s="296" t="s">
        <v>234</v>
      </c>
      <c r="D58" s="297">
        <f>IF(D$8="","",SUM(D56:D57))</f>
        <v>0</v>
      </c>
      <c r="E58" s="298">
        <f t="shared" ref="E58:O58" si="25">IF(E$8="","",SUM(E56:E57))</f>
        <v>0</v>
      </c>
      <c r="F58" s="299">
        <f t="shared" si="25"/>
        <v>-18848.98</v>
      </c>
      <c r="G58" s="297">
        <f t="shared" si="25"/>
        <v>-1550</v>
      </c>
      <c r="H58" s="298">
        <f t="shared" si="25"/>
        <v>0</v>
      </c>
      <c r="I58" s="299">
        <f t="shared" si="25"/>
        <v>-19112.05</v>
      </c>
      <c r="J58" s="298">
        <f t="shared" si="25"/>
        <v>0</v>
      </c>
      <c r="K58" s="298">
        <f t="shared" si="25"/>
        <v>0</v>
      </c>
      <c r="L58" s="298" t="str">
        <f t="shared" si="25"/>
        <v/>
      </c>
      <c r="M58" s="297" t="str">
        <f t="shared" si="25"/>
        <v/>
      </c>
      <c r="N58" s="298" t="str">
        <f t="shared" si="25"/>
        <v/>
      </c>
      <c r="O58" s="300" t="str">
        <f t="shared" si="25"/>
        <v/>
      </c>
      <c r="P58" s="298">
        <f>SUM(P56:P57)</f>
        <v>-39511.03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57233.17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17722.14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71359.92</v>
      </c>
      <c r="E68" s="246">
        <v>61583.21</v>
      </c>
      <c r="F68" s="246">
        <v>131271.37</v>
      </c>
      <c r="G68" s="246">
        <v>33076.18</v>
      </c>
      <c r="H68" s="246">
        <v>0</v>
      </c>
      <c r="I68" s="308">
        <v>-14888.51</v>
      </c>
      <c r="J68" s="309">
        <f>SUM(D68:I68)</f>
        <v>282402.17</v>
      </c>
      <c r="K68" s="310">
        <v>247</v>
      </c>
      <c r="L68" s="307">
        <f>224.37+65.81+10.38</f>
        <v>300.56</v>
      </c>
      <c r="M68" s="246">
        <v>0</v>
      </c>
      <c r="N68" s="246">
        <v>0</v>
      </c>
      <c r="O68" s="246">
        <v>0</v>
      </c>
      <c r="P68" s="246">
        <f>533.42</f>
        <v>533.41999999999996</v>
      </c>
      <c r="Q68" s="246">
        <f>208.39</f>
        <v>208.39</v>
      </c>
      <c r="R68" s="246">
        <v>0</v>
      </c>
      <c r="S68" s="246">
        <v>0</v>
      </c>
      <c r="T68" s="246">
        <v>0</v>
      </c>
      <c r="U68" s="323">
        <v>-47136.06</v>
      </c>
    </row>
    <row r="69" spans="3:21" ht="18.5" x14ac:dyDescent="0.45">
      <c r="C69" s="306" t="str">
        <f>Addendum!E11</f>
        <v>August</v>
      </c>
      <c r="D69" s="307">
        <v>24647.95</v>
      </c>
      <c r="E69" s="246">
        <v>16462.580000000002</v>
      </c>
      <c r="F69" s="246">
        <v>14351.75</v>
      </c>
      <c r="G69" s="246">
        <v>12748.64</v>
      </c>
      <c r="H69" s="246">
        <v>174767.99</v>
      </c>
      <c r="I69" s="308">
        <v>-14057.59</v>
      </c>
      <c r="J69" s="309">
        <f t="shared" ref="J69:J79" si="26">SUM(D69:I69)</f>
        <v>228921.31999999998</v>
      </c>
      <c r="K69" s="311">
        <v>245</v>
      </c>
      <c r="L69" s="307">
        <f>-173.46+3930.5+159.19</f>
        <v>3916.23</v>
      </c>
      <c r="M69" s="246">
        <v>0</v>
      </c>
      <c r="N69" s="246">
        <v>0</v>
      </c>
      <c r="O69" s="246">
        <f>110+220</f>
        <v>330</v>
      </c>
      <c r="P69" s="246">
        <f>36.76</f>
        <v>36.76</v>
      </c>
      <c r="Q69" s="246">
        <v>0</v>
      </c>
      <c r="R69" s="246">
        <v>0</v>
      </c>
      <c r="S69" s="246">
        <v>0</v>
      </c>
      <c r="T69" s="246">
        <v>0</v>
      </c>
      <c r="U69" s="323">
        <v>0</v>
      </c>
    </row>
    <row r="70" spans="3:21" ht="18.5" x14ac:dyDescent="0.45">
      <c r="C70" s="306" t="str">
        <f>Addendum!E12</f>
        <v>September</v>
      </c>
      <c r="D70" s="307">
        <v>177284.5</v>
      </c>
      <c r="E70" s="246">
        <v>92820.15</v>
      </c>
      <c r="F70" s="246">
        <v>84519.69</v>
      </c>
      <c r="G70" s="246">
        <v>96302.92</v>
      </c>
      <c r="H70" s="246">
        <v>0</v>
      </c>
      <c r="I70" s="308">
        <v>-13962.91</v>
      </c>
      <c r="J70" s="309">
        <f>SUM(D70:I70)</f>
        <v>436964.35000000003</v>
      </c>
      <c r="K70" s="311">
        <v>237</v>
      </c>
      <c r="L70" s="307">
        <f>111.07+25.89+313.01-610</f>
        <v>-160.03000000000003</v>
      </c>
      <c r="M70" s="246">
        <v>0</v>
      </c>
      <c r="N70" s="246">
        <v>0</v>
      </c>
      <c r="O70" s="246">
        <f>360+220+4400</f>
        <v>4980</v>
      </c>
      <c r="P70" s="246">
        <f>866.51</f>
        <v>866.51</v>
      </c>
      <c r="Q70" s="246">
        <f>7.65-1791.46+78.84-27.51+15.3</f>
        <v>-1717.18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38273.019999999997</v>
      </c>
      <c r="E71" s="246">
        <v>111414.44</v>
      </c>
      <c r="F71" s="246">
        <v>47444.42</v>
      </c>
      <c r="G71" s="246">
        <v>43502.92</v>
      </c>
      <c r="H71" s="246">
        <v>0</v>
      </c>
      <c r="I71" s="308">
        <v>-14714.1</v>
      </c>
      <c r="J71" s="309">
        <f t="shared" si="26"/>
        <v>225920.69999999998</v>
      </c>
      <c r="K71" s="311">
        <v>245</v>
      </c>
      <c r="L71" s="307">
        <f>-151.12+27.08-293.46+224.99</f>
        <v>-192.51</v>
      </c>
      <c r="M71" s="246">
        <f>666.5</f>
        <v>666.5</v>
      </c>
      <c r="N71" s="246">
        <v>0</v>
      </c>
      <c r="O71" s="246">
        <f>180+1320</f>
        <v>1500</v>
      </c>
      <c r="P71" s="246">
        <v>0</v>
      </c>
      <c r="Q71" s="246">
        <f>14.65+1083.47+40.3+2.92+24.97</f>
        <v>1166.3100000000002</v>
      </c>
      <c r="R71" s="246">
        <v>0</v>
      </c>
      <c r="S71" s="246">
        <v>0</v>
      </c>
      <c r="T71" s="246">
        <v>0</v>
      </c>
      <c r="U71" s="323">
        <v>0</v>
      </c>
    </row>
    <row r="72" spans="3:21" ht="18.5" x14ac:dyDescent="0.45">
      <c r="C72" s="306" t="str">
        <f>Addendum!E14</f>
        <v>November</v>
      </c>
      <c r="D72" s="307">
        <v>60623.43</v>
      </c>
      <c r="E72" s="246">
        <v>55504.97</v>
      </c>
      <c r="F72" s="246">
        <v>90327.46</v>
      </c>
      <c r="G72" s="246">
        <v>104328.72</v>
      </c>
      <c r="H72" s="246">
        <v>83192.88</v>
      </c>
      <c r="I72" s="308">
        <v>-14576.88</v>
      </c>
      <c r="J72" s="309">
        <f t="shared" si="26"/>
        <v>379400.57999999996</v>
      </c>
      <c r="K72" s="311">
        <v>242</v>
      </c>
      <c r="L72" s="307">
        <f>-545.44+449.94+50.51-45.18</f>
        <v>-90.170000000000059</v>
      </c>
      <c r="M72" s="246">
        <f>56.83</f>
        <v>56.83</v>
      </c>
      <c r="N72" s="246">
        <v>0</v>
      </c>
      <c r="O72" s="246">
        <f>140+440+2090</f>
        <v>2670</v>
      </c>
      <c r="P72" s="246">
        <v>0</v>
      </c>
      <c r="Q72" s="246">
        <f>-23.37+7.65+14.65+324.25+54+17.04</f>
        <v>394.22</v>
      </c>
      <c r="R72" s="246">
        <v>0</v>
      </c>
      <c r="S72" s="246">
        <v>0</v>
      </c>
      <c r="T72" s="246">
        <v>0</v>
      </c>
      <c r="U72" s="323">
        <v>0</v>
      </c>
    </row>
    <row r="73" spans="3:21" ht="18.5" x14ac:dyDescent="0.45">
      <c r="C73" s="306" t="str">
        <f>Addendum!E15</f>
        <v>December</v>
      </c>
      <c r="D73" s="307">
        <v>94478.93</v>
      </c>
      <c r="E73" s="246">
        <v>79363.520000000004</v>
      </c>
      <c r="F73" s="246">
        <v>83743.16</v>
      </c>
      <c r="G73" s="246">
        <v>72293.429999999993</v>
      </c>
      <c r="H73" s="246">
        <v>0</v>
      </c>
      <c r="I73" s="308">
        <v>-14935.98</v>
      </c>
      <c r="J73" s="309">
        <f t="shared" si="26"/>
        <v>314943.06000000006</v>
      </c>
      <c r="K73" s="311">
        <v>251</v>
      </c>
      <c r="L73" s="307">
        <f>-122.33+205.21+54.2+132.83</f>
        <v>269.91000000000003</v>
      </c>
      <c r="M73" s="246">
        <v>0</v>
      </c>
      <c r="N73" s="246">
        <v>0</v>
      </c>
      <c r="O73" s="246">
        <f>220+110+1540</f>
        <v>1870</v>
      </c>
      <c r="P73" s="246">
        <f>200</f>
        <v>200</v>
      </c>
      <c r="Q73" s="246">
        <f>21.65+7.65+12.74+7</f>
        <v>49.04</v>
      </c>
      <c r="R73" s="246">
        <v>0</v>
      </c>
      <c r="S73" s="246">
        <v>0</v>
      </c>
      <c r="T73" s="246">
        <v>0</v>
      </c>
      <c r="U73" s="323">
        <v>0</v>
      </c>
    </row>
    <row r="74" spans="3:21" ht="18.5" x14ac:dyDescent="0.45">
      <c r="C74" s="306" t="str">
        <f>Addendum!E16</f>
        <v>January 2025</v>
      </c>
      <c r="D74" s="307">
        <v>174747.58</v>
      </c>
      <c r="E74" s="246">
        <v>71051</v>
      </c>
      <c r="F74" s="246">
        <v>87297.54</v>
      </c>
      <c r="G74" s="246">
        <v>73852.039999999994</v>
      </c>
      <c r="H74" s="246">
        <v>82599.42</v>
      </c>
      <c r="I74" s="308">
        <v>-14885.39</v>
      </c>
      <c r="J74" s="309">
        <f t="shared" si="26"/>
        <v>474662.18999999994</v>
      </c>
      <c r="K74" s="311">
        <v>251</v>
      </c>
      <c r="L74" s="307">
        <f>7.95-131.47+11238+69.78+1882.71</f>
        <v>13066.970000000001</v>
      </c>
      <c r="M74" s="246">
        <v>0</v>
      </c>
      <c r="N74" s="246">
        <v>0</v>
      </c>
      <c r="O74" s="246">
        <f>340+330+1760</f>
        <v>2430</v>
      </c>
      <c r="P74" s="246">
        <f>8.14+4700.93</f>
        <v>4709.0700000000006</v>
      </c>
      <c r="Q74" s="246">
        <f>28.9-38.34+68.62+14</f>
        <v>73.180000000000007</v>
      </c>
      <c r="R74" s="246">
        <v>0</v>
      </c>
      <c r="S74" s="246">
        <v>0</v>
      </c>
      <c r="T74" s="246">
        <v>0</v>
      </c>
      <c r="U74" s="323">
        <v>0</v>
      </c>
    </row>
    <row r="75" spans="3:21" ht="18.5" x14ac:dyDescent="0.45">
      <c r="C75" s="306" t="str">
        <f>Addendum!E17</f>
        <v>February</v>
      </c>
      <c r="D75" s="307">
        <v>70056.62</v>
      </c>
      <c r="E75" s="246">
        <v>59503.17</v>
      </c>
      <c r="F75" s="246">
        <v>130209.92</v>
      </c>
      <c r="G75" s="246">
        <v>135415.39000000001</v>
      </c>
      <c r="H75" s="246">
        <v>0</v>
      </c>
      <c r="I75" s="308">
        <v>-14621.78</v>
      </c>
      <c r="J75" s="309">
        <f t="shared" si="26"/>
        <v>380563.31999999995</v>
      </c>
      <c r="K75" s="311">
        <v>251</v>
      </c>
      <c r="L75" s="307">
        <f>12.6+12.73-10929.77</f>
        <v>-10904.44</v>
      </c>
      <c r="M75" s="246">
        <v>0</v>
      </c>
      <c r="N75" s="246">
        <v>0</v>
      </c>
      <c r="O75" s="246">
        <f>340+110+1650</f>
        <v>2100</v>
      </c>
      <c r="P75" s="246">
        <v>0</v>
      </c>
      <c r="Q75" s="246">
        <f>47.85+2.92+17.04+8.11</f>
        <v>75.92</v>
      </c>
      <c r="R75" s="246">
        <v>0</v>
      </c>
      <c r="S75" s="246">
        <v>-31213</v>
      </c>
      <c r="T75" s="246">
        <v>0</v>
      </c>
      <c r="U75" s="323">
        <v>0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6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6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6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6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711471.95</v>
      </c>
      <c r="E80" s="314">
        <f t="shared" ref="E80:J80" si="27">SUM(E68:E79)</f>
        <v>547703.04000000004</v>
      </c>
      <c r="F80" s="314">
        <f t="shared" si="27"/>
        <v>669165.31000000006</v>
      </c>
      <c r="G80" s="314">
        <f t="shared" si="27"/>
        <v>571520.24</v>
      </c>
      <c r="H80" s="314">
        <f t="shared" si="27"/>
        <v>340560.29</v>
      </c>
      <c r="I80" s="315">
        <f t="shared" si="27"/>
        <v>-116643.13999999998</v>
      </c>
      <c r="J80" s="316">
        <f t="shared" si="27"/>
        <v>2723777.69</v>
      </c>
      <c r="K80" s="317">
        <f>SUM(K68:K79)</f>
        <v>1969</v>
      </c>
      <c r="L80" s="313">
        <f>SUM(L68:L79)</f>
        <v>6206.5199999999986</v>
      </c>
      <c r="M80" s="314">
        <f t="shared" ref="M80:U80" si="28">SUM(M68:M79)</f>
        <v>723.33</v>
      </c>
      <c r="N80" s="314">
        <f t="shared" si="28"/>
        <v>0</v>
      </c>
      <c r="O80" s="314">
        <f t="shared" si="28"/>
        <v>15880</v>
      </c>
      <c r="P80" s="314">
        <f t="shared" si="28"/>
        <v>6345.76</v>
      </c>
      <c r="Q80" s="314">
        <f t="shared" si="28"/>
        <v>249.88000000000022</v>
      </c>
      <c r="R80" s="314">
        <f t="shared" si="28"/>
        <v>0</v>
      </c>
      <c r="S80" s="314">
        <f t="shared" si="28"/>
        <v>-31213</v>
      </c>
      <c r="T80" s="314">
        <f t="shared" si="28"/>
        <v>0</v>
      </c>
      <c r="U80" s="322">
        <f t="shared" si="28"/>
        <v>-47136.06</v>
      </c>
    </row>
    <row r="81" spans="9:9" x14ac:dyDescent="0.35">
      <c r="I81" t="s">
        <v>326</v>
      </c>
    </row>
  </sheetData>
  <mergeCells count="20"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D66:H66"/>
    <mergeCell ref="I66:I67"/>
    <mergeCell ref="J66:J67"/>
    <mergeCell ref="K66:K67"/>
    <mergeCell ref="L66:U66"/>
  </mergeCells>
  <conditionalFormatting sqref="D51:P51">
    <cfRule type="cellIs" dxfId="13" priority="1" operator="lessThan">
      <formula>0</formula>
    </cfRule>
  </conditionalFormatting>
  <printOptions horizontalCentered="1"/>
  <pageMargins left="0.25" right="0.25" top="0.75" bottom="0.75" header="0.3" footer="0.3"/>
  <pageSetup scale="40" orientation="landscape" r:id="rId1"/>
  <ignoredErrors>
    <ignoredError sqref="O32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EDAF4-BA09-4CD4-BE8E-DCF81CDA44FC}">
  <sheetPr codeName="Sheet16">
    <tabColor theme="6" tint="0.39997558519241921"/>
    <pageSetUpPr fitToPage="1"/>
  </sheetPr>
  <dimension ref="B1:U80"/>
  <sheetViews>
    <sheetView view="pageBreakPreview" topLeftCell="A45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171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Entry'!$D$3:$D$500,MATCH(1,INDEX((FtLeBoeuf!$C$7='Cash Flow Entry'!$B$3:$B$500)*(VALUE(FtLeBoeuf!D$7)='Cash Flow Entry'!$C$3:$C$500),0,1),0)),"")</f>
        <v>281</v>
      </c>
      <c r="E8" s="256" cm="1">
        <f t="array" ref="E8">IFERROR(INDEX('Cash Flow Entry'!$D$3:$D$500,MATCH(1,INDEX((FtLeBoeuf!$C$7='Cash Flow Entry'!$B$3:$B$500)*(VALUE(FtLeBoeuf!E$7)='Cash Flow Entry'!$C$3:$C$500),0,1),0)),"")</f>
        <v>279</v>
      </c>
      <c r="F8" s="257" cm="1">
        <f t="array" ref="F8">IFERROR(INDEX('Cash Flow Entry'!$D$3:$D$500,MATCH(1,INDEX((FtLeBoeuf!$C$7='Cash Flow Entry'!$B$3:$B$500)*(VALUE(FtLeBoeuf!F$7)='Cash Flow Entry'!$C$3:$C$500),0,1),0)),"")</f>
        <v>280</v>
      </c>
      <c r="G8" s="255" cm="1">
        <f t="array" ref="G8">IFERROR(INDEX('Cash Flow Entry'!$D$3:$D$500,MATCH(1,INDEX((FtLeBoeuf!$C$7='Cash Flow Entry'!$B$3:$B$500)*(VALUE(FtLeBoeuf!G$7)='Cash Flow Entry'!$C$3:$C$500),0,1),0)),"")</f>
        <v>284</v>
      </c>
      <c r="H8" s="256" cm="1">
        <f t="array" ref="H8">IFERROR(INDEX('Cash Flow Entry'!$D$3:$D$500,MATCH(1,INDEX((FtLeBoeuf!$C$7='Cash Flow Entry'!$B$3:$B$500)*(VALUE(FtLeBoeuf!H$7)='Cash Flow Entry'!$C$3:$C$500),0,1),0)),"")</f>
        <v>287</v>
      </c>
      <c r="I8" s="257" cm="1">
        <f t="array" ref="I8">IFERROR(INDEX('Cash Flow Entry'!$D$3:$D$500,MATCH(1,INDEX((FtLeBoeuf!$C$7='Cash Flow Entry'!$B$3:$B$500)*(VALUE(FtLeBoeuf!I$7)='Cash Flow Entry'!$C$3:$C$500),0,1),0)),"")</f>
        <v>286</v>
      </c>
      <c r="J8" s="256" cm="1">
        <f t="array" ref="J8">IFERROR(INDEX('Cash Flow Entry'!$D$3:$D$500,MATCH(1,INDEX((FtLeBoeuf!$C$7='Cash Flow Entry'!$B$3:$B$500)*(VALUE(FtLeBoeuf!J$7)='Cash Flow Entry'!$C$3:$C$500),0,1),0)),"")</f>
        <v>284</v>
      </c>
      <c r="K8" s="256" cm="1">
        <f t="array" ref="K8">IFERROR(INDEX('Cash Flow Entry'!$D$3:$D$500,MATCH(1,INDEX((FtLeBoeuf!$C$7='Cash Flow Entry'!$B$3:$B$500)*(VALUE(FtLeBoeuf!K$7)='Cash Flow Entry'!$C$3:$C$500),0,1),0)),"")</f>
        <v>284</v>
      </c>
      <c r="L8" s="256" t="str" cm="1">
        <f t="array" ref="L8">IFERROR(INDEX('Cash Flow Entry'!$D$3:$D$500,MATCH(1,INDEX((FtLeBoeuf!$C$7='Cash Flow Entry'!$B$3:$B$500)*(VALUE(FtLeBoeuf!L$7)='Cash Flow Entry'!$C$3:$C$500),0,1),0)),"")</f>
        <v/>
      </c>
      <c r="M8" s="255" t="str" cm="1">
        <f t="array" ref="M8">IFERROR(INDEX('Cash Flow Entry'!$D$3:$D$500,MATCH(1,INDEX((FtLeBoeuf!$C$7='Cash Flow Entry'!$B$3:$B$500)*(VALUE(FtLeBoeuf!M$7)='Cash Flow Entry'!$C$3:$C$500),0,1),0)),"")</f>
        <v/>
      </c>
      <c r="N8" s="256" t="str" cm="1">
        <f t="array" ref="N8">IFERROR(INDEX('Cash Flow Entry'!$D$3:$D$500,MATCH(1,INDEX((FtLeBoeuf!$C$7='Cash Flow Entry'!$B$3:$B$500)*(VALUE(FtLeBoeuf!N$7)='Cash Flow Entry'!$C$3:$C$500),0,1),0)),"")</f>
        <v/>
      </c>
      <c r="O8" s="258" t="str" cm="1">
        <f t="array" ref="O8">IFERROR(INDEX('Cash Flow Entry'!$D$3:$D$500,MATCH(1,INDEX((FtLeBoeuf!$C$7='Cash Flow Entry'!$B$3:$B$500)*(VALUE(FtLeBoeuf!O$7)='Cash Flow Entry'!$C$3:$C$500),0,1),0)),"")</f>
        <v/>
      </c>
      <c r="P8" s="259">
        <f>SUM(D8:O8)</f>
        <v>2265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Entry'!$E$3:$E$500,MATCH(1,INDEX((FtLeBoeuf!$C$7='Cash Flow Entry'!$B$3:$B$500)*(VALUE(FtLeBoeuf!D$7)='Cash Flow Entry'!$C$3:$C$500),0,1),0)),"")</f>
        <v>720</v>
      </c>
      <c r="E9" s="256" cm="1">
        <f t="array" ref="E9">IFERROR(INDEX('Cash Flow Entry'!$E$3:$E$500,MATCH(1,INDEX((FtLeBoeuf!$C$7='Cash Flow Entry'!$B$3:$B$500)*(VALUE(FtLeBoeuf!E$7)='Cash Flow Entry'!$C$3:$C$500),0,1),0)),"")</f>
        <v>718</v>
      </c>
      <c r="F9" s="257" cm="1">
        <f t="array" ref="F9">IFERROR(INDEX('Cash Flow Entry'!$E$3:$E$500,MATCH(1,INDEX((FtLeBoeuf!$C$7='Cash Flow Entry'!$B$3:$B$500)*(VALUE(FtLeBoeuf!F$7)='Cash Flow Entry'!$C$3:$C$500),0,1),0)),"")</f>
        <v>721</v>
      </c>
      <c r="G9" s="255" cm="1">
        <f t="array" ref="G9">IFERROR(INDEX('Cash Flow Entry'!$E$3:$E$500,MATCH(1,INDEX((FtLeBoeuf!$C$7='Cash Flow Entry'!$B$3:$B$500)*(VALUE(FtLeBoeuf!G$7)='Cash Flow Entry'!$C$3:$C$500),0,1),0)),"")</f>
        <v>730</v>
      </c>
      <c r="H9" s="256" cm="1">
        <f t="array" ref="H9">IFERROR(INDEX('Cash Flow Entry'!$E$3:$E$500,MATCH(1,INDEX((FtLeBoeuf!$C$7='Cash Flow Entry'!$B$3:$B$500)*(VALUE(FtLeBoeuf!H$7)='Cash Flow Entry'!$C$3:$C$500),0,1),0)),"")</f>
        <v>742</v>
      </c>
      <c r="I9" s="257" cm="1">
        <f t="array" ref="I9">IFERROR(INDEX('Cash Flow Entry'!$E$3:$E$500,MATCH(1,INDEX((FtLeBoeuf!$C$7='Cash Flow Entry'!$B$3:$B$500)*(VALUE(FtLeBoeuf!I$7)='Cash Flow Entry'!$C$3:$C$500),0,1),0)),"")</f>
        <v>741</v>
      </c>
      <c r="J9" s="256" cm="1">
        <f t="array" ref="J9">IFERROR(INDEX('Cash Flow Entry'!$E$3:$E$500,MATCH(1,INDEX((FtLeBoeuf!$C$7='Cash Flow Entry'!$B$3:$B$500)*(VALUE(FtLeBoeuf!J$7)='Cash Flow Entry'!$C$3:$C$500),0,1),0)),"")</f>
        <v>739</v>
      </c>
      <c r="K9" s="256" cm="1">
        <f t="array" ref="K9">IFERROR(INDEX('Cash Flow Entry'!$E$3:$E$500,MATCH(1,INDEX((FtLeBoeuf!$C$7='Cash Flow Entry'!$B$3:$B$500)*(VALUE(FtLeBoeuf!K$7)='Cash Flow Entry'!$C$3:$C$500),0,1),0)),"")</f>
        <v>736</v>
      </c>
      <c r="L9" s="256" t="str" cm="1">
        <f t="array" ref="L9">IFERROR(INDEX('Cash Flow Entry'!$E$3:$E$500,MATCH(1,INDEX((FtLeBoeuf!$C$7='Cash Flow Entry'!$B$3:$B$500)*(VALUE(FtLeBoeuf!L$7)='Cash Flow Entry'!$C$3:$C$500),0,1),0)),"")</f>
        <v/>
      </c>
      <c r="M9" s="255" t="str" cm="1">
        <f t="array" ref="M9">IFERROR(INDEX('Cash Flow Entry'!$E$3:$E$500,MATCH(1,INDEX((FtLeBoeuf!$C$7='Cash Flow Entry'!$B$3:$B$500)*(VALUE(FtLeBoeuf!M$7)='Cash Flow Entry'!$C$3:$C$500),0,1),0)),"")</f>
        <v/>
      </c>
      <c r="N9" s="256" t="str" cm="1">
        <f t="array" ref="N9">IFERROR(INDEX('Cash Flow Entry'!$E$3:$E$500,MATCH(1,INDEX((FtLeBoeuf!$C$7='Cash Flow Entry'!$B$3:$B$500)*(VALUE(FtLeBoeuf!N$7)='Cash Flow Entry'!$C$3:$C$500),0,1),0)),"")</f>
        <v/>
      </c>
      <c r="O9" s="258" t="str" cm="1">
        <f t="array" ref="O9">IFERROR(INDEX('Cash Flow Entry'!$E$3:$E$500,MATCH(1,INDEX((FtLeBoeuf!$C$7='Cash Flow Entry'!$B$3:$B$500)*(VALUE(FtLeBoeuf!O$7)='Cash Flow Entry'!$C$3:$C$500),0,1),0)),"")</f>
        <v/>
      </c>
      <c r="P9" s="259">
        <f>SUM(D9:O9)</f>
        <v>5847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$1,598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$1,376.62</v>
      </c>
      <c r="N10" s="645"/>
      <c r="O10" s="647"/>
      <c r="P10" s="265">
        <f>P14</f>
        <v>3118037.7800000003</v>
      </c>
      <c r="Q10" s="534">
        <v>1597.79</v>
      </c>
      <c r="R10" s="305">
        <f>Q10*P8</f>
        <v>3618994.35</v>
      </c>
      <c r="S10" s="305"/>
    </row>
    <row r="11" spans="2:20" ht="18.5" x14ac:dyDescent="0.45">
      <c r="B11" s="213" t="s">
        <v>191</v>
      </c>
      <c r="C11" s="267" t="s">
        <v>194</v>
      </c>
      <c r="D11" s="268">
        <v>379912</v>
      </c>
      <c r="E11" s="234">
        <v>377208</v>
      </c>
      <c r="F11" s="234">
        <v>379912</v>
      </c>
      <c r="G11" s="268">
        <v>382616</v>
      </c>
      <c r="H11" s="234">
        <v>383968</v>
      </c>
      <c r="I11" s="269">
        <v>386672</v>
      </c>
      <c r="J11" s="234">
        <v>383968</v>
      </c>
      <c r="K11" s="234">
        <v>450576.78</v>
      </c>
      <c r="L11" s="234"/>
      <c r="M11" s="268"/>
      <c r="N11" s="234"/>
      <c r="O11" s="270"/>
      <c r="P11" s="234">
        <f>SUM(D11:O11)</f>
        <v>3124832.7800000003</v>
      </c>
      <c r="Q11" s="302"/>
    </row>
    <row r="12" spans="2:20" ht="18.5" x14ac:dyDescent="0.45">
      <c r="C12" s="267" t="s">
        <v>195</v>
      </c>
      <c r="D12" s="268">
        <f>IF(D$8="","",IF(D$11=0,0,D$8*$Q12))</f>
        <v>-843</v>
      </c>
      <c r="E12" s="234">
        <f>IF(E$8="","",IF(E$11=0,0,E$8*$Q12))</f>
        <v>-837</v>
      </c>
      <c r="F12" s="269">
        <f t="shared" ref="F12:O12" si="0">IF(F$8="","",IF(F$11=0,0,F$8*$Q12))</f>
        <v>-840</v>
      </c>
      <c r="G12" s="268">
        <f t="shared" si="0"/>
        <v>-852</v>
      </c>
      <c r="H12" s="234">
        <f t="shared" si="0"/>
        <v>-861</v>
      </c>
      <c r="I12" s="269">
        <f t="shared" si="0"/>
        <v>-858</v>
      </c>
      <c r="J12" s="234">
        <f t="shared" si="0"/>
        <v>-852</v>
      </c>
      <c r="K12" s="234">
        <f t="shared" si="0"/>
        <v>-852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-6795</v>
      </c>
      <c r="Q12" s="533">
        <v>-3</v>
      </c>
    </row>
    <row r="13" spans="2:20" ht="18.5" x14ac:dyDescent="0.45">
      <c r="B13" s="213" t="s">
        <v>191</v>
      </c>
      <c r="C13" s="267" t="s">
        <v>196</v>
      </c>
      <c r="D13" s="458">
        <f t="shared" ref="D13:O13" si="2">IF(D$8="","",0)</f>
        <v>0</v>
      </c>
      <c r="E13" s="457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379069</v>
      </c>
      <c r="E14" s="274">
        <f t="shared" ref="E14:O14" si="3">IF(E8="","",SUM(E11:E13))</f>
        <v>376371</v>
      </c>
      <c r="F14" s="275">
        <f t="shared" si="3"/>
        <v>379072</v>
      </c>
      <c r="G14" s="273">
        <f t="shared" si="3"/>
        <v>381764</v>
      </c>
      <c r="H14" s="274">
        <f t="shared" si="3"/>
        <v>383107</v>
      </c>
      <c r="I14" s="275">
        <f t="shared" si="3"/>
        <v>385814</v>
      </c>
      <c r="J14" s="274">
        <f t="shared" si="3"/>
        <v>383116</v>
      </c>
      <c r="K14" s="274">
        <f t="shared" si="3"/>
        <v>449724.78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3118037.7800000003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$1,287</v>
      </c>
      <c r="E16" s="645"/>
      <c r="F16" s="646"/>
      <c r="G16" s="644" t="str">
        <f>"Admin, Reinsurance, &amp; Misc. PEPM: "&amp;DOLLAR(SUM($P36,$P42,$P49)/$P$8,0)</f>
        <v>Admin, Reinsurance, &amp; Misc. PEPM: $466</v>
      </c>
      <c r="H16" s="645"/>
      <c r="I16" s="646"/>
      <c r="J16" s="644" t="str">
        <f>"Total Expenses PEPM: "&amp;DOLLAR($P16/$P$8,0)</f>
        <v>Total Expenses PEPM: $1,753</v>
      </c>
      <c r="K16" s="645"/>
      <c r="L16" s="646"/>
      <c r="M16" s="644" t="str">
        <f>"Projection Variance: "&amp;TEXT(($P$16/$P$8)/$Q$10-1,"0.00%")</f>
        <v>Projection Variance: 9.71%</v>
      </c>
      <c r="N16" s="645"/>
      <c r="O16" s="647"/>
      <c r="P16" s="265">
        <f>SUM(P26,P36,P42,P49)</f>
        <v>3970412.380526315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Entry'!$F$3:$F$500,MATCH(1,INDEX((FtLeBoeuf!$C$7='Cash Flow Entry'!$B$3:$B$500)*(VALUE(FtLeBoeuf!D$7)='Cash Flow Entry'!$C$3:$C$500),0,1),0)),"")+IFERROR(INDEX('Cash Flow Entry'!$H$3:$H$500,MATCH(1,INDEX((FtLeBoeuf!$C$7='Cash Flow Entry'!$B$3:$B$500)*(VALUE(FtLeBoeuf!D$7)='Cash Flow Entry'!$C$3:$C$500),0,1),0)),""),"")</f>
        <v>299641.82999999996</v>
      </c>
      <c r="E18" s="234" cm="1">
        <f t="array" ref="E18">IFERROR(IFERROR(INDEX('Cash Flow Entry'!$F$3:$F$500,MATCH(1,INDEX((FtLeBoeuf!$C$7='Cash Flow Entry'!$B$3:$B$500)*(VALUE(FtLeBoeuf!E$7)='Cash Flow Entry'!$C$3:$C$500),0,1),0)),"")+IFERROR(INDEX('Cash Flow Entry'!$H$3:$H$500,MATCH(1,INDEX((FtLeBoeuf!$C$7='Cash Flow Entry'!$B$3:$B$500)*(VALUE(FtLeBoeuf!E$7)='Cash Flow Entry'!$C$3:$C$500),0,1),0)),""),"")</f>
        <v>386106.37</v>
      </c>
      <c r="F18" s="269" cm="1">
        <f t="array" ref="F18">IFERROR(IFERROR(INDEX('Cash Flow Entry'!$F$3:$F$500,MATCH(1,INDEX((FtLeBoeuf!$C$7='Cash Flow Entry'!$B$3:$B$500)*(VALUE(FtLeBoeuf!F$7)='Cash Flow Entry'!$C$3:$C$500),0,1),0)),"")+IFERROR(INDEX('Cash Flow Entry'!$H$3:$H$500,MATCH(1,INDEX((FtLeBoeuf!$C$7='Cash Flow Entry'!$B$3:$B$500)*(VALUE(FtLeBoeuf!F$7)='Cash Flow Entry'!$C$3:$C$500),0,1),0)),""),"")</f>
        <v>318635.77</v>
      </c>
      <c r="G18" s="268" cm="1">
        <f t="array" ref="G18">IFERROR(IFERROR(INDEX('Cash Flow Entry'!$F$3:$F$500,MATCH(1,INDEX((FtLeBoeuf!$C$7='Cash Flow Entry'!$B$3:$B$500)*(VALUE(FtLeBoeuf!G$7)='Cash Flow Entry'!$C$3:$C$500),0,1),0)),"")+IFERROR(INDEX('Cash Flow Entry'!$H$3:$H$500,MATCH(1,INDEX((FtLeBoeuf!$C$7='Cash Flow Entry'!$B$3:$B$500)*(VALUE(FtLeBoeuf!G$7)='Cash Flow Entry'!$C$3:$C$500),0,1),0)),""),"")</f>
        <v>178669.36000000002</v>
      </c>
      <c r="H18" s="234" cm="1">
        <f t="array" ref="H18">IFERROR(IFERROR(INDEX('Cash Flow Entry'!$F$3:$F$500,MATCH(1,INDEX((FtLeBoeuf!$C$7='Cash Flow Entry'!$B$3:$B$500)*(VALUE(FtLeBoeuf!H$7)='Cash Flow Entry'!$C$3:$C$500),0,1),0)),"")+IFERROR(INDEX('Cash Flow Entry'!$H$3:$H$500,MATCH(1,INDEX((FtLeBoeuf!$C$7='Cash Flow Entry'!$B$3:$B$500)*(VALUE(FtLeBoeuf!H$7)='Cash Flow Entry'!$C$3:$C$500),0,1),0)),""),"")</f>
        <v>407028.54</v>
      </c>
      <c r="I18" s="269" cm="1">
        <f t="array" ref="I18">IFERROR(IFERROR(INDEX('Cash Flow Entry'!$F$3:$F$500,MATCH(1,INDEX((FtLeBoeuf!$C$7='Cash Flow Entry'!$B$3:$B$500)*(VALUE(FtLeBoeuf!I$7)='Cash Flow Entry'!$C$3:$C$500),0,1),0)),"")+IFERROR(INDEX('Cash Flow Entry'!$H$3:$H$500,MATCH(1,INDEX((FtLeBoeuf!$C$7='Cash Flow Entry'!$B$3:$B$500)*(VALUE(FtLeBoeuf!I$7)='Cash Flow Entry'!$C$3:$C$500),0,1),0)),""),"")</f>
        <v>305362.32</v>
      </c>
      <c r="J18" s="234" cm="1">
        <f t="array" ref="J18">IFERROR(IFERROR(INDEX('Cash Flow Entry'!$F$3:$F$500,MATCH(1,INDEX((FtLeBoeuf!$C$7='Cash Flow Entry'!$B$3:$B$500)*(VALUE(FtLeBoeuf!J$7)='Cash Flow Entry'!$C$3:$C$500),0,1),0)),"")+IFERROR(INDEX('Cash Flow Entry'!$H$3:$H$500,MATCH(1,INDEX((FtLeBoeuf!$C$7='Cash Flow Entry'!$B$3:$B$500)*(VALUE(FtLeBoeuf!J$7)='Cash Flow Entry'!$C$3:$C$500),0,1),0)),""),"")</f>
        <v>356689.23</v>
      </c>
      <c r="K18" s="234" cm="1">
        <f t="array" ref="K18">IFERROR(IFERROR(INDEX('Cash Flow Entry'!$F$3:$F$500,MATCH(1,INDEX((FtLeBoeuf!$C$7='Cash Flow Entry'!$B$3:$B$500)*(VALUE(FtLeBoeuf!K$7)='Cash Flow Entry'!$C$3:$C$500),0,1),0)),"")+IFERROR(INDEX('Cash Flow Entry'!$H$3:$H$500,MATCH(1,INDEX((FtLeBoeuf!$C$7='Cash Flow Entry'!$B$3:$B$500)*(VALUE(FtLeBoeuf!K$7)='Cash Flow Entry'!$C$3:$C$500),0,1),0)),""),"")</f>
        <v>426478.54</v>
      </c>
      <c r="L18" s="234" t="str" cm="1">
        <f t="array" ref="L18">IFERROR(IFERROR(INDEX('Cash Flow Entry'!$F$3:$F$500,MATCH(1,INDEX((FtLeBoeuf!$C$7='Cash Flow Entry'!$B$3:$B$500)*(VALUE(FtLeBoeuf!L$7)='Cash Flow Entry'!$C$3:$C$500),0,1),0)),"")+IFERROR(INDEX('Cash Flow Entry'!$H$3:$H$500,MATCH(1,INDEX((FtLeBoeuf!$C$7='Cash Flow Entry'!$B$3:$B$500)*(VALUE(FtLeBoeuf!L$7)='Cash Flow Entry'!$C$3:$C$500),0,1),0)),""),"")</f>
        <v/>
      </c>
      <c r="M18" s="268" t="str" cm="1">
        <f t="array" ref="M18">IFERROR(IFERROR(INDEX('Cash Flow Entry'!$F$3:$F$500,MATCH(1,INDEX((FtLeBoeuf!$C$7='Cash Flow Entry'!$B$3:$B$500)*(VALUE(FtLeBoeuf!M$7)='Cash Flow Entry'!$C$3:$C$500),0,1),0)),"")+IFERROR(INDEX('Cash Flow Entry'!$H$3:$H$500,MATCH(1,INDEX((FtLeBoeuf!$C$7='Cash Flow Entry'!$B$3:$B$500)*(VALUE(FtLeBoeuf!M$7)='Cash Flow Entry'!$C$3:$C$500),0,1),0)),""),"")</f>
        <v/>
      </c>
      <c r="N18" s="234" t="str" cm="1">
        <f t="array" ref="N18">IFERROR(IFERROR(INDEX('Cash Flow Entry'!$F$3:$F$500,MATCH(1,INDEX((FtLeBoeuf!$C$7='Cash Flow Entry'!$B$3:$B$500)*(VALUE(FtLeBoeuf!N$7)='Cash Flow Entry'!$C$3:$C$500),0,1),0)),"")+IFERROR(INDEX('Cash Flow Entry'!$H$3:$H$500,MATCH(1,INDEX((FtLeBoeuf!$C$7='Cash Flow Entry'!$B$3:$B$500)*(VALUE(FtLeBoeuf!N$7)='Cash Flow Entry'!$C$3:$C$500),0,1),0)),""),"")</f>
        <v/>
      </c>
      <c r="O18" s="270" t="str" cm="1">
        <f t="array" ref="O18">IFERROR(IFERROR(INDEX('Cash Flow Entry'!$F$3:$F$500,MATCH(1,INDEX((FtLeBoeuf!$C$7='Cash Flow Entry'!$B$3:$B$500)*(VALUE(FtLeBoeuf!O$7)='Cash Flow Entry'!$C$3:$C$500),0,1),0)),"")+IFERROR(INDEX('Cash Flow Entry'!$H$3:$H$500,MATCH(1,INDEX((FtLeBoeuf!$C$7='Cash Flow Entry'!$B$3:$B$500)*(VALUE(FtLeBoeuf!O$7)='Cash Flow Entry'!$C$3:$C$500),0,1),0)),""),"")</f>
        <v/>
      </c>
      <c r="P18" s="234">
        <f>SUM(D18:O18)</f>
        <v>2678611.96</v>
      </c>
      <c r="Q18" s="533">
        <v>866.55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Entry'!$G$3:$G$500,MATCH(1,INDEX((FtLeBoeuf!$C$7='Cash Flow Entry'!$B$3:$B$500)*(VALUE(FtLeBoeuf!D$7)='Cash Flow Entry'!$C$3:$C$500),0,1),0)),"")</f>
        <v>98178.5</v>
      </c>
      <c r="E19" s="234" cm="1">
        <f t="array" ref="E19">IFERROR(INDEX('Cash Flow Entry'!$G$3:$G$500,MATCH(1,INDEX((FtLeBoeuf!$C$7='Cash Flow Entry'!$B$3:$B$500)*(VALUE(FtLeBoeuf!E$7)='Cash Flow Entry'!$C$3:$C$500),0,1),0)),"")</f>
        <v>164572.54</v>
      </c>
      <c r="F19" s="269" cm="1">
        <f t="array" ref="F19">IFERROR(INDEX('Cash Flow Entry'!$G$3:$G$500,MATCH(1,INDEX((FtLeBoeuf!$C$7='Cash Flow Entry'!$B$3:$B$500)*(VALUE(FtLeBoeuf!F$7)='Cash Flow Entry'!$C$3:$C$500),0,1),0)),"")</f>
        <v>103003.55</v>
      </c>
      <c r="G19" s="268" cm="1">
        <f t="array" ref="G19">IFERROR(INDEX('Cash Flow Entry'!$G$3:$G$500,MATCH(1,INDEX((FtLeBoeuf!$C$7='Cash Flow Entry'!$B$3:$B$500)*(VALUE(FtLeBoeuf!G$7)='Cash Flow Entry'!$C$3:$C$500),0,1),0)),"")</f>
        <v>187827.54</v>
      </c>
      <c r="H19" s="234" cm="1">
        <f t="array" ref="H19">IFERROR(INDEX('Cash Flow Entry'!$G$3:$G$500,MATCH(1,INDEX((FtLeBoeuf!$C$7='Cash Flow Entry'!$B$3:$B$500)*(VALUE(FtLeBoeuf!H$7)='Cash Flow Entry'!$C$3:$C$500),0,1),0)),"")</f>
        <v>152639.49</v>
      </c>
      <c r="I19" s="269" cm="1">
        <f t="array" ref="I19">IFERROR(INDEX('Cash Flow Entry'!$G$3:$G$500,MATCH(1,INDEX((FtLeBoeuf!$C$7='Cash Flow Entry'!$B$3:$B$500)*(VALUE(FtLeBoeuf!I$7)='Cash Flow Entry'!$C$3:$C$500),0,1),0)),"")</f>
        <v>125458.41</v>
      </c>
      <c r="J19" s="234" cm="1">
        <f t="array" ref="J19">IFERROR(INDEX('Cash Flow Entry'!$G$3:$G$500,MATCH(1,INDEX((FtLeBoeuf!$C$7='Cash Flow Entry'!$B$3:$B$500)*(VALUE(FtLeBoeuf!J$7)='Cash Flow Entry'!$C$3:$C$500),0,1),0)),"")</f>
        <v>167930.52</v>
      </c>
      <c r="K19" s="234" cm="1">
        <f t="array" ref="K19">IFERROR(INDEX('Cash Flow Entry'!$G$3:$G$500,MATCH(1,INDEX((FtLeBoeuf!$C$7='Cash Flow Entry'!$B$3:$B$500)*(VALUE(FtLeBoeuf!K$7)='Cash Flow Entry'!$C$3:$C$500),0,1),0)),"")</f>
        <v>122264.65</v>
      </c>
      <c r="L19" s="234" t="str" cm="1">
        <f t="array" ref="L19">IFERROR(INDEX('Cash Flow Entry'!$G$3:$G$500,MATCH(1,INDEX((FtLeBoeuf!$C$7='Cash Flow Entry'!$B$3:$B$500)*(VALUE(FtLeBoeuf!L$7)='Cash Flow Entry'!$C$3:$C$500),0,1),0)),"")</f>
        <v/>
      </c>
      <c r="M19" s="268" t="str" cm="1">
        <f t="array" ref="M19">IFERROR(INDEX('Cash Flow Entry'!$G$3:$G$500,MATCH(1,INDEX((FtLeBoeuf!$C$7='Cash Flow Entry'!$B$3:$B$500)*(VALUE(FtLeBoeuf!M$7)='Cash Flow Entry'!$C$3:$C$500),0,1),0)),"")</f>
        <v/>
      </c>
      <c r="N19" s="234" t="str" cm="1">
        <f t="array" ref="N19">IFERROR(INDEX('Cash Flow Entry'!$G$3:$G$500,MATCH(1,INDEX((FtLeBoeuf!$C$7='Cash Flow Entry'!$B$3:$B$500)*(VALUE(FtLeBoeuf!N$7)='Cash Flow Entry'!$C$3:$C$500),0,1),0)),"")</f>
        <v/>
      </c>
      <c r="O19" s="270" t="str" cm="1">
        <f t="array" ref="O19">IFERROR(INDEX('Cash Flow Entry'!$G$3:$G$500,MATCH(1,INDEX((FtLeBoeuf!$C$7='Cash Flow Entry'!$B$3:$B$500)*(VALUE(FtLeBoeuf!O$7)='Cash Flow Entry'!$C$3:$C$500),0,1),0)),"")</f>
        <v/>
      </c>
      <c r="P19" s="234">
        <f>SUM(D19:O19)</f>
        <v>1121875.2</v>
      </c>
      <c r="Q19" s="533">
        <v>229.12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ht="18.5" x14ac:dyDescent="0.45">
      <c r="B21" s="219">
        <f>INDEX('HCC Summary'!$I$9:$I$27,MATCH(FtLeBoeuf!C7,'HCC Summary'!B9:B27, 0))</f>
        <v>465617.89</v>
      </c>
      <c r="C21" s="282" t="s">
        <v>225</v>
      </c>
      <c r="D21" s="283">
        <v>0</v>
      </c>
      <c r="E21" s="284">
        <v>58807.14</v>
      </c>
      <c r="F21" s="285">
        <v>234178.79</v>
      </c>
      <c r="G21" s="283">
        <v>263728.94</v>
      </c>
      <c r="H21" s="284">
        <v>303523.23</v>
      </c>
      <c r="I21" s="285">
        <v>349651.59</v>
      </c>
      <c r="J21" s="284">
        <v>406897.59</v>
      </c>
      <c r="K21" s="284">
        <v>465617.89</v>
      </c>
      <c r="L21" s="284"/>
      <c r="M21" s="283"/>
      <c r="N21" s="284"/>
      <c r="O21" s="286"/>
      <c r="P21" s="641">
        <f>SUM(D22:O22)</f>
        <v>-465617.89000000007</v>
      </c>
      <c r="Q21" s="533"/>
    </row>
    <row r="22" spans="2:17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-58807.14</v>
      </c>
      <c r="F22" s="269">
        <f t="shared" si="5"/>
        <v>-175371.65000000002</v>
      </c>
      <c r="G22" s="268">
        <f t="shared" si="5"/>
        <v>-29550.149999999994</v>
      </c>
      <c r="H22" s="234">
        <f t="shared" si="5"/>
        <v>-39794.289999999979</v>
      </c>
      <c r="I22" s="269">
        <f t="shared" si="5"/>
        <v>-46128.360000000044</v>
      </c>
      <c r="J22" s="234">
        <f t="shared" si="5"/>
        <v>-57246</v>
      </c>
      <c r="K22" s="234">
        <f t="shared" si="5"/>
        <v>-58720.299999999988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7" ht="18.5" x14ac:dyDescent="0.45">
      <c r="C23" s="267" t="s">
        <v>363</v>
      </c>
      <c r="D23" s="268">
        <f>IF(D$8="","",$U68)</f>
        <v>-28828.62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-142543.45000000001</v>
      </c>
      <c r="J23" s="234">
        <f>IF(J$8="","",$U74)</f>
        <v>-1169.5</v>
      </c>
      <c r="K23" s="234">
        <f>IF(K$8="","",$U75)</f>
        <v>-658.67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-173200.24000000002</v>
      </c>
      <c r="Q23" s="533"/>
    </row>
    <row r="24" spans="2:17" ht="18.5" x14ac:dyDescent="0.45">
      <c r="C24" s="267" t="s">
        <v>25</v>
      </c>
      <c r="D24" s="268">
        <f t="shared" ref="D24:O24" si="7">IF(D$8="","",D$8*$Q$24)</f>
        <v>-30910</v>
      </c>
      <c r="E24" s="234">
        <f t="shared" si="7"/>
        <v>-30690</v>
      </c>
      <c r="F24" s="269">
        <f t="shared" si="7"/>
        <v>-30800</v>
      </c>
      <c r="G24" s="268">
        <f t="shared" si="7"/>
        <v>-31240</v>
      </c>
      <c r="H24" s="234">
        <f t="shared" si="7"/>
        <v>-31570</v>
      </c>
      <c r="I24" s="269">
        <f t="shared" si="7"/>
        <v>-31460</v>
      </c>
      <c r="J24" s="234">
        <f t="shared" si="7"/>
        <v>-31240</v>
      </c>
      <c r="K24" s="234">
        <f t="shared" si="7"/>
        <v>-31240</v>
      </c>
      <c r="L24" s="234" t="str">
        <f t="shared" si="7"/>
        <v/>
      </c>
      <c r="M24" s="268" t="str">
        <f t="shared" si="7"/>
        <v/>
      </c>
      <c r="N24" s="234" t="str">
        <f t="shared" si="7"/>
        <v/>
      </c>
      <c r="O24" s="270" t="str">
        <f t="shared" si="7"/>
        <v/>
      </c>
      <c r="P24" s="234">
        <f t="shared" si="6"/>
        <v>-249150</v>
      </c>
      <c r="Q24" s="533">
        <v>-110</v>
      </c>
    </row>
    <row r="25" spans="2:17" ht="18.5" x14ac:dyDescent="0.45">
      <c r="B25" s="213"/>
      <c r="C25" s="267" t="s">
        <v>199</v>
      </c>
      <c r="D25" s="268">
        <f>IF(D$8="","",SUM($L68:$R68))</f>
        <v>1748.96</v>
      </c>
      <c r="E25" s="234">
        <f>IF(E$8="","",SUM($L69:$R69))</f>
        <v>6299.53</v>
      </c>
      <c r="F25" s="269">
        <f>IF(F$8="","",SUM($L70:$R70))</f>
        <v>2628.42</v>
      </c>
      <c r="G25" s="268">
        <f>IF(G$8="","",SUM($L71:$R71))</f>
        <v>2295.66</v>
      </c>
      <c r="H25" s="234">
        <f>IF(H$8="","",SUM($L72:$R72))</f>
        <v>5503.64</v>
      </c>
      <c r="I25" s="269">
        <f>IF(I$8="","",SUM($L73:$R73))</f>
        <v>6750.52</v>
      </c>
      <c r="J25" s="234">
        <f>IF(J$8="","",SUM($L74:$R74))</f>
        <v>9580.77</v>
      </c>
      <c r="K25" s="234">
        <f>IF(K$8="","",SUM($L75:$S75))</f>
        <v>-32874.910000000003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1932.5899999999965</v>
      </c>
      <c r="Q25" s="533"/>
    </row>
    <row r="26" spans="2:17" ht="18.5" x14ac:dyDescent="0.45">
      <c r="C26" s="272" t="s">
        <v>200</v>
      </c>
      <c r="D26" s="273">
        <f>IF(D8="","",SUM(D18:D20,D22:D25))</f>
        <v>339830.67</v>
      </c>
      <c r="E26" s="274">
        <f t="shared" ref="E26:L26" si="8">IF(E8="","",SUM(E18:E20,E22:E25))</f>
        <v>467481.30000000005</v>
      </c>
      <c r="F26" s="275">
        <f t="shared" si="8"/>
        <v>218096.09</v>
      </c>
      <c r="G26" s="273">
        <f t="shared" si="8"/>
        <v>308002.40999999997</v>
      </c>
      <c r="H26" s="274">
        <f t="shared" si="8"/>
        <v>493807.38000000006</v>
      </c>
      <c r="I26" s="275">
        <f t="shared" si="8"/>
        <v>217439.43999999992</v>
      </c>
      <c r="J26" s="273">
        <f t="shared" si="8"/>
        <v>444545.02</v>
      </c>
      <c r="K26" s="274">
        <f t="shared" si="8"/>
        <v>425249.30999999994</v>
      </c>
      <c r="L26" s="275" t="str">
        <f t="shared" si="8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9">IF(O8="","",SUM(O18:O19,O22:O25))</f>
        <v/>
      </c>
      <c r="P26" s="274">
        <f>SUM(P18:P25)</f>
        <v>2914451.6199999996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ht="18.5" x14ac:dyDescent="0.45">
      <c r="C28" s="267" t="s">
        <v>223</v>
      </c>
      <c r="D28" s="268">
        <f>IF(D$8="","",D$8*$Q28)</f>
        <v>11279.34</v>
      </c>
      <c r="E28" s="234">
        <f t="shared" ref="E28:O35" si="10">IF(E$8="","",E$8*$Q28)</f>
        <v>11199.06</v>
      </c>
      <c r="F28" s="269">
        <f t="shared" si="10"/>
        <v>11239.2</v>
      </c>
      <c r="G28" s="268">
        <f t="shared" si="10"/>
        <v>11399.76</v>
      </c>
      <c r="H28" s="234">
        <f t="shared" si="10"/>
        <v>11520.18</v>
      </c>
      <c r="I28" s="269">
        <f t="shared" si="10"/>
        <v>11480.04</v>
      </c>
      <c r="J28" s="234">
        <f t="shared" si="10"/>
        <v>11399.76</v>
      </c>
      <c r="K28" s="234">
        <f t="shared" si="10"/>
        <v>11399.76</v>
      </c>
      <c r="L28" s="234" t="str">
        <f t="shared" si="10"/>
        <v/>
      </c>
      <c r="M28" s="268" t="str">
        <f t="shared" si="10"/>
        <v/>
      </c>
      <c r="N28" s="234" t="str">
        <f t="shared" si="10"/>
        <v/>
      </c>
      <c r="O28" s="270" t="str">
        <f t="shared" si="10"/>
        <v/>
      </c>
      <c r="P28" s="234">
        <f>SUM(D28:O28)</f>
        <v>90917.1</v>
      </c>
      <c r="Q28" s="533">
        <v>40.14</v>
      </c>
    </row>
    <row r="29" spans="2:17" ht="18.5" x14ac:dyDescent="0.45">
      <c r="C29" s="267" t="s">
        <v>224</v>
      </c>
      <c r="D29" s="268">
        <f t="shared" ref="D29:O35" si="11">IF(D$8="","",D$8*$Q29)</f>
        <v>1124</v>
      </c>
      <c r="E29" s="234">
        <f t="shared" si="10"/>
        <v>1116</v>
      </c>
      <c r="F29" s="269">
        <f t="shared" si="10"/>
        <v>1120</v>
      </c>
      <c r="G29" s="268">
        <f t="shared" si="10"/>
        <v>1136</v>
      </c>
      <c r="H29" s="234">
        <f t="shared" si="10"/>
        <v>1148</v>
      </c>
      <c r="I29" s="269">
        <f t="shared" si="10"/>
        <v>1144</v>
      </c>
      <c r="J29" s="234">
        <f t="shared" si="10"/>
        <v>1136</v>
      </c>
      <c r="K29" s="234">
        <f t="shared" si="10"/>
        <v>1136</v>
      </c>
      <c r="L29" s="234" t="str">
        <f t="shared" si="10"/>
        <v/>
      </c>
      <c r="M29" s="268" t="str">
        <f t="shared" si="10"/>
        <v/>
      </c>
      <c r="N29" s="234" t="str">
        <f t="shared" si="10"/>
        <v/>
      </c>
      <c r="O29" s="270" t="str">
        <f t="shared" si="10"/>
        <v/>
      </c>
      <c r="P29" s="234">
        <f t="shared" ref="P29:P35" si="12">SUM(D29:O29)</f>
        <v>9060</v>
      </c>
      <c r="Q29" s="533">
        <v>4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10"/>
        <v>0</v>
      </c>
      <c r="F30" s="234">
        <f t="shared" si="10"/>
        <v>0</v>
      </c>
      <c r="G30" s="268">
        <f t="shared" si="10"/>
        <v>0</v>
      </c>
      <c r="H30" s="234">
        <f t="shared" si="10"/>
        <v>0</v>
      </c>
      <c r="I30" s="234">
        <f t="shared" si="10"/>
        <v>0</v>
      </c>
      <c r="J30" s="268">
        <f t="shared" si="10"/>
        <v>0</v>
      </c>
      <c r="K30" s="234">
        <f t="shared" si="10"/>
        <v>0</v>
      </c>
      <c r="L30" s="234" t="str">
        <f t="shared" si="10"/>
        <v/>
      </c>
      <c r="M30" s="268" t="str">
        <f t="shared" si="10"/>
        <v/>
      </c>
      <c r="N30" s="234" t="str">
        <f t="shared" si="10"/>
        <v/>
      </c>
      <c r="O30" s="270" t="str">
        <f t="shared" si="10"/>
        <v/>
      </c>
      <c r="P30" s="234">
        <f t="shared" si="12"/>
        <v>0</v>
      </c>
      <c r="Q30" s="533">
        <v>0</v>
      </c>
    </row>
    <row r="31" spans="2:17" ht="18.5" x14ac:dyDescent="0.45">
      <c r="C31" s="267" t="s">
        <v>325</v>
      </c>
      <c r="D31" s="268">
        <f t="shared" si="11"/>
        <v>0</v>
      </c>
      <c r="E31" s="234">
        <f t="shared" si="11"/>
        <v>0</v>
      </c>
      <c r="F31" s="234">
        <f t="shared" si="11"/>
        <v>0</v>
      </c>
      <c r="G31" s="268">
        <f t="shared" si="11"/>
        <v>0</v>
      </c>
      <c r="H31" s="234">
        <f t="shared" si="11"/>
        <v>0</v>
      </c>
      <c r="I31" s="234">
        <f t="shared" si="11"/>
        <v>0</v>
      </c>
      <c r="J31" s="268">
        <f t="shared" si="11"/>
        <v>0</v>
      </c>
      <c r="K31" s="234">
        <f t="shared" si="11"/>
        <v>0</v>
      </c>
      <c r="L31" s="234" t="str">
        <f t="shared" si="11"/>
        <v/>
      </c>
      <c r="M31" s="268" t="str">
        <f t="shared" si="11"/>
        <v/>
      </c>
      <c r="N31" s="234" t="str">
        <f t="shared" si="11"/>
        <v/>
      </c>
      <c r="O31" s="270" t="str">
        <f t="shared" si="11"/>
        <v/>
      </c>
      <c r="P31" s="234">
        <f t="shared" si="12"/>
        <v>0</v>
      </c>
      <c r="Q31" s="533">
        <v>0</v>
      </c>
    </row>
    <row r="32" spans="2:17" ht="18.5" x14ac:dyDescent="0.45">
      <c r="C32" s="267" t="s">
        <v>247</v>
      </c>
      <c r="D32" s="268">
        <f t="shared" si="11"/>
        <v>0</v>
      </c>
      <c r="E32" s="234">
        <f t="shared" si="11"/>
        <v>0</v>
      </c>
      <c r="F32" s="269">
        <f t="shared" si="11"/>
        <v>0</v>
      </c>
      <c r="G32" s="268">
        <f t="shared" si="11"/>
        <v>0</v>
      </c>
      <c r="H32" s="234">
        <f t="shared" si="11"/>
        <v>0</v>
      </c>
      <c r="I32" s="269">
        <f t="shared" si="11"/>
        <v>0</v>
      </c>
      <c r="J32" s="234">
        <f t="shared" si="11"/>
        <v>0</v>
      </c>
      <c r="K32" s="234">
        <f t="shared" si="11"/>
        <v>0</v>
      </c>
      <c r="L32" s="234" t="str">
        <f t="shared" si="11"/>
        <v/>
      </c>
      <c r="M32" s="268" t="str">
        <f t="shared" si="11"/>
        <v/>
      </c>
      <c r="N32" s="234" t="str">
        <f t="shared" si="11"/>
        <v/>
      </c>
      <c r="O32" s="270" t="str">
        <f t="shared" si="11"/>
        <v/>
      </c>
      <c r="P32" s="234">
        <f t="shared" si="12"/>
        <v>0</v>
      </c>
      <c r="Q32" s="533">
        <v>0</v>
      </c>
    </row>
    <row r="33" spans="2:18" ht="18.5" x14ac:dyDescent="0.45">
      <c r="C33" s="267" t="s">
        <v>227</v>
      </c>
      <c r="D33" s="268">
        <f t="shared" si="11"/>
        <v>491.75</v>
      </c>
      <c r="E33" s="234">
        <f t="shared" si="10"/>
        <v>488.25</v>
      </c>
      <c r="F33" s="269">
        <f t="shared" si="10"/>
        <v>490</v>
      </c>
      <c r="G33" s="268">
        <f t="shared" si="10"/>
        <v>497</v>
      </c>
      <c r="H33" s="234">
        <f t="shared" si="10"/>
        <v>502.25</v>
      </c>
      <c r="I33" s="269">
        <f t="shared" si="10"/>
        <v>500.5</v>
      </c>
      <c r="J33" s="234">
        <f t="shared" si="10"/>
        <v>497</v>
      </c>
      <c r="K33" s="234">
        <f t="shared" si="10"/>
        <v>497</v>
      </c>
      <c r="L33" s="234" t="str">
        <f t="shared" si="10"/>
        <v/>
      </c>
      <c r="M33" s="268" t="str">
        <f t="shared" si="10"/>
        <v/>
      </c>
      <c r="N33" s="234" t="str">
        <f t="shared" si="10"/>
        <v/>
      </c>
      <c r="O33" s="270" t="str">
        <f t="shared" si="10"/>
        <v/>
      </c>
      <c r="P33" s="234">
        <f t="shared" si="12"/>
        <v>3963.75</v>
      </c>
      <c r="Q33" s="533">
        <v>1.75</v>
      </c>
    </row>
    <row r="34" spans="2:18" ht="18.5" x14ac:dyDescent="0.45">
      <c r="C34" s="267" t="s">
        <v>228</v>
      </c>
      <c r="D34" s="268">
        <f t="shared" si="11"/>
        <v>927.3</v>
      </c>
      <c r="E34" s="234">
        <f t="shared" si="10"/>
        <v>920.69999999999993</v>
      </c>
      <c r="F34" s="269">
        <f t="shared" si="10"/>
        <v>924</v>
      </c>
      <c r="G34" s="268">
        <f t="shared" si="10"/>
        <v>937.19999999999993</v>
      </c>
      <c r="H34" s="234">
        <f t="shared" si="10"/>
        <v>947.09999999999991</v>
      </c>
      <c r="I34" s="269">
        <f t="shared" si="10"/>
        <v>943.8</v>
      </c>
      <c r="J34" s="234">
        <f t="shared" si="10"/>
        <v>937.19999999999993</v>
      </c>
      <c r="K34" s="234">
        <f t="shared" si="10"/>
        <v>937.19999999999993</v>
      </c>
      <c r="L34" s="234" t="str">
        <f t="shared" si="10"/>
        <v/>
      </c>
      <c r="M34" s="268" t="str">
        <f t="shared" si="10"/>
        <v/>
      </c>
      <c r="N34" s="234" t="str">
        <f t="shared" si="10"/>
        <v/>
      </c>
      <c r="O34" s="270" t="str">
        <f t="shared" si="10"/>
        <v/>
      </c>
      <c r="P34" s="234">
        <f t="shared" si="12"/>
        <v>7474.4999999999991</v>
      </c>
      <c r="Q34" s="533">
        <v>3.3</v>
      </c>
    </row>
    <row r="35" spans="2:18" ht="18.5" x14ac:dyDescent="0.45">
      <c r="C35" s="267" t="s">
        <v>202</v>
      </c>
      <c r="D35" s="268">
        <f t="shared" si="11"/>
        <v>1112.76</v>
      </c>
      <c r="E35" s="234">
        <f t="shared" si="10"/>
        <v>1104.8399999999999</v>
      </c>
      <c r="F35" s="269">
        <f t="shared" si="10"/>
        <v>1108.8</v>
      </c>
      <c r="G35" s="268">
        <f t="shared" si="10"/>
        <v>1124.6400000000001</v>
      </c>
      <c r="H35" s="234">
        <f t="shared" si="10"/>
        <v>1136.52</v>
      </c>
      <c r="I35" s="269">
        <f t="shared" si="10"/>
        <v>1132.56</v>
      </c>
      <c r="J35" s="234">
        <f t="shared" si="10"/>
        <v>1124.6400000000001</v>
      </c>
      <c r="K35" s="234">
        <f t="shared" si="10"/>
        <v>1124.6400000000001</v>
      </c>
      <c r="L35" s="234" t="str">
        <f t="shared" si="10"/>
        <v/>
      </c>
      <c r="M35" s="268" t="str">
        <f t="shared" si="10"/>
        <v/>
      </c>
      <c r="N35" s="234" t="str">
        <f t="shared" si="10"/>
        <v/>
      </c>
      <c r="O35" s="270" t="str">
        <f t="shared" si="10"/>
        <v/>
      </c>
      <c r="P35" s="234">
        <f t="shared" si="12"/>
        <v>8969.4</v>
      </c>
      <c r="Q35" s="533">
        <v>3.96</v>
      </c>
    </row>
    <row r="36" spans="2:18" ht="18.5" x14ac:dyDescent="0.45">
      <c r="C36" s="272" t="s">
        <v>203</v>
      </c>
      <c r="D36" s="273">
        <f t="shared" ref="D36:P36" si="13">IF(D$8="","",SUM(D28:D35))</f>
        <v>14935.15</v>
      </c>
      <c r="E36" s="274">
        <f t="shared" si="13"/>
        <v>14828.85</v>
      </c>
      <c r="F36" s="275">
        <f t="shared" si="13"/>
        <v>14882</v>
      </c>
      <c r="G36" s="273">
        <f t="shared" si="13"/>
        <v>15094.6</v>
      </c>
      <c r="H36" s="274">
        <f t="shared" si="13"/>
        <v>15254.050000000001</v>
      </c>
      <c r="I36" s="275">
        <f t="shared" si="13"/>
        <v>15200.9</v>
      </c>
      <c r="J36" s="274">
        <f t="shared" si="13"/>
        <v>15094.6</v>
      </c>
      <c r="K36" s="274">
        <f t="shared" si="13"/>
        <v>15094.6</v>
      </c>
      <c r="L36" s="274" t="str">
        <f t="shared" si="13"/>
        <v/>
      </c>
      <c r="M36" s="273" t="str">
        <f t="shared" si="13"/>
        <v/>
      </c>
      <c r="N36" s="274" t="str">
        <f t="shared" si="13"/>
        <v/>
      </c>
      <c r="O36" s="276" t="str">
        <f t="shared" si="13"/>
        <v/>
      </c>
      <c r="P36" s="274">
        <f t="shared" si="13"/>
        <v>120384.75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27754.37</v>
      </c>
      <c r="E38" s="234">
        <f t="shared" ref="E38:O41" si="14">IF(E$8="","",E$8*$Q38)</f>
        <v>27556.829999999998</v>
      </c>
      <c r="F38" s="269">
        <f t="shared" si="14"/>
        <v>27655.599999999999</v>
      </c>
      <c r="G38" s="268">
        <f t="shared" si="14"/>
        <v>28050.68</v>
      </c>
      <c r="H38" s="234">
        <f t="shared" si="14"/>
        <v>28346.989999999998</v>
      </c>
      <c r="I38" s="269">
        <f t="shared" si="14"/>
        <v>28248.219999999998</v>
      </c>
      <c r="J38" s="234">
        <f t="shared" si="14"/>
        <v>28050.68</v>
      </c>
      <c r="K38" s="234">
        <f t="shared" si="14"/>
        <v>28050.68</v>
      </c>
      <c r="L38" s="234" t="str">
        <f t="shared" si="14"/>
        <v/>
      </c>
      <c r="M38" s="268" t="str">
        <f t="shared" si="14"/>
        <v/>
      </c>
      <c r="N38" s="234" t="str">
        <f t="shared" si="14"/>
        <v/>
      </c>
      <c r="O38" s="270" t="str">
        <f t="shared" si="14"/>
        <v/>
      </c>
      <c r="P38" s="234">
        <f>SUM(D38:O38)</f>
        <v>223714.04999999996</v>
      </c>
      <c r="Q38" s="533">
        <v>98.77</v>
      </c>
    </row>
    <row r="39" spans="2:18" ht="18.5" x14ac:dyDescent="0.45">
      <c r="C39" s="267" t="s">
        <v>205</v>
      </c>
      <c r="D39" s="268">
        <f t="shared" ref="D39:D41" si="15">IF(D$8="","",D$8*$Q39)</f>
        <v>107454.39999999999</v>
      </c>
      <c r="E39" s="234">
        <f t="shared" si="14"/>
        <v>106689.59999999999</v>
      </c>
      <c r="F39" s="269">
        <f t="shared" si="14"/>
        <v>107072</v>
      </c>
      <c r="G39" s="268">
        <f t="shared" si="14"/>
        <v>108601.59999999999</v>
      </c>
      <c r="H39" s="234">
        <f t="shared" si="14"/>
        <v>109748.79999999999</v>
      </c>
      <c r="I39" s="269">
        <f t="shared" ref="I39:O39" si="16">IF(I$8="","",I$8*$R39)</f>
        <v>52166.399999999994</v>
      </c>
      <c r="J39" s="234">
        <f t="shared" si="16"/>
        <v>51801.599999999991</v>
      </c>
      <c r="K39" s="234">
        <f t="shared" si="16"/>
        <v>51801.599999999991</v>
      </c>
      <c r="L39" s="234" t="str">
        <f t="shared" si="16"/>
        <v/>
      </c>
      <c r="M39" s="268" t="str">
        <f t="shared" si="16"/>
        <v/>
      </c>
      <c r="N39" s="234" t="str">
        <f t="shared" si="16"/>
        <v/>
      </c>
      <c r="O39" s="270" t="str">
        <f t="shared" si="16"/>
        <v/>
      </c>
      <c r="P39" s="234">
        <f t="shared" ref="P39:P41" si="17">SUM(D39:O39)</f>
        <v>695335.99999999988</v>
      </c>
      <c r="Q39" s="533">
        <v>382.4</v>
      </c>
      <c r="R39" s="11">
        <f>Q39-200</f>
        <v>182.39999999999998</v>
      </c>
    </row>
    <row r="40" spans="2:18" ht="18.5" x14ac:dyDescent="0.45">
      <c r="C40" s="267" t="s">
        <v>322</v>
      </c>
      <c r="D40" s="268">
        <f t="shared" ref="D40:O40" si="18">IF(D$8="","",D$8*$Q40)</f>
        <v>1124</v>
      </c>
      <c r="E40" s="234">
        <f t="shared" si="18"/>
        <v>1116</v>
      </c>
      <c r="F40" s="269">
        <f t="shared" si="18"/>
        <v>1120</v>
      </c>
      <c r="G40" s="234">
        <f t="shared" si="18"/>
        <v>1136</v>
      </c>
      <c r="H40" s="234">
        <f t="shared" si="18"/>
        <v>1148</v>
      </c>
      <c r="I40" s="269">
        <f t="shared" si="18"/>
        <v>1144</v>
      </c>
      <c r="J40" s="234">
        <f t="shared" si="18"/>
        <v>1136</v>
      </c>
      <c r="K40" s="234">
        <f t="shared" si="18"/>
        <v>1136</v>
      </c>
      <c r="L40" s="234" t="str">
        <f t="shared" si="18"/>
        <v/>
      </c>
      <c r="M40" s="268" t="str">
        <f t="shared" si="18"/>
        <v/>
      </c>
      <c r="N40" s="234" t="str">
        <f t="shared" si="18"/>
        <v/>
      </c>
      <c r="O40" s="270" t="str">
        <f t="shared" si="18"/>
        <v/>
      </c>
      <c r="P40" s="234">
        <f>SUM(D40:O40)</f>
        <v>9060</v>
      </c>
      <c r="Q40" s="533">
        <v>4</v>
      </c>
    </row>
    <row r="41" spans="2:18" ht="18.5" x14ac:dyDescent="0.45">
      <c r="C41" s="267" t="s">
        <v>206</v>
      </c>
      <c r="D41" s="268">
        <f t="shared" si="15"/>
        <v>809.28</v>
      </c>
      <c r="E41" s="234">
        <f t="shared" si="14"/>
        <v>803.52</v>
      </c>
      <c r="F41" s="269">
        <f t="shared" si="14"/>
        <v>806.4</v>
      </c>
      <c r="G41" s="268">
        <f t="shared" si="14"/>
        <v>817.92</v>
      </c>
      <c r="H41" s="234">
        <f t="shared" si="14"/>
        <v>826.56</v>
      </c>
      <c r="I41" s="269">
        <f t="shared" si="14"/>
        <v>823.68</v>
      </c>
      <c r="J41" s="234">
        <f t="shared" si="14"/>
        <v>817.92</v>
      </c>
      <c r="K41" s="234">
        <f t="shared" si="14"/>
        <v>817.92</v>
      </c>
      <c r="L41" s="234" t="str">
        <f t="shared" si="14"/>
        <v/>
      </c>
      <c r="M41" s="268" t="str">
        <f t="shared" si="14"/>
        <v/>
      </c>
      <c r="N41" s="234" t="str">
        <f t="shared" si="14"/>
        <v/>
      </c>
      <c r="O41" s="270" t="str">
        <f t="shared" si="14"/>
        <v/>
      </c>
      <c r="P41" s="234">
        <f t="shared" si="17"/>
        <v>6523.2</v>
      </c>
      <c r="Q41" s="533">
        <v>2.88</v>
      </c>
    </row>
    <row r="42" spans="2:18" ht="18.5" x14ac:dyDescent="0.45">
      <c r="C42" s="272" t="s">
        <v>207</v>
      </c>
      <c r="D42" s="273">
        <f t="shared" ref="D42:P42" si="19">IF(D$8="","",SUM(D38:D41))</f>
        <v>137142.04999999999</v>
      </c>
      <c r="E42" s="274">
        <f t="shared" si="19"/>
        <v>136165.94999999998</v>
      </c>
      <c r="F42" s="275">
        <f t="shared" si="19"/>
        <v>136654</v>
      </c>
      <c r="G42" s="273">
        <f t="shared" si="19"/>
        <v>138606.20000000001</v>
      </c>
      <c r="H42" s="274">
        <f t="shared" si="19"/>
        <v>140070.34999999998</v>
      </c>
      <c r="I42" s="275">
        <f t="shared" si="19"/>
        <v>82382.299999999988</v>
      </c>
      <c r="J42" s="274">
        <f t="shared" si="19"/>
        <v>81806.2</v>
      </c>
      <c r="K42" s="274">
        <f t="shared" si="19"/>
        <v>81806.2</v>
      </c>
      <c r="L42" s="274" t="str">
        <f t="shared" si="19"/>
        <v/>
      </c>
      <c r="M42" s="273" t="str">
        <f t="shared" si="19"/>
        <v/>
      </c>
      <c r="N42" s="274" t="str">
        <f t="shared" si="19"/>
        <v/>
      </c>
      <c r="O42" s="276" t="str">
        <f t="shared" si="19"/>
        <v/>
      </c>
      <c r="P42" s="274">
        <f t="shared" si="19"/>
        <v>934633.24999999977</v>
      </c>
      <c r="Q42" s="30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 t="s">
        <v>191</v>
      </c>
      <c r="C44" s="267" t="s">
        <v>209</v>
      </c>
      <c r="D44" s="268">
        <f t="shared" ref="D44:O48" si="20">IF(D$8="","",0)</f>
        <v>0</v>
      </c>
      <c r="E44" s="234">
        <f t="shared" si="20"/>
        <v>0</v>
      </c>
      <c r="F44" s="234">
        <f t="shared" si="20"/>
        <v>0</v>
      </c>
      <c r="G44" s="268">
        <f>416.5/19</f>
        <v>21.921052631578949</v>
      </c>
      <c r="H44" s="234">
        <f t="shared" si="20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20"/>
        <v/>
      </c>
      <c r="M44" s="268" t="str">
        <f t="shared" si="20"/>
        <v/>
      </c>
      <c r="N44" s="234" t="str">
        <f t="shared" si="20"/>
        <v/>
      </c>
      <c r="O44" s="234" t="str">
        <f t="shared" si="20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20"/>
        <v>0</v>
      </c>
      <c r="E45" s="234">
        <f t="shared" si="20"/>
        <v>0</v>
      </c>
      <c r="F45" s="269">
        <f t="shared" si="20"/>
        <v>0</v>
      </c>
      <c r="G45" s="268">
        <f t="shared" si="20"/>
        <v>0</v>
      </c>
      <c r="H45" s="234">
        <f>15600/19</f>
        <v>821.0526315789474</v>
      </c>
      <c r="I45" s="234">
        <f t="shared" si="20"/>
        <v>0</v>
      </c>
      <c r="J45" s="268">
        <f t="shared" si="20"/>
        <v>0</v>
      </c>
      <c r="K45" s="234">
        <f t="shared" si="20"/>
        <v>0</v>
      </c>
      <c r="L45" s="234" t="str">
        <f t="shared" si="20"/>
        <v/>
      </c>
      <c r="M45" s="268" t="str">
        <f t="shared" si="20"/>
        <v/>
      </c>
      <c r="N45" s="234" t="str">
        <f t="shared" si="20"/>
        <v/>
      </c>
      <c r="O45" s="234" t="str">
        <f t="shared" si="20"/>
        <v/>
      </c>
      <c r="P45" s="474">
        <f t="shared" ref="P45:P48" si="21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20"/>
        <v>0</v>
      </c>
      <c r="E46" s="234">
        <f t="shared" si="20"/>
        <v>0</v>
      </c>
      <c r="F46" s="269">
        <f t="shared" si="20"/>
        <v>0</v>
      </c>
      <c r="G46" s="268">
        <f t="shared" si="20"/>
        <v>0</v>
      </c>
      <c r="H46" s="234">
        <f t="shared" si="20"/>
        <v>0</v>
      </c>
      <c r="I46" s="234">
        <f t="shared" si="20"/>
        <v>0</v>
      </c>
      <c r="J46" s="268">
        <f t="shared" si="20"/>
        <v>0</v>
      </c>
      <c r="K46" s="234">
        <f t="shared" si="20"/>
        <v>0</v>
      </c>
      <c r="L46" s="234" t="str">
        <f t="shared" si="20"/>
        <v/>
      </c>
      <c r="M46" s="268" t="str">
        <f t="shared" si="20"/>
        <v/>
      </c>
      <c r="N46" s="234" t="str">
        <f t="shared" si="20"/>
        <v/>
      </c>
      <c r="O46" s="234" t="str">
        <f t="shared" si="20"/>
        <v/>
      </c>
      <c r="P46" s="474">
        <f t="shared" si="21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20"/>
        <v>0</v>
      </c>
      <c r="E47" s="234">
        <f t="shared" si="20"/>
        <v>0</v>
      </c>
      <c r="F47" s="234">
        <f t="shared" si="20"/>
        <v>0</v>
      </c>
      <c r="G47" s="268">
        <f t="shared" si="20"/>
        <v>0</v>
      </c>
      <c r="H47" s="234">
        <f t="shared" si="20"/>
        <v>0</v>
      </c>
      <c r="I47" s="234">
        <f t="shared" si="20"/>
        <v>0</v>
      </c>
      <c r="J47" s="268">
        <f t="shared" si="20"/>
        <v>0</v>
      </c>
      <c r="K47" s="234">
        <f t="shared" si="20"/>
        <v>0</v>
      </c>
      <c r="L47" s="234" t="str">
        <f t="shared" si="20"/>
        <v/>
      </c>
      <c r="M47" s="268" t="str">
        <f t="shared" si="20"/>
        <v/>
      </c>
      <c r="N47" s="234" t="str">
        <f t="shared" si="20"/>
        <v/>
      </c>
      <c r="O47" s="270" t="str">
        <f t="shared" si="20"/>
        <v/>
      </c>
      <c r="P47" s="234">
        <f t="shared" si="21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20"/>
        <v>0</v>
      </c>
      <c r="F48" s="456">
        <f t="shared" si="20"/>
        <v>0</v>
      </c>
      <c r="G48" s="458">
        <f t="shared" si="20"/>
        <v>0</v>
      </c>
      <c r="H48" s="234">
        <f t="shared" si="20"/>
        <v>0</v>
      </c>
      <c r="I48" s="456">
        <f t="shared" si="20"/>
        <v>0</v>
      </c>
      <c r="J48" s="268">
        <f t="shared" si="20"/>
        <v>0</v>
      </c>
      <c r="K48" s="457">
        <f t="shared" si="20"/>
        <v>0</v>
      </c>
      <c r="L48" s="456" t="str">
        <f t="shared" si="20"/>
        <v/>
      </c>
      <c r="M48" s="458" t="str">
        <f t="shared" si="20"/>
        <v/>
      </c>
      <c r="N48" s="234" t="str">
        <f t="shared" si="20"/>
        <v/>
      </c>
      <c r="O48" s="525" t="str">
        <f t="shared" si="20"/>
        <v/>
      </c>
      <c r="P48" s="475">
        <f t="shared" si="21"/>
        <v>0</v>
      </c>
      <c r="Q48" s="244"/>
    </row>
    <row r="49" spans="2:17" ht="18.5" x14ac:dyDescent="0.45">
      <c r="C49" s="272" t="s">
        <v>229</v>
      </c>
      <c r="D49" s="273">
        <f t="shared" ref="D49:P49" si="22">IF(D$8="","",SUM(D44:D48))</f>
        <v>0</v>
      </c>
      <c r="E49" s="274">
        <f t="shared" si="22"/>
        <v>0</v>
      </c>
      <c r="F49" s="275">
        <f t="shared" si="22"/>
        <v>0</v>
      </c>
      <c r="G49" s="273">
        <f t="shared" si="22"/>
        <v>21.921052631578949</v>
      </c>
      <c r="H49" s="274">
        <f t="shared" si="22"/>
        <v>821.0526315789474</v>
      </c>
      <c r="I49" s="275">
        <f t="shared" si="22"/>
        <v>12.102631578947367</v>
      </c>
      <c r="J49" s="274">
        <f t="shared" si="22"/>
        <v>31.315789473684209</v>
      </c>
      <c r="K49" s="274">
        <f t="shared" si="22"/>
        <v>56.368421052631582</v>
      </c>
      <c r="L49" s="274" t="str">
        <f t="shared" si="22"/>
        <v/>
      </c>
      <c r="M49" s="273" t="str">
        <f t="shared" si="22"/>
        <v/>
      </c>
      <c r="N49" s="274" t="str">
        <f t="shared" si="22"/>
        <v/>
      </c>
      <c r="O49" s="276" t="str">
        <f t="shared" si="22"/>
        <v/>
      </c>
      <c r="P49" s="557">
        <f t="shared" si="22"/>
        <v>942.76052631578955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-112838.87</v>
      </c>
      <c r="E51" s="289">
        <f>IF(E8="","",E14-SUM(E26,E36,E42,E49))</f>
        <v>-242105.09999999998</v>
      </c>
      <c r="F51" s="290">
        <f>IF(F8="","",F14-SUM(F26,F36,F42,F49))</f>
        <v>9439.9100000000326</v>
      </c>
      <c r="G51" s="288">
        <f>IF(G8="","",G14-SUM(G26,G36,G42,G49))</f>
        <v>-79961.131052631536</v>
      </c>
      <c r="H51" s="289">
        <f>IF(H8="","",H14-SUM(H26,H36,H42,H49))</f>
        <v>-266845.83263157902</v>
      </c>
      <c r="I51" s="290">
        <f>IF(I8="","",I14-SUM(I26,I36,I42,I49))</f>
        <v>70779.257368421182</v>
      </c>
      <c r="J51" s="289">
        <f>IF(J8="","",J14-SUM(J26,J36,J42,J49))</f>
        <v>-158361.13578947366</v>
      </c>
      <c r="K51" s="289">
        <f>IF(K8="","",K14-SUM(K26,K36,K42,K49))</f>
        <v>-72481.698421052541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-852374.60052631469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2009370.97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1156996.3694736853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843</v>
      </c>
      <c r="E56" s="234">
        <f>IF(E12="","",-E12)</f>
        <v>837</v>
      </c>
      <c r="F56" s="269">
        <f>IF(F12="","",-F12)</f>
        <v>840</v>
      </c>
      <c r="G56" s="268">
        <f>IF(G12="","",-G12)</f>
        <v>852</v>
      </c>
      <c r="H56" s="234">
        <f>IF(H12="","",-H12)</f>
        <v>861</v>
      </c>
      <c r="I56" s="269">
        <f>IF(I12="","",-I12)</f>
        <v>858</v>
      </c>
      <c r="J56" s="234">
        <f>IF(J12="","",-J12)</f>
        <v>852</v>
      </c>
      <c r="K56" s="234">
        <f>IF(K12="","",-K12)</f>
        <v>852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6795</v>
      </c>
      <c r="Q56" s="244"/>
    </row>
    <row r="57" spans="2:17" ht="18.5" x14ac:dyDescent="0.45">
      <c r="B57" s="213" t="s">
        <v>191</v>
      </c>
      <c r="C57" s="267" t="s">
        <v>233</v>
      </c>
      <c r="D57" s="268">
        <v>-1268.05</v>
      </c>
      <c r="E57" s="234">
        <f t="shared" ref="E57:O57" si="23">IF(E$8="","",0)</f>
        <v>0</v>
      </c>
      <c r="F57" s="269">
        <f t="shared" si="23"/>
        <v>0</v>
      </c>
      <c r="G57" s="268">
        <f t="shared" si="23"/>
        <v>0</v>
      </c>
      <c r="H57" s="234">
        <f t="shared" si="23"/>
        <v>0</v>
      </c>
      <c r="I57" s="269">
        <f t="shared" si="23"/>
        <v>0</v>
      </c>
      <c r="J57" s="234">
        <f t="shared" si="23"/>
        <v>0</v>
      </c>
      <c r="K57" s="234">
        <f t="shared" si="23"/>
        <v>0</v>
      </c>
      <c r="L57" s="234" t="str">
        <f t="shared" si="23"/>
        <v/>
      </c>
      <c r="M57" s="268" t="str">
        <f t="shared" si="23"/>
        <v/>
      </c>
      <c r="N57" s="457" t="str">
        <f t="shared" si="23"/>
        <v/>
      </c>
      <c r="O57" s="525" t="str">
        <f t="shared" si="23"/>
        <v/>
      </c>
      <c r="P57" s="234">
        <f>SUM(D57:O57)</f>
        <v>-1268.05</v>
      </c>
      <c r="Q57" s="244"/>
    </row>
    <row r="58" spans="2:17" ht="18.5" x14ac:dyDescent="0.45">
      <c r="C58" s="296" t="s">
        <v>234</v>
      </c>
      <c r="D58" s="297">
        <f>IF(D$8="","",SUM(D56:D57))</f>
        <v>-425.04999999999995</v>
      </c>
      <c r="E58" s="298">
        <f t="shared" ref="E58:O58" si="24">IF(E$8="","",SUM(E56:E57))</f>
        <v>837</v>
      </c>
      <c r="F58" s="299">
        <f t="shared" si="24"/>
        <v>840</v>
      </c>
      <c r="G58" s="297">
        <f t="shared" si="24"/>
        <v>852</v>
      </c>
      <c r="H58" s="298">
        <f t="shared" si="24"/>
        <v>861</v>
      </c>
      <c r="I58" s="299">
        <f t="shared" si="24"/>
        <v>858</v>
      </c>
      <c r="J58" s="298">
        <f t="shared" si="24"/>
        <v>852</v>
      </c>
      <c r="K58" s="298">
        <f t="shared" si="24"/>
        <v>852</v>
      </c>
      <c r="L58" s="298" t="str">
        <f t="shared" si="24"/>
        <v/>
      </c>
      <c r="M58" s="297" t="str">
        <f t="shared" si="24"/>
        <v/>
      </c>
      <c r="N58" s="298" t="str">
        <f t="shared" si="24"/>
        <v/>
      </c>
      <c r="O58" s="300" t="str">
        <f t="shared" si="24"/>
        <v/>
      </c>
      <c r="P58" s="298">
        <f>SUM(P56:P57)</f>
        <v>5526.95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92814.95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98341.9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132103.95000000001</v>
      </c>
      <c r="E68" s="246">
        <v>110565.28</v>
      </c>
      <c r="F68" s="246">
        <v>67542.48</v>
      </c>
      <c r="G68" s="246">
        <v>87608.62</v>
      </c>
      <c r="H68" s="246">
        <v>0</v>
      </c>
      <c r="I68" s="308">
        <v>-16979.939999999999</v>
      </c>
      <c r="J68" s="309">
        <f>SUM(D68:I68)</f>
        <v>380840.39</v>
      </c>
      <c r="K68" s="310">
        <v>279</v>
      </c>
      <c r="L68" s="307">
        <f>22.42-36.46+38.68</f>
        <v>24.64</v>
      </c>
      <c r="M68" s="246">
        <v>0</v>
      </c>
      <c r="N68" s="246">
        <v>0</v>
      </c>
      <c r="O68" s="246">
        <f>100+110+1320</f>
        <v>1530</v>
      </c>
      <c r="P68" s="246">
        <f>1.79</f>
        <v>1.79</v>
      </c>
      <c r="Q68" s="246">
        <f>127.71+37.31+27.51</f>
        <v>192.52999999999997</v>
      </c>
      <c r="R68" s="246">
        <v>0</v>
      </c>
      <c r="S68" s="246">
        <v>0</v>
      </c>
      <c r="T68" s="246">
        <v>0</v>
      </c>
      <c r="U68" s="323">
        <v>-28828.62</v>
      </c>
    </row>
    <row r="69" spans="3:21" ht="18.5" x14ac:dyDescent="0.45">
      <c r="C69" s="306" t="str">
        <f>Addendum!E11</f>
        <v>August</v>
      </c>
      <c r="D69" s="307">
        <v>94711.61</v>
      </c>
      <c r="E69" s="246">
        <v>89610.78</v>
      </c>
      <c r="F69" s="246">
        <v>76183.61</v>
      </c>
      <c r="G69" s="246">
        <v>186411.84</v>
      </c>
      <c r="H69" s="246">
        <v>103761.07</v>
      </c>
      <c r="I69" s="308">
        <v>-17101.66</v>
      </c>
      <c r="J69" s="309">
        <f t="shared" ref="J69:J79" si="25">SUM(D69:I69)</f>
        <v>533577.24999999988</v>
      </c>
      <c r="K69" s="311">
        <v>281</v>
      </c>
      <c r="L69" s="307">
        <f>11.21+65.11+0.96+91.61-12.6</f>
        <v>156.29</v>
      </c>
      <c r="M69" s="246">
        <v>0</v>
      </c>
      <c r="N69" s="246">
        <v>0</v>
      </c>
      <c r="O69" s="246">
        <f>240+770+3300</f>
        <v>4310</v>
      </c>
      <c r="P69" s="246">
        <f>1022.1+600</f>
        <v>1622.1</v>
      </c>
      <c r="Q69" s="246">
        <f>33.27+19.19+158.68</f>
        <v>211.14000000000001</v>
      </c>
      <c r="R69" s="246">
        <v>0</v>
      </c>
      <c r="S69" s="246">
        <v>0</v>
      </c>
      <c r="T69" s="246">
        <v>0</v>
      </c>
      <c r="U69" s="323">
        <v>0</v>
      </c>
    </row>
    <row r="70" spans="3:21" ht="18.5" x14ac:dyDescent="0.45">
      <c r="C70" s="306" t="str">
        <f>Addendum!E12</f>
        <v>September</v>
      </c>
      <c r="D70" s="307">
        <v>69802.929999999993</v>
      </c>
      <c r="E70" s="246">
        <v>209728.8</v>
      </c>
      <c r="F70" s="246">
        <v>60976.19</v>
      </c>
      <c r="G70" s="246">
        <v>81131.399999999994</v>
      </c>
      <c r="H70" s="246">
        <v>0</v>
      </c>
      <c r="I70" s="308">
        <v>-17223.38</v>
      </c>
      <c r="J70" s="309">
        <f>SUM(D70:I70)</f>
        <v>404415.93999999994</v>
      </c>
      <c r="K70" s="311">
        <v>283</v>
      </c>
      <c r="L70" s="307">
        <f>443.83+249.17+80.35+208.09</f>
        <v>981.44</v>
      </c>
      <c r="M70" s="246">
        <v>0</v>
      </c>
      <c r="N70" s="246">
        <v>0</v>
      </c>
      <c r="O70" s="246">
        <f>160+770</f>
        <v>930</v>
      </c>
      <c r="P70" s="246">
        <f>600+105.99</f>
        <v>705.99</v>
      </c>
      <c r="Q70" s="246">
        <f>10.99</f>
        <v>10.99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107457.72</v>
      </c>
      <c r="E71" s="246">
        <v>77135.990000000005</v>
      </c>
      <c r="F71" s="246">
        <v>70064.37</v>
      </c>
      <c r="G71" s="246">
        <v>111838.82</v>
      </c>
      <c r="H71" s="246">
        <v>0</v>
      </c>
      <c r="I71" s="308">
        <v>-17284.240000000002</v>
      </c>
      <c r="J71" s="309">
        <f t="shared" si="25"/>
        <v>349212.66000000003</v>
      </c>
      <c r="K71" s="311">
        <v>284</v>
      </c>
      <c r="L71" s="307">
        <f>4.68-31.31+199.13+37.18</f>
        <v>209.68</v>
      </c>
      <c r="M71" s="246">
        <v>0</v>
      </c>
      <c r="N71" s="246">
        <v>0</v>
      </c>
      <c r="O71" s="246">
        <f>180+330+990</f>
        <v>1500</v>
      </c>
      <c r="P71" s="246">
        <v>0</v>
      </c>
      <c r="Q71" s="246">
        <f>20.51-19.19+575.85+8.81</f>
        <v>585.98</v>
      </c>
      <c r="R71" s="246">
        <v>0</v>
      </c>
      <c r="S71" s="246">
        <v>0</v>
      </c>
      <c r="T71" s="246">
        <v>0</v>
      </c>
      <c r="U71" s="323">
        <v>0</v>
      </c>
    </row>
    <row r="72" spans="3:21" ht="18.5" x14ac:dyDescent="0.45">
      <c r="C72" s="306" t="str">
        <f>Addendum!E14</f>
        <v>November</v>
      </c>
      <c r="D72" s="307">
        <v>224745.74</v>
      </c>
      <c r="E72" s="246">
        <v>52410.94</v>
      </c>
      <c r="F72" s="246">
        <v>92898.84</v>
      </c>
      <c r="G72" s="246">
        <v>90013.03</v>
      </c>
      <c r="H72" s="246">
        <v>99599.48</v>
      </c>
      <c r="I72" s="308">
        <v>-17405.96</v>
      </c>
      <c r="J72" s="309">
        <f t="shared" si="25"/>
        <v>542262.07000000007</v>
      </c>
      <c r="K72" s="311">
        <v>286</v>
      </c>
      <c r="L72" s="307">
        <f>-31.32+1715.99+27.93-145.21+167.57</f>
        <v>1734.96</v>
      </c>
      <c r="M72" s="246">
        <v>0</v>
      </c>
      <c r="N72" s="246">
        <v>0</v>
      </c>
      <c r="O72" s="246">
        <f>340+440+2310</f>
        <v>3090</v>
      </c>
      <c r="P72" s="246">
        <f>11.26</f>
        <v>11.26</v>
      </c>
      <c r="Q72" s="246">
        <f>7-35.35+17.62+574.71+103.44</f>
        <v>667.42000000000007</v>
      </c>
      <c r="R72" s="246">
        <v>0</v>
      </c>
      <c r="S72" s="246">
        <v>0</v>
      </c>
      <c r="T72" s="246">
        <v>0</v>
      </c>
      <c r="U72" s="323">
        <v>0</v>
      </c>
    </row>
    <row r="73" spans="3:21" ht="18.5" x14ac:dyDescent="0.45">
      <c r="C73" s="306" t="str">
        <f>Addendum!E15</f>
        <v>December</v>
      </c>
      <c r="D73" s="307">
        <v>125781.84</v>
      </c>
      <c r="E73" s="246">
        <v>83684.929999999993</v>
      </c>
      <c r="F73" s="246">
        <v>176132.78</v>
      </c>
      <c r="G73" s="246">
        <v>60921.27</v>
      </c>
      <c r="H73" s="246">
        <v>0</v>
      </c>
      <c r="I73" s="308">
        <v>-17284.240000000002</v>
      </c>
      <c r="J73" s="309">
        <f t="shared" si="25"/>
        <v>429236.58</v>
      </c>
      <c r="K73" s="311">
        <v>284</v>
      </c>
      <c r="L73" s="307">
        <f>443.24+456.18+11.79+347.63</f>
        <v>1258.8400000000001</v>
      </c>
      <c r="M73" s="246">
        <v>0</v>
      </c>
      <c r="N73" s="246">
        <v>2.25</v>
      </c>
      <c r="O73" s="246">
        <f>180+330+2310</f>
        <v>2820</v>
      </c>
      <c r="P73" s="246">
        <f>800+1831.1</f>
        <v>2631.1</v>
      </c>
      <c r="Q73" s="246">
        <f>19.6+6.13+12.6</f>
        <v>38.33</v>
      </c>
      <c r="R73" s="246">
        <v>0</v>
      </c>
      <c r="S73" s="246">
        <v>0</v>
      </c>
      <c r="T73" s="246">
        <v>0</v>
      </c>
      <c r="U73" s="323">
        <v>-142543.45000000001</v>
      </c>
    </row>
    <row r="74" spans="3:21" ht="18.5" x14ac:dyDescent="0.45">
      <c r="C74" s="306" t="str">
        <f>Addendum!E16</f>
        <v>January 2025</v>
      </c>
      <c r="D74" s="307">
        <v>73348.23</v>
      </c>
      <c r="E74" s="246">
        <v>131061.72</v>
      </c>
      <c r="F74" s="246">
        <v>154737.98000000001</v>
      </c>
      <c r="G74" s="246">
        <v>90942.399999999994</v>
      </c>
      <c r="H74" s="246">
        <v>74529.42</v>
      </c>
      <c r="I74" s="308">
        <v>-17162.52</v>
      </c>
      <c r="J74" s="309">
        <f t="shared" si="25"/>
        <v>507457.2300000001</v>
      </c>
      <c r="K74" s="311">
        <v>282</v>
      </c>
      <c r="L74" s="307">
        <f>1.78+1456.34-10.07+356.62+242.95</f>
        <v>2047.6200000000001</v>
      </c>
      <c r="M74" s="246">
        <v>0</v>
      </c>
      <c r="N74" s="246">
        <v>0</v>
      </c>
      <c r="O74" s="246">
        <f>240+3300</f>
        <v>3540</v>
      </c>
      <c r="P74" s="246">
        <f>506.95+2763.7</f>
        <v>3270.6499999999996</v>
      </c>
      <c r="Q74" s="246">
        <f>15.81+22.26+19.6+290.92+10.42+320.54+12.6+30.35</f>
        <v>722.50000000000011</v>
      </c>
      <c r="R74" s="246">
        <v>0</v>
      </c>
      <c r="S74" s="246">
        <v>0</v>
      </c>
      <c r="T74" s="246">
        <v>0</v>
      </c>
      <c r="U74" s="323">
        <v>-1169.5</v>
      </c>
    </row>
    <row r="75" spans="3:21" ht="18.5" x14ac:dyDescent="0.45">
      <c r="C75" s="306" t="str">
        <f>Addendum!E17</f>
        <v>February</v>
      </c>
      <c r="D75" s="307">
        <v>231175.23</v>
      </c>
      <c r="E75" s="246">
        <v>172940.64</v>
      </c>
      <c r="F75" s="246">
        <v>57369.85</v>
      </c>
      <c r="G75" s="246">
        <v>87257.47</v>
      </c>
      <c r="H75" s="246">
        <v>0</v>
      </c>
      <c r="I75" s="308">
        <v>-17422.68</v>
      </c>
      <c r="J75" s="309">
        <f t="shared" si="25"/>
        <v>531320.50999999989</v>
      </c>
      <c r="K75" s="311">
        <v>288</v>
      </c>
      <c r="L75" s="307">
        <f>323.16-609.57</f>
        <v>-286.41000000000003</v>
      </c>
      <c r="M75" s="246">
        <v>0</v>
      </c>
      <c r="N75" s="246">
        <v>0</v>
      </c>
      <c r="O75" s="246">
        <f>240+2750</f>
        <v>2990</v>
      </c>
      <c r="P75" s="246">
        <f>42.31</f>
        <v>42.31</v>
      </c>
      <c r="Q75" s="246">
        <f>8.81+34.92-94.78+15.81+50.97-320.54</f>
        <v>-304.81</v>
      </c>
      <c r="R75" s="246">
        <v>0</v>
      </c>
      <c r="S75" s="246">
        <v>-35316</v>
      </c>
      <c r="T75" s="246">
        <v>0</v>
      </c>
      <c r="U75" s="323">
        <v>-658.67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5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5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5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5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1059127.25</v>
      </c>
      <c r="E80" s="314">
        <f>SUM(E68:E79)</f>
        <v>927139.08</v>
      </c>
      <c r="F80" s="314">
        <f t="shared" ref="F80:J80" si="26">SUM(F68:F79)</f>
        <v>755906.1</v>
      </c>
      <c r="G80" s="314">
        <f t="shared" si="26"/>
        <v>796124.85</v>
      </c>
      <c r="H80" s="314">
        <f t="shared" si="26"/>
        <v>277889.96999999997</v>
      </c>
      <c r="I80" s="315">
        <f t="shared" si="26"/>
        <v>-137864.62</v>
      </c>
      <c r="J80" s="316">
        <f t="shared" si="26"/>
        <v>3678322.6299999994</v>
      </c>
      <c r="K80" s="317">
        <f>SUM(K68:K79)</f>
        <v>2267</v>
      </c>
      <c r="L80" s="313">
        <f>SUM(L68:L79)</f>
        <v>6127.06</v>
      </c>
      <c r="M80" s="314">
        <f t="shared" ref="M80:U80" si="27">SUM(M68:M79)</f>
        <v>0</v>
      </c>
      <c r="N80" s="314">
        <f t="shared" si="27"/>
        <v>2.25</v>
      </c>
      <c r="O80" s="314">
        <f t="shared" si="27"/>
        <v>20710</v>
      </c>
      <c r="P80" s="314">
        <f t="shared" si="27"/>
        <v>8285.1999999999989</v>
      </c>
      <c r="Q80" s="314">
        <f t="shared" si="27"/>
        <v>2124.08</v>
      </c>
      <c r="R80" s="314">
        <f t="shared" si="27"/>
        <v>0</v>
      </c>
      <c r="S80" s="314">
        <f t="shared" si="27"/>
        <v>-35316</v>
      </c>
      <c r="T80" s="314">
        <f t="shared" si="27"/>
        <v>0</v>
      </c>
      <c r="U80" s="322">
        <f t="shared" si="27"/>
        <v>-173200.24000000002</v>
      </c>
    </row>
  </sheetData>
  <mergeCells count="20"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D66:H66"/>
    <mergeCell ref="I66:I67"/>
    <mergeCell ref="J66:J67"/>
    <mergeCell ref="K66:K67"/>
    <mergeCell ref="L66:U66"/>
  </mergeCells>
  <conditionalFormatting sqref="D51:P51">
    <cfRule type="cellIs" dxfId="12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D2E6B-838C-4D66-B322-217000131963}">
  <sheetPr codeName="Sheet17">
    <tabColor theme="6" tint="0.39997558519241921"/>
    <pageSetUpPr fitToPage="1"/>
  </sheetPr>
  <dimension ref="B1:U97"/>
  <sheetViews>
    <sheetView view="pageBreakPreview" topLeftCell="A6" zoomScale="60" zoomScaleNormal="100" workbookViewId="0">
      <selection activeCell="K18" sqref="K18:K19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172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Entry'!$D$3:$D$500,MATCH(1,INDEX((Girard!$C$7='Cash Flow Entry'!$B$3:$B$500)*(VALUE(Girard!D$7)='Cash Flow Entry'!$C$3:$C$500),0,1),0)),"")</f>
        <v>200</v>
      </c>
      <c r="E8" s="256" cm="1">
        <f t="array" ref="E8">IFERROR(INDEX('Cash Flow Entry'!$D$3:$D$500,MATCH(1,INDEX((Girard!$C$7='Cash Flow Entry'!$B$3:$B$500)*(VALUE(Girard!E$7)='Cash Flow Entry'!$C$3:$C$500),0,1),0)),"")</f>
        <v>201</v>
      </c>
      <c r="F8" s="257" cm="1">
        <f t="array" ref="F8">IFERROR(INDEX('Cash Flow Entry'!$D$3:$D$500,MATCH(1,INDEX((Girard!$C$7='Cash Flow Entry'!$B$3:$B$500)*(VALUE(Girard!F$7)='Cash Flow Entry'!$C$3:$C$500),0,1),0)),"")</f>
        <v>202</v>
      </c>
      <c r="G8" s="255" cm="1">
        <f t="array" ref="G8">IFERROR(INDEX('Cash Flow Entry'!$D$3:$D$500,MATCH(1,INDEX((Girard!$C$7='Cash Flow Entry'!$B$3:$B$500)*(VALUE(Girard!G$7)='Cash Flow Entry'!$C$3:$C$500),0,1),0)),"")</f>
        <v>199</v>
      </c>
      <c r="H8" s="256" cm="1">
        <f t="array" ref="H8">IFERROR(INDEX('Cash Flow Entry'!$D$3:$D$500,MATCH(1,INDEX((Girard!$C$7='Cash Flow Entry'!$B$3:$B$500)*(VALUE(Girard!H$7)='Cash Flow Entry'!$C$3:$C$500),0,1),0)),"")</f>
        <v>196</v>
      </c>
      <c r="I8" s="257" cm="1">
        <f t="array" ref="I8">IFERROR(INDEX('Cash Flow Entry'!$D$3:$D$500,MATCH(1,INDEX((Girard!$C$7='Cash Flow Entry'!$B$3:$B$500)*(VALUE(Girard!I$7)='Cash Flow Entry'!$C$3:$C$500),0,1),0)),"")</f>
        <v>196</v>
      </c>
      <c r="J8" s="256" cm="1">
        <f t="array" ref="J8">IFERROR(INDEX('Cash Flow Entry'!$D$3:$D$500,MATCH(1,INDEX((Girard!$C$7='Cash Flow Entry'!$B$3:$B$500)*(VALUE(Girard!J$7)='Cash Flow Entry'!$C$3:$C$500),0,1),0)),"")</f>
        <v>194</v>
      </c>
      <c r="K8" s="256" cm="1">
        <f t="array" ref="K8">IFERROR(INDEX('Cash Flow Entry'!$D$3:$D$500,MATCH(1,INDEX((Girard!$C$7='Cash Flow Entry'!$B$3:$B$500)*(VALUE(Girard!K$7)='Cash Flow Entry'!$C$3:$C$500),0,1),0)),"")</f>
        <v>193</v>
      </c>
      <c r="L8" s="256" t="str" cm="1">
        <f t="array" ref="L8">IFERROR(INDEX('Cash Flow Entry'!$D$3:$D$500,MATCH(1,INDEX((Girard!$C$7='Cash Flow Entry'!$B$3:$B$500)*(VALUE(Girard!L$7)='Cash Flow Entry'!$C$3:$C$500),0,1),0)),"")</f>
        <v/>
      </c>
      <c r="M8" s="255" t="str" cm="1">
        <f t="array" ref="M8">IFERROR(INDEX('Cash Flow Entry'!$D$3:$D$500,MATCH(1,INDEX((Girard!$C$7='Cash Flow Entry'!$B$3:$B$500)*(VALUE(Girard!M$7)='Cash Flow Entry'!$C$3:$C$500),0,1),0)),"")</f>
        <v/>
      </c>
      <c r="N8" s="256" t="str" cm="1">
        <f t="array" ref="N8">IFERROR(INDEX('Cash Flow Entry'!$D$3:$D$500,MATCH(1,INDEX((Girard!$C$7='Cash Flow Entry'!$B$3:$B$500)*(VALUE(Girard!N$7)='Cash Flow Entry'!$C$3:$C$500),0,1),0)),"")</f>
        <v/>
      </c>
      <c r="O8" s="258" t="str" cm="1">
        <f t="array" ref="O8">IFERROR(INDEX('Cash Flow Entry'!$D$3:$D$500,MATCH(1,INDEX((Girard!$C$7='Cash Flow Entry'!$B$3:$B$500)*(VALUE(Girard!O$7)='Cash Flow Entry'!$C$3:$C$500),0,1),0)),"")</f>
        <v/>
      </c>
      <c r="P8" s="259">
        <f>SUM(D8:O8)</f>
        <v>1581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Entry'!$E$3:$E$500,MATCH(1,INDEX((Girard!$C$7='Cash Flow Entry'!$B$3:$B$500)*(VALUE(Girard!D$7)='Cash Flow Entry'!$C$3:$C$500),0,1),0)),"")</f>
        <v>598</v>
      </c>
      <c r="E9" s="256" cm="1">
        <f t="array" ref="E9">IFERROR(INDEX('Cash Flow Entry'!$E$3:$E$500,MATCH(1,INDEX((Girard!$C$7='Cash Flow Entry'!$B$3:$B$500)*(VALUE(Girard!E$7)='Cash Flow Entry'!$C$3:$C$500),0,1),0)),"")</f>
        <v>598</v>
      </c>
      <c r="F9" s="257" cm="1">
        <f t="array" ref="F9">IFERROR(INDEX('Cash Flow Entry'!$E$3:$E$500,MATCH(1,INDEX((Girard!$C$7='Cash Flow Entry'!$B$3:$B$500)*(VALUE(Girard!F$7)='Cash Flow Entry'!$C$3:$C$500),0,1),0)),"")</f>
        <v>609</v>
      </c>
      <c r="G9" s="255" cm="1">
        <f t="array" ref="G9">IFERROR(INDEX('Cash Flow Entry'!$E$3:$E$500,MATCH(1,INDEX((Girard!$C$7='Cash Flow Entry'!$B$3:$B$500)*(VALUE(Girard!G$7)='Cash Flow Entry'!$C$3:$C$500),0,1),0)),"")</f>
        <v>604</v>
      </c>
      <c r="H9" s="256" cm="1">
        <f t="array" ref="H9">IFERROR(INDEX('Cash Flow Entry'!$E$3:$E$500,MATCH(1,INDEX((Girard!$C$7='Cash Flow Entry'!$B$3:$B$500)*(VALUE(Girard!H$7)='Cash Flow Entry'!$C$3:$C$500),0,1),0)),"")</f>
        <v>601</v>
      </c>
      <c r="I9" s="257" cm="1">
        <f t="array" ref="I9">IFERROR(INDEX('Cash Flow Entry'!$E$3:$E$500,MATCH(1,INDEX((Girard!$C$7='Cash Flow Entry'!$B$3:$B$500)*(VALUE(Girard!I$7)='Cash Flow Entry'!$C$3:$C$500),0,1),0)),"")</f>
        <v>600</v>
      </c>
      <c r="J9" s="256" cm="1">
        <f t="array" ref="J9">IFERROR(INDEX('Cash Flow Entry'!$E$3:$E$500,MATCH(1,INDEX((Girard!$C$7='Cash Flow Entry'!$B$3:$B$500)*(VALUE(Girard!J$7)='Cash Flow Entry'!$C$3:$C$500),0,1),0)),"")</f>
        <v>596</v>
      </c>
      <c r="K9" s="256" cm="1">
        <f t="array" ref="K9">IFERROR(INDEX('Cash Flow Entry'!$E$3:$E$500,MATCH(1,INDEX((Girard!$C$7='Cash Flow Entry'!$B$3:$B$500)*(VALUE(Girard!K$7)='Cash Flow Entry'!$C$3:$C$500),0,1),0)),"")</f>
        <v>590</v>
      </c>
      <c r="L9" s="256" t="str" cm="1">
        <f t="array" ref="L9">IFERROR(INDEX('Cash Flow Entry'!$E$3:$E$500,MATCH(1,INDEX((Girard!$C$7='Cash Flow Entry'!$B$3:$B$500)*(VALUE(Girard!L$7)='Cash Flow Entry'!$C$3:$C$500),0,1),0)),"")</f>
        <v/>
      </c>
      <c r="M9" s="255" t="str" cm="1">
        <f t="array" ref="M9">IFERROR(INDEX('Cash Flow Entry'!$E$3:$E$500,MATCH(1,INDEX((Girard!$C$7='Cash Flow Entry'!$B$3:$B$500)*(VALUE(Girard!M$7)='Cash Flow Entry'!$C$3:$C$500),0,1),0)),"")</f>
        <v/>
      </c>
      <c r="N9" s="256" t="str" cm="1">
        <f t="array" ref="N9">IFERROR(INDEX('Cash Flow Entry'!$E$3:$E$500,MATCH(1,INDEX((Girard!$C$7='Cash Flow Entry'!$B$3:$B$500)*(VALUE(Girard!N$7)='Cash Flow Entry'!$C$3:$C$500),0,1),0)),"")</f>
        <v/>
      </c>
      <c r="O9" s="258" t="str" cm="1">
        <f t="array" ref="O9">IFERROR(INDEX('Cash Flow Entry'!$E$3:$E$500,MATCH(1,INDEX((Girard!$C$7='Cash Flow Entry'!$B$3:$B$500)*(VALUE(Girard!O$7)='Cash Flow Entry'!$C$3:$C$500),0,1),0)),"")</f>
        <v/>
      </c>
      <c r="P9" s="259">
        <f>SUM(D9:O9)</f>
        <v>4796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$1,823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$1,578.58</v>
      </c>
      <c r="N10" s="645"/>
      <c r="O10" s="647"/>
      <c r="P10" s="265">
        <f>P14</f>
        <v>2495738.4</v>
      </c>
      <c r="Q10" s="534">
        <v>1822.72</v>
      </c>
      <c r="R10" s="305">
        <f>Q10*P8</f>
        <v>2881720.3199999998</v>
      </c>
      <c r="S10" s="305"/>
    </row>
    <row r="11" spans="2:20" ht="18.5" x14ac:dyDescent="0.45">
      <c r="B11" s="213" t="s">
        <v>191</v>
      </c>
      <c r="C11" s="267" t="s">
        <v>194</v>
      </c>
      <c r="D11" s="268">
        <v>357253.12</v>
      </c>
      <c r="E11" s="234">
        <v>355430.40000000002</v>
      </c>
      <c r="F11" s="234">
        <v>366366.71999999997</v>
      </c>
      <c r="G11" s="268">
        <v>357253.12</v>
      </c>
      <c r="H11" s="234">
        <v>355430.40000000002</v>
      </c>
      <c r="I11" s="269">
        <v>353607.67999999999</v>
      </c>
      <c r="J11" s="234">
        <v>351784.96000000002</v>
      </c>
      <c r="K11" s="234"/>
      <c r="L11" s="234"/>
      <c r="M11" s="268"/>
      <c r="N11" s="234"/>
      <c r="O11" s="270"/>
      <c r="P11" s="234">
        <f>SUM(D11:O11)</f>
        <v>2497126.3999999999</v>
      </c>
      <c r="Q11" s="302"/>
    </row>
    <row r="12" spans="2:20" ht="18.5" x14ac:dyDescent="0.45">
      <c r="C12" s="267" t="s">
        <v>195</v>
      </c>
      <c r="D12" s="268">
        <f>IF(D$8="","",IF(D$11=0,0,D$8*$Q12))</f>
        <v>-200</v>
      </c>
      <c r="E12" s="234">
        <f t="shared" ref="E12:O12" si="0">IF(E$8="","",IF(E$11=0,0,E$8*$Q12))</f>
        <v>-201</v>
      </c>
      <c r="F12" s="269">
        <f t="shared" si="0"/>
        <v>-202</v>
      </c>
      <c r="G12" s="268">
        <f t="shared" si="0"/>
        <v>-199</v>
      </c>
      <c r="H12" s="234">
        <f t="shared" si="0"/>
        <v>-196</v>
      </c>
      <c r="I12" s="269">
        <f t="shared" si="0"/>
        <v>-196</v>
      </c>
      <c r="J12" s="234">
        <f t="shared" si="0"/>
        <v>-194</v>
      </c>
      <c r="K12" s="234">
        <f t="shared" si="0"/>
        <v>0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-1388</v>
      </c>
      <c r="Q12" s="533">
        <v>-1</v>
      </c>
    </row>
    <row r="13" spans="2:20" ht="18.5" x14ac:dyDescent="0.45">
      <c r="B13" s="213" t="s">
        <v>191</v>
      </c>
      <c r="C13" s="470" t="s">
        <v>196</v>
      </c>
      <c r="D13" s="458">
        <f t="shared" ref="D13:O13" si="2">IF(D$8="","",0)</f>
        <v>0</v>
      </c>
      <c r="E13" s="234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357053.12</v>
      </c>
      <c r="E14" s="274">
        <f t="shared" ref="E14:O14" si="3">IF(E8="","",SUM(E11:E13))</f>
        <v>355229.4</v>
      </c>
      <c r="F14" s="275">
        <f t="shared" si="3"/>
        <v>366164.72</v>
      </c>
      <c r="G14" s="273">
        <f t="shared" si="3"/>
        <v>357054.12</v>
      </c>
      <c r="H14" s="274">
        <f t="shared" si="3"/>
        <v>355234.4</v>
      </c>
      <c r="I14" s="275">
        <f t="shared" si="3"/>
        <v>353411.68</v>
      </c>
      <c r="J14" s="274">
        <f t="shared" si="3"/>
        <v>351590.96</v>
      </c>
      <c r="K14" s="274">
        <f t="shared" si="3"/>
        <v>0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2495738.4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$1,234</v>
      </c>
      <c r="E16" s="645"/>
      <c r="F16" s="646"/>
      <c r="G16" s="644" t="str">
        <f>"Admin, Reinsurance, &amp; Misc. PEPM: "&amp;DOLLAR(SUM($P36,$P42,$P49)/$P$8,0)</f>
        <v>Admin, Reinsurance, &amp; Misc. PEPM: $568</v>
      </c>
      <c r="H16" s="645"/>
      <c r="I16" s="646"/>
      <c r="J16" s="644" t="str">
        <f>"Total Expenses PEPM: "&amp;DOLLAR($P16/$P$8,0)</f>
        <v>Total Expenses PEPM: $1,802</v>
      </c>
      <c r="K16" s="645"/>
      <c r="L16" s="646"/>
      <c r="M16" s="644" t="str">
        <f>"Projection Variance: "&amp;TEXT(($P$16/$P$8)/$Q$10-1,"0.00%")</f>
        <v>Projection Variance: -1.13%</v>
      </c>
      <c r="N16" s="645"/>
      <c r="O16" s="647"/>
      <c r="P16" s="265">
        <f>SUM(P26,P36,P42,P49)</f>
        <v>2849175.7805263158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Entry'!$F$3:$F$500,MATCH(1,INDEX((Girard!$C$7='Cash Flow Entry'!$B$3:$B$500)*(VALUE(Girard!D$7)='Cash Flow Entry'!$C$3:$C$500),0,1),0)),"")+IFERROR(INDEX('Cash Flow Entry'!$H$3:$H$500,MATCH(1,INDEX((Girard!$C$7='Cash Flow Entry'!$B$3:$B$500)*(VALUE(Girard!D$7)='Cash Flow Entry'!$C$3:$C$500),0,1),0)),""),"")</f>
        <v>141541.88</v>
      </c>
      <c r="E18" s="234" cm="1">
        <f t="array" ref="E18">IFERROR(IFERROR(INDEX('Cash Flow Entry'!$F$3:$F$500,MATCH(1,INDEX((Girard!$C$7='Cash Flow Entry'!$B$3:$B$500)*(VALUE(Girard!E$7)='Cash Flow Entry'!$C$3:$C$500),0,1),0)),"")+IFERROR(INDEX('Cash Flow Entry'!$H$3:$H$500,MATCH(1,INDEX((Girard!$C$7='Cash Flow Entry'!$B$3:$B$500)*(VALUE(Girard!E$7)='Cash Flow Entry'!$C$3:$C$500),0,1),0)),""),"")</f>
        <v>214312.55</v>
      </c>
      <c r="F18" s="269" cm="1">
        <f t="array" ref="F18">IFERROR(IFERROR(INDEX('Cash Flow Entry'!$F$3:$F$500,MATCH(1,INDEX((Girard!$C$7='Cash Flow Entry'!$B$3:$B$500)*(VALUE(Girard!F$7)='Cash Flow Entry'!$C$3:$C$500),0,1),0)),"")+IFERROR(INDEX('Cash Flow Entry'!$H$3:$H$500,MATCH(1,INDEX((Girard!$C$7='Cash Flow Entry'!$B$3:$B$500)*(VALUE(Girard!F$7)='Cash Flow Entry'!$C$3:$C$500),0,1),0)),""),"")</f>
        <v>124442.12</v>
      </c>
      <c r="G18" s="268" cm="1">
        <f t="array" ref="G18">IFERROR(IFERROR(INDEX('Cash Flow Entry'!$F$3:$F$500,MATCH(1,INDEX((Girard!$C$7='Cash Flow Entry'!$B$3:$B$500)*(VALUE(Girard!G$7)='Cash Flow Entry'!$C$3:$C$500),0,1),0)),"")+IFERROR(INDEX('Cash Flow Entry'!$H$3:$H$500,MATCH(1,INDEX((Girard!$C$7='Cash Flow Entry'!$B$3:$B$500)*(VALUE(Girard!G$7)='Cash Flow Entry'!$C$3:$C$500),0,1),0)),""),"")</f>
        <v>130214.56</v>
      </c>
      <c r="H18" s="234" cm="1">
        <f t="array" ref="H18">IFERROR(IFERROR(INDEX('Cash Flow Entry'!$F$3:$F$500,MATCH(1,INDEX((Girard!$C$7='Cash Flow Entry'!$B$3:$B$500)*(VALUE(Girard!H$7)='Cash Flow Entry'!$C$3:$C$500),0,1),0)),"")+IFERROR(INDEX('Cash Flow Entry'!$H$3:$H$500,MATCH(1,INDEX((Girard!$C$7='Cash Flow Entry'!$B$3:$B$500)*(VALUE(Girard!H$7)='Cash Flow Entry'!$C$3:$C$500),0,1),0)),""),"")</f>
        <v>236967.56999999998</v>
      </c>
      <c r="I18" s="269" cm="1">
        <f t="array" ref="I18">IFERROR(IFERROR(INDEX('Cash Flow Entry'!$F$3:$F$500,MATCH(1,INDEX((Girard!$C$7='Cash Flow Entry'!$B$3:$B$500)*(VALUE(Girard!I$7)='Cash Flow Entry'!$C$3:$C$500),0,1),0)),"")+IFERROR(INDEX('Cash Flow Entry'!$H$3:$H$500,MATCH(1,INDEX((Girard!$C$7='Cash Flow Entry'!$B$3:$B$500)*(VALUE(Girard!I$7)='Cash Flow Entry'!$C$3:$C$500),0,1),0)),""),"")</f>
        <v>291588.94</v>
      </c>
      <c r="J18" s="234" cm="1">
        <f t="array" ref="J18">IFERROR(IFERROR(INDEX('Cash Flow Entry'!$F$3:$F$500,MATCH(1,INDEX((Girard!$C$7='Cash Flow Entry'!$B$3:$B$500)*(VALUE(Girard!J$7)='Cash Flow Entry'!$C$3:$C$500),0,1),0)),"")+IFERROR(INDEX('Cash Flow Entry'!$H$3:$H$500,MATCH(1,INDEX((Girard!$C$7='Cash Flow Entry'!$B$3:$B$500)*(VALUE(Girard!J$7)='Cash Flow Entry'!$C$3:$C$500),0,1),0)),""),"")</f>
        <v>222663.13999999998</v>
      </c>
      <c r="K18" s="234" cm="1">
        <f t="array" ref="K18">IFERROR(IFERROR(INDEX('Cash Flow Entry'!$F$3:$F$500,MATCH(1,INDEX((Girard!$C$7='Cash Flow Entry'!$B$3:$B$500)*(VALUE(Girard!K$7)='Cash Flow Entry'!$C$3:$C$500),0,1),0)),"")+IFERROR(INDEX('Cash Flow Entry'!$H$3:$H$500,MATCH(1,INDEX((Girard!$C$7='Cash Flow Entry'!$B$3:$B$500)*(VALUE(Girard!K$7)='Cash Flow Entry'!$C$3:$C$500),0,1),0)),""),"")</f>
        <v>148657.56</v>
      </c>
      <c r="L18" s="234" t="str" cm="1">
        <f t="array" ref="L18">IFERROR(IFERROR(INDEX('Cash Flow Entry'!$F$3:$F$500,MATCH(1,INDEX((Girard!$C$7='Cash Flow Entry'!$B$3:$B$500)*(VALUE(Girard!L$7)='Cash Flow Entry'!$C$3:$C$500),0,1),0)),"")+IFERROR(INDEX('Cash Flow Entry'!$H$3:$H$500,MATCH(1,INDEX((Girard!$C$7='Cash Flow Entry'!$B$3:$B$500)*(VALUE(Girard!L$7)='Cash Flow Entry'!$C$3:$C$500),0,1),0)),""),"")</f>
        <v/>
      </c>
      <c r="M18" s="268" t="str" cm="1">
        <f t="array" ref="M18">IFERROR(IFERROR(INDEX('Cash Flow Entry'!$F$3:$F$500,MATCH(1,INDEX((Girard!$C$7='Cash Flow Entry'!$B$3:$B$500)*(VALUE(Girard!M$7)='Cash Flow Entry'!$C$3:$C$500),0,1),0)),"")+IFERROR(INDEX('Cash Flow Entry'!$H$3:$H$500,MATCH(1,INDEX((Girard!$C$7='Cash Flow Entry'!$B$3:$B$500)*(VALUE(Girard!M$7)='Cash Flow Entry'!$C$3:$C$500),0,1),0)),""),"")</f>
        <v/>
      </c>
      <c r="N18" s="234" t="str" cm="1">
        <f t="array" ref="N18">IFERROR(IFERROR(INDEX('Cash Flow Entry'!$F$3:$F$500,MATCH(1,INDEX((Girard!$C$7='Cash Flow Entry'!$B$3:$B$500)*(VALUE(Girard!N$7)='Cash Flow Entry'!$C$3:$C$500),0,1),0)),"")+IFERROR(INDEX('Cash Flow Entry'!$H$3:$H$500,MATCH(1,INDEX((Girard!$C$7='Cash Flow Entry'!$B$3:$B$500)*(VALUE(Girard!N$7)='Cash Flow Entry'!$C$3:$C$500),0,1),0)),""),"")</f>
        <v/>
      </c>
      <c r="O18" s="270" t="str" cm="1">
        <f t="array" ref="O18">IFERROR(IFERROR(INDEX('Cash Flow Entry'!$F$3:$F$500,MATCH(1,INDEX((Girard!$C$7='Cash Flow Entry'!$B$3:$B$500)*(VALUE(Girard!O$7)='Cash Flow Entry'!$C$3:$C$500),0,1),0)),"")+IFERROR(INDEX('Cash Flow Entry'!$H$3:$H$500,MATCH(1,INDEX((Girard!$C$7='Cash Flow Entry'!$B$3:$B$500)*(VALUE(Girard!O$7)='Cash Flow Entry'!$C$3:$C$500),0,1),0)),""),"")</f>
        <v/>
      </c>
      <c r="P18" s="234">
        <f>SUM(D18:O18)</f>
        <v>1510388.3199999998</v>
      </c>
      <c r="Q18" s="533">
        <v>829.04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Entry'!$G$3:$G$500,MATCH(1,INDEX((Girard!$C$7='Cash Flow Entry'!$B$3:$B$500)*(VALUE(Girard!D$7)='Cash Flow Entry'!$C$3:$C$500),0,1),0)),"")</f>
        <v>88330.62</v>
      </c>
      <c r="E19" s="234" cm="1">
        <f t="array" ref="E19">IFERROR(INDEX('Cash Flow Entry'!$G$3:$G$500,MATCH(1,INDEX((Girard!$C$7='Cash Flow Entry'!$B$3:$B$500)*(VALUE(Girard!E$7)='Cash Flow Entry'!$C$3:$C$500),0,1),0)),"")</f>
        <v>116396</v>
      </c>
      <c r="F19" s="269" cm="1">
        <f t="array" ref="F19">IFERROR(INDEX('Cash Flow Entry'!$G$3:$G$500,MATCH(1,INDEX((Girard!$C$7='Cash Flow Entry'!$B$3:$B$500)*(VALUE(Girard!F$7)='Cash Flow Entry'!$C$3:$C$500),0,1),0)),"")</f>
        <v>90836.73</v>
      </c>
      <c r="G19" s="268" cm="1">
        <f t="array" ref="G19">IFERROR(INDEX('Cash Flow Entry'!$G$3:$G$500,MATCH(1,INDEX((Girard!$C$7='Cash Flow Entry'!$B$3:$B$500)*(VALUE(Girard!G$7)='Cash Flow Entry'!$C$3:$C$500),0,1),0)),"")</f>
        <v>99874.97</v>
      </c>
      <c r="H19" s="234" cm="1">
        <f t="array" ref="H19">IFERROR(INDEX('Cash Flow Entry'!$G$3:$G$500,MATCH(1,INDEX((Girard!$C$7='Cash Flow Entry'!$B$3:$B$500)*(VALUE(Girard!H$7)='Cash Flow Entry'!$C$3:$C$500),0,1),0)),"")</f>
        <v>100744.84</v>
      </c>
      <c r="I19" s="269" cm="1">
        <f t="array" ref="I19">IFERROR(INDEX('Cash Flow Entry'!$G$3:$G$500,MATCH(1,INDEX((Girard!$C$7='Cash Flow Entry'!$B$3:$B$500)*(VALUE(Girard!I$7)='Cash Flow Entry'!$C$3:$C$500),0,1),0)),"")</f>
        <v>106964.44</v>
      </c>
      <c r="J19" s="234" cm="1">
        <f t="array" ref="J19">IFERROR(INDEX('Cash Flow Entry'!$G$3:$G$500,MATCH(1,INDEX((Girard!$C$7='Cash Flow Entry'!$B$3:$B$500)*(VALUE(Girard!J$7)='Cash Flow Entry'!$C$3:$C$500),0,1),0)),"")</f>
        <v>80401.73</v>
      </c>
      <c r="K19" s="234" cm="1">
        <f t="array" ref="K19">IFERROR(INDEX('Cash Flow Entry'!$G$3:$G$500,MATCH(1,INDEX((Girard!$C$7='Cash Flow Entry'!$B$3:$B$500)*(VALUE(Girard!K$7)='Cash Flow Entry'!$C$3:$C$500),0,1),0)),"")</f>
        <v>94633.19</v>
      </c>
      <c r="L19" s="234" t="str" cm="1">
        <f t="array" ref="L19">IFERROR(INDEX('Cash Flow Entry'!$G$3:$G$500,MATCH(1,INDEX((Girard!$C$7='Cash Flow Entry'!$B$3:$B$500)*(VALUE(Girard!L$7)='Cash Flow Entry'!$C$3:$C$500),0,1),0)),"")</f>
        <v/>
      </c>
      <c r="M19" s="268" t="str" cm="1">
        <f t="array" ref="M19">IFERROR(INDEX('Cash Flow Entry'!$G$3:$G$500,MATCH(1,INDEX((Girard!$C$7='Cash Flow Entry'!$B$3:$B$500)*(VALUE(Girard!M$7)='Cash Flow Entry'!$C$3:$C$500),0,1),0)),"")</f>
        <v/>
      </c>
      <c r="N19" s="234" t="str" cm="1">
        <f t="array" ref="N19">IFERROR(INDEX('Cash Flow Entry'!$G$3:$G$500,MATCH(1,INDEX((Girard!$C$7='Cash Flow Entry'!$B$3:$B$500)*(VALUE(Girard!N$7)='Cash Flow Entry'!$C$3:$C$500),0,1),0)),"")</f>
        <v/>
      </c>
      <c r="O19" s="270" t="str" cm="1">
        <f t="array" ref="O19">IFERROR(INDEX('Cash Flow Entry'!$G$3:$G$500,MATCH(1,INDEX((Girard!$C$7='Cash Flow Entry'!$B$3:$B$500)*(VALUE(Girard!O$7)='Cash Flow Entry'!$C$3:$C$500),0,1),0)),"")</f>
        <v/>
      </c>
      <c r="P19" s="234">
        <f>SUM(D19:O19)</f>
        <v>778182.51999999979</v>
      </c>
      <c r="Q19" s="533">
        <v>373.45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ht="18.5" x14ac:dyDescent="0.45">
      <c r="B21" s="219">
        <f>INDEX('HCC Summary'!$I$9:$I$27,MATCH(Girard!C7,'HCC Summary'!B9:B27, 0))</f>
        <v>139749.03</v>
      </c>
      <c r="C21" s="282" t="s">
        <v>225</v>
      </c>
      <c r="D21" s="283">
        <v>0</v>
      </c>
      <c r="E21" s="284">
        <v>0</v>
      </c>
      <c r="F21" s="285">
        <v>0</v>
      </c>
      <c r="G21" s="283">
        <v>0</v>
      </c>
      <c r="H21" s="284">
        <v>11013.2</v>
      </c>
      <c r="I21" s="285">
        <v>80572.55</v>
      </c>
      <c r="J21" s="284">
        <v>108633.73</v>
      </c>
      <c r="K21" s="284">
        <v>139749.03</v>
      </c>
      <c r="L21" s="284"/>
      <c r="M21" s="283"/>
      <c r="N21" s="284"/>
      <c r="O21" s="286"/>
      <c r="P21" s="641">
        <f>SUM(D22:O22)</f>
        <v>-139749.03</v>
      </c>
      <c r="Q21" s="533"/>
    </row>
    <row r="22" spans="2:17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0</v>
      </c>
      <c r="F22" s="269">
        <f t="shared" si="5"/>
        <v>0</v>
      </c>
      <c r="G22" s="268">
        <f t="shared" si="5"/>
        <v>0</v>
      </c>
      <c r="H22" s="234">
        <f t="shared" si="5"/>
        <v>-11013.2</v>
      </c>
      <c r="I22" s="269">
        <f t="shared" si="5"/>
        <v>-69559.350000000006</v>
      </c>
      <c r="J22" s="234">
        <f t="shared" si="5"/>
        <v>-28061.179999999993</v>
      </c>
      <c r="K22" s="234">
        <f t="shared" si="5"/>
        <v>-31115.300000000003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7" ht="18.5" x14ac:dyDescent="0.45">
      <c r="C23" s="267" t="s">
        <v>363</v>
      </c>
      <c r="D23" s="268">
        <f>IF(D$8="","",$U68)</f>
        <v>0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0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0</v>
      </c>
      <c r="Q23" s="533"/>
    </row>
    <row r="24" spans="2:17" ht="18.5" x14ac:dyDescent="0.45">
      <c r="C24" s="267" t="s">
        <v>25</v>
      </c>
      <c r="D24" s="268">
        <f>IF(D$8="","",K85)</f>
        <v>-48504.88</v>
      </c>
      <c r="E24" s="234">
        <f>IF(E$8="","",$K86)</f>
        <v>0</v>
      </c>
      <c r="F24" s="269">
        <f>IF(F$8="","",$K87)</f>
        <v>0</v>
      </c>
      <c r="G24" s="234">
        <f>IF(G$8="","",$K88)</f>
        <v>-80888.88</v>
      </c>
      <c r="H24" s="234">
        <f>IF(H$8="","",$K89)</f>
        <v>0</v>
      </c>
      <c r="I24" s="269">
        <f>IF(I$8="","",$K90)</f>
        <v>-85838.45</v>
      </c>
      <c r="J24" s="234">
        <f>IF(J$8="","",$K91)</f>
        <v>0</v>
      </c>
      <c r="K24" s="234">
        <f>IF(K$8="","",$K92)</f>
        <v>0</v>
      </c>
      <c r="L24" s="269" t="str">
        <f>IF(L$8="","",$K93)</f>
        <v/>
      </c>
      <c r="M24" s="234" t="str">
        <f>IF(M$8="","",$K94)</f>
        <v/>
      </c>
      <c r="N24" s="234" t="str">
        <f>IF(N$8="","",$K95)</f>
        <v/>
      </c>
      <c r="O24" s="234" t="str">
        <f>IF(O$8="","",$K96)</f>
        <v/>
      </c>
      <c r="P24" s="474">
        <f t="shared" si="6"/>
        <v>-215232.21000000002</v>
      </c>
      <c r="Q24" s="533">
        <v>0</v>
      </c>
    </row>
    <row r="25" spans="2:17" ht="18.5" x14ac:dyDescent="0.45">
      <c r="B25" s="213"/>
      <c r="C25" s="267" t="s">
        <v>199</v>
      </c>
      <c r="D25" s="268">
        <f>IF(D$8="","",SUM($L68:$R68))</f>
        <v>1677.38</v>
      </c>
      <c r="E25" s="234">
        <f>IF(E$8="","",SUM($L69:$R69))</f>
        <v>4562.6000000000004</v>
      </c>
      <c r="F25" s="269">
        <f>IF(F$8="","",SUM($L70:$R70))</f>
        <v>1483.09</v>
      </c>
      <c r="G25" s="268">
        <f>IF(G$8="","",SUM($L71:$R71))</f>
        <v>2060.8200000000002</v>
      </c>
      <c r="H25" s="234">
        <f>IF(H$8="","",SUM($L72:$R72))</f>
        <v>2232.71</v>
      </c>
      <c r="I25" s="269">
        <f>IF(I$8="","",SUM($L73:$R73))</f>
        <v>860.05</v>
      </c>
      <c r="J25" s="234">
        <f>IF(J$8="","",SUM($L74:$R74))</f>
        <v>2429.2600000000002</v>
      </c>
      <c r="K25" s="234">
        <f>IF(K$8="","",SUM($L75:$S75))</f>
        <v>1504.67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16810.580000000002</v>
      </c>
      <c r="Q25" s="533"/>
    </row>
    <row r="26" spans="2:17" ht="18.5" x14ac:dyDescent="0.45">
      <c r="C26" s="272" t="s">
        <v>200</v>
      </c>
      <c r="D26" s="273">
        <f>IF(D8="","",SUM(D18:D20,D22:D25))</f>
        <v>183045</v>
      </c>
      <c r="E26" s="274">
        <f t="shared" ref="E26:L26" si="7">IF(E8="","",SUM(E18:E20,E22:E25))</f>
        <v>335271.14999999997</v>
      </c>
      <c r="F26" s="275">
        <f t="shared" si="7"/>
        <v>216761.93999999997</v>
      </c>
      <c r="G26" s="273">
        <f t="shared" si="7"/>
        <v>151261.47</v>
      </c>
      <c r="H26" s="274">
        <f t="shared" si="7"/>
        <v>328931.92</v>
      </c>
      <c r="I26" s="275">
        <f t="shared" si="7"/>
        <v>244015.63</v>
      </c>
      <c r="J26" s="273">
        <f t="shared" si="7"/>
        <v>277432.95</v>
      </c>
      <c r="K26" s="274">
        <f t="shared" si="7"/>
        <v>213680.12000000002</v>
      </c>
      <c r="L26" s="275" t="str">
        <f t="shared" si="7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8">IF(O8="","",SUM(O18:O19,O22:O25))</f>
        <v/>
      </c>
      <c r="P26" s="274">
        <f>SUM(P18:P25)</f>
        <v>1950400.1800000002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ht="18.5" x14ac:dyDescent="0.45">
      <c r="C28" s="267" t="s">
        <v>223</v>
      </c>
      <c r="D28" s="268">
        <f>IF(D$8="","",D$8*$Q28)</f>
        <v>8028</v>
      </c>
      <c r="E28" s="234">
        <f t="shared" ref="E28:O35" si="9">IF(E$8="","",E$8*$Q28)</f>
        <v>8068.14</v>
      </c>
      <c r="F28" s="269">
        <f t="shared" si="9"/>
        <v>8108.28</v>
      </c>
      <c r="G28" s="268">
        <f t="shared" si="9"/>
        <v>7987.86</v>
      </c>
      <c r="H28" s="234">
        <f t="shared" si="9"/>
        <v>7867.4400000000005</v>
      </c>
      <c r="I28" s="269">
        <f t="shared" si="9"/>
        <v>7867.4400000000005</v>
      </c>
      <c r="J28" s="234">
        <f t="shared" si="9"/>
        <v>7787.16</v>
      </c>
      <c r="K28" s="234">
        <f t="shared" si="9"/>
        <v>7747.02</v>
      </c>
      <c r="L28" s="234" t="str">
        <f t="shared" si="9"/>
        <v/>
      </c>
      <c r="M28" s="268" t="str">
        <f t="shared" si="9"/>
        <v/>
      </c>
      <c r="N28" s="234" t="str">
        <f t="shared" si="9"/>
        <v/>
      </c>
      <c r="O28" s="270" t="str">
        <f t="shared" si="9"/>
        <v/>
      </c>
      <c r="P28" s="234">
        <f>SUM(D28:O28)</f>
        <v>63461.340000000011</v>
      </c>
      <c r="Q28" s="533">
        <v>40.14</v>
      </c>
    </row>
    <row r="29" spans="2:17" ht="18.5" x14ac:dyDescent="0.45">
      <c r="C29" s="267" t="s">
        <v>224</v>
      </c>
      <c r="D29" s="268">
        <f t="shared" ref="D29:O35" si="10">IF(D$8="","",D$8*$Q29)</f>
        <v>0</v>
      </c>
      <c r="E29" s="234">
        <f t="shared" si="10"/>
        <v>0</v>
      </c>
      <c r="F29" s="234">
        <f t="shared" si="10"/>
        <v>0</v>
      </c>
      <c r="G29" s="268">
        <f t="shared" si="10"/>
        <v>0</v>
      </c>
      <c r="H29" s="234">
        <f t="shared" si="10"/>
        <v>0</v>
      </c>
      <c r="I29" s="234">
        <f t="shared" si="10"/>
        <v>0</v>
      </c>
      <c r="J29" s="268">
        <f t="shared" si="10"/>
        <v>0</v>
      </c>
      <c r="K29" s="234">
        <f t="shared" si="10"/>
        <v>0</v>
      </c>
      <c r="L29" s="234" t="str">
        <f t="shared" si="10"/>
        <v/>
      </c>
      <c r="M29" s="268" t="str">
        <f t="shared" si="10"/>
        <v/>
      </c>
      <c r="N29" s="234" t="str">
        <f t="shared" si="10"/>
        <v/>
      </c>
      <c r="O29" s="234" t="str">
        <f t="shared" si="10"/>
        <v/>
      </c>
      <c r="P29" s="474">
        <f t="shared" ref="P29:P35" si="11">SUM(D29:O29)</f>
        <v>0</v>
      </c>
      <c r="Q29" s="533">
        <v>0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9"/>
        <v>0</v>
      </c>
      <c r="F30" s="234">
        <f t="shared" si="9"/>
        <v>0</v>
      </c>
      <c r="G30" s="268">
        <f t="shared" si="9"/>
        <v>0</v>
      </c>
      <c r="H30" s="234">
        <f t="shared" si="9"/>
        <v>0</v>
      </c>
      <c r="I30" s="234">
        <f t="shared" si="9"/>
        <v>0</v>
      </c>
      <c r="J30" s="268">
        <f t="shared" si="9"/>
        <v>0</v>
      </c>
      <c r="K30" s="234">
        <f t="shared" si="9"/>
        <v>0</v>
      </c>
      <c r="L30" s="234" t="str">
        <f t="shared" si="9"/>
        <v/>
      </c>
      <c r="M30" s="268" t="str">
        <f t="shared" si="9"/>
        <v/>
      </c>
      <c r="N30" s="234" t="str">
        <f t="shared" si="9"/>
        <v/>
      </c>
      <c r="O30" s="270" t="str">
        <f t="shared" si="9"/>
        <v/>
      </c>
      <c r="P30" s="234">
        <f t="shared" si="11"/>
        <v>0</v>
      </c>
      <c r="Q30" s="533">
        <v>0</v>
      </c>
    </row>
    <row r="31" spans="2:17" ht="18.5" x14ac:dyDescent="0.45">
      <c r="C31" s="267" t="s">
        <v>325</v>
      </c>
      <c r="D31" s="268">
        <f t="shared" si="10"/>
        <v>0</v>
      </c>
      <c r="E31" s="234">
        <f t="shared" si="10"/>
        <v>0</v>
      </c>
      <c r="F31" s="234">
        <f t="shared" si="10"/>
        <v>0</v>
      </c>
      <c r="G31" s="268">
        <f t="shared" si="10"/>
        <v>0</v>
      </c>
      <c r="H31" s="234">
        <f t="shared" si="10"/>
        <v>0</v>
      </c>
      <c r="I31" s="234">
        <f t="shared" si="10"/>
        <v>0</v>
      </c>
      <c r="J31" s="268">
        <f t="shared" si="10"/>
        <v>0</v>
      </c>
      <c r="K31" s="234">
        <f t="shared" si="10"/>
        <v>0</v>
      </c>
      <c r="L31" s="234" t="str">
        <f t="shared" si="10"/>
        <v/>
      </c>
      <c r="M31" s="268" t="str">
        <f t="shared" si="10"/>
        <v/>
      </c>
      <c r="N31" s="234" t="str">
        <f t="shared" si="10"/>
        <v/>
      </c>
      <c r="O31" s="270" t="str">
        <f t="shared" si="10"/>
        <v/>
      </c>
      <c r="P31" s="234">
        <f t="shared" si="11"/>
        <v>0</v>
      </c>
      <c r="Q31" s="533">
        <v>0</v>
      </c>
    </row>
    <row r="32" spans="2:17" ht="18.5" x14ac:dyDescent="0.45">
      <c r="C32" s="267" t="s">
        <v>247</v>
      </c>
      <c r="D32" s="268">
        <f t="shared" si="10"/>
        <v>0</v>
      </c>
      <c r="E32" s="234">
        <f t="shared" si="10"/>
        <v>0</v>
      </c>
      <c r="F32" s="269">
        <f t="shared" si="10"/>
        <v>0</v>
      </c>
      <c r="G32" s="268">
        <f t="shared" si="10"/>
        <v>0</v>
      </c>
      <c r="H32" s="234">
        <f t="shared" si="10"/>
        <v>0</v>
      </c>
      <c r="I32" s="269">
        <f t="shared" si="10"/>
        <v>0</v>
      </c>
      <c r="J32" s="234">
        <f t="shared" si="10"/>
        <v>0</v>
      </c>
      <c r="K32" s="234">
        <f t="shared" si="10"/>
        <v>0</v>
      </c>
      <c r="L32" s="234" t="str">
        <f t="shared" si="10"/>
        <v/>
      </c>
      <c r="M32" s="268" t="str">
        <f t="shared" si="10"/>
        <v/>
      </c>
      <c r="N32" s="234" t="str">
        <f t="shared" si="10"/>
        <v/>
      </c>
      <c r="O32" s="270" t="str">
        <f t="shared" si="10"/>
        <v/>
      </c>
      <c r="P32" s="234">
        <f t="shared" si="11"/>
        <v>0</v>
      </c>
      <c r="Q32" s="533">
        <v>0</v>
      </c>
    </row>
    <row r="33" spans="2:18" ht="18.5" x14ac:dyDescent="0.45">
      <c r="C33" s="267" t="s">
        <v>227</v>
      </c>
      <c r="D33" s="268">
        <f t="shared" si="10"/>
        <v>350</v>
      </c>
      <c r="E33" s="234">
        <f t="shared" si="9"/>
        <v>351.75</v>
      </c>
      <c r="F33" s="269">
        <f t="shared" si="9"/>
        <v>353.5</v>
      </c>
      <c r="G33" s="268">
        <f t="shared" si="9"/>
        <v>348.25</v>
      </c>
      <c r="H33" s="234">
        <f t="shared" si="9"/>
        <v>343</v>
      </c>
      <c r="I33" s="269">
        <f t="shared" si="9"/>
        <v>343</v>
      </c>
      <c r="J33" s="234">
        <f t="shared" si="9"/>
        <v>339.5</v>
      </c>
      <c r="K33" s="234">
        <f t="shared" si="9"/>
        <v>337.75</v>
      </c>
      <c r="L33" s="234" t="str">
        <f t="shared" si="9"/>
        <v/>
      </c>
      <c r="M33" s="268" t="str">
        <f t="shared" si="9"/>
        <v/>
      </c>
      <c r="N33" s="234" t="str">
        <f t="shared" si="9"/>
        <v/>
      </c>
      <c r="O33" s="270" t="str">
        <f t="shared" si="9"/>
        <v/>
      </c>
      <c r="P33" s="234">
        <f t="shared" si="11"/>
        <v>2766.75</v>
      </c>
      <c r="Q33" s="533">
        <v>1.75</v>
      </c>
    </row>
    <row r="34" spans="2:18" ht="18.5" x14ac:dyDescent="0.45">
      <c r="C34" s="267" t="s">
        <v>228</v>
      </c>
      <c r="D34" s="268">
        <f t="shared" si="10"/>
        <v>660</v>
      </c>
      <c r="E34" s="234">
        <f t="shared" si="9"/>
        <v>663.3</v>
      </c>
      <c r="F34" s="269">
        <f t="shared" si="9"/>
        <v>666.59999999999991</v>
      </c>
      <c r="G34" s="268">
        <f t="shared" si="9"/>
        <v>656.69999999999993</v>
      </c>
      <c r="H34" s="234">
        <f t="shared" si="9"/>
        <v>646.79999999999995</v>
      </c>
      <c r="I34" s="269">
        <f t="shared" si="9"/>
        <v>646.79999999999995</v>
      </c>
      <c r="J34" s="234">
        <f t="shared" si="9"/>
        <v>640.19999999999993</v>
      </c>
      <c r="K34" s="234">
        <f t="shared" si="9"/>
        <v>636.9</v>
      </c>
      <c r="L34" s="234" t="str">
        <f t="shared" si="9"/>
        <v/>
      </c>
      <c r="M34" s="268" t="str">
        <f t="shared" si="9"/>
        <v/>
      </c>
      <c r="N34" s="234" t="str">
        <f t="shared" si="9"/>
        <v/>
      </c>
      <c r="O34" s="270" t="str">
        <f t="shared" si="9"/>
        <v/>
      </c>
      <c r="P34" s="234">
        <f t="shared" si="11"/>
        <v>5217.2999999999993</v>
      </c>
      <c r="Q34" s="533">
        <v>3.3</v>
      </c>
    </row>
    <row r="35" spans="2:18" ht="18.5" x14ac:dyDescent="0.45">
      <c r="C35" s="267" t="s">
        <v>202</v>
      </c>
      <c r="D35" s="268">
        <f t="shared" si="10"/>
        <v>792</v>
      </c>
      <c r="E35" s="234">
        <f t="shared" si="9"/>
        <v>795.96</v>
      </c>
      <c r="F35" s="269">
        <f t="shared" si="9"/>
        <v>799.92</v>
      </c>
      <c r="G35" s="268">
        <f t="shared" si="9"/>
        <v>788.04</v>
      </c>
      <c r="H35" s="234">
        <f t="shared" si="9"/>
        <v>776.16</v>
      </c>
      <c r="I35" s="269">
        <f t="shared" si="9"/>
        <v>776.16</v>
      </c>
      <c r="J35" s="234">
        <f t="shared" si="9"/>
        <v>768.24</v>
      </c>
      <c r="K35" s="234">
        <f t="shared" si="9"/>
        <v>764.28</v>
      </c>
      <c r="L35" s="234" t="str">
        <f t="shared" si="9"/>
        <v/>
      </c>
      <c r="M35" s="268" t="str">
        <f t="shared" si="9"/>
        <v/>
      </c>
      <c r="N35" s="234" t="str">
        <f t="shared" si="9"/>
        <v/>
      </c>
      <c r="O35" s="270" t="str">
        <f t="shared" si="9"/>
        <v/>
      </c>
      <c r="P35" s="234">
        <f t="shared" si="11"/>
        <v>6260.7599999999993</v>
      </c>
      <c r="Q35" s="533">
        <v>3.96</v>
      </c>
    </row>
    <row r="36" spans="2:18" ht="18.5" x14ac:dyDescent="0.45">
      <c r="C36" s="272" t="s">
        <v>203</v>
      </c>
      <c r="D36" s="273">
        <f t="shared" ref="D36:P36" si="12">IF(D$8="","",SUM(D28:D35))</f>
        <v>9830</v>
      </c>
      <c r="E36" s="274">
        <f t="shared" si="12"/>
        <v>9879.1499999999978</v>
      </c>
      <c r="F36" s="275">
        <f t="shared" si="12"/>
        <v>9928.2999999999993</v>
      </c>
      <c r="G36" s="273">
        <f t="shared" si="12"/>
        <v>9780.8500000000022</v>
      </c>
      <c r="H36" s="274">
        <f t="shared" si="12"/>
        <v>9633.4</v>
      </c>
      <c r="I36" s="275">
        <f t="shared" si="12"/>
        <v>9633.4</v>
      </c>
      <c r="J36" s="274">
        <f t="shared" si="12"/>
        <v>9535.1</v>
      </c>
      <c r="K36" s="274">
        <f t="shared" si="12"/>
        <v>9485.9500000000007</v>
      </c>
      <c r="L36" s="274" t="str">
        <f t="shared" si="12"/>
        <v/>
      </c>
      <c r="M36" s="273" t="str">
        <f t="shared" si="12"/>
        <v/>
      </c>
      <c r="N36" s="274" t="str">
        <f t="shared" si="12"/>
        <v/>
      </c>
      <c r="O36" s="276" t="str">
        <f t="shared" si="12"/>
        <v/>
      </c>
      <c r="P36" s="274">
        <f t="shared" si="12"/>
        <v>77706.150000000009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19754</v>
      </c>
      <c r="E38" s="234">
        <f t="shared" ref="E38:O41" si="13">IF(E$8="","",E$8*$Q38)</f>
        <v>19852.77</v>
      </c>
      <c r="F38" s="269">
        <f t="shared" si="13"/>
        <v>19951.54</v>
      </c>
      <c r="G38" s="268">
        <f t="shared" si="13"/>
        <v>19655.23</v>
      </c>
      <c r="H38" s="234">
        <f t="shared" si="13"/>
        <v>19358.919999999998</v>
      </c>
      <c r="I38" s="269">
        <f t="shared" si="13"/>
        <v>19358.919999999998</v>
      </c>
      <c r="J38" s="234">
        <f t="shared" si="13"/>
        <v>19161.38</v>
      </c>
      <c r="K38" s="234">
        <f t="shared" si="13"/>
        <v>19062.61</v>
      </c>
      <c r="L38" s="234" t="str">
        <f t="shared" si="13"/>
        <v/>
      </c>
      <c r="M38" s="268" t="str">
        <f t="shared" si="13"/>
        <v/>
      </c>
      <c r="N38" s="234" t="str">
        <f t="shared" si="13"/>
        <v/>
      </c>
      <c r="O38" s="270" t="str">
        <f t="shared" si="13"/>
        <v/>
      </c>
      <c r="P38" s="234">
        <f>SUM(D38:O38)</f>
        <v>156155.37</v>
      </c>
      <c r="Q38" s="533">
        <v>98.77</v>
      </c>
    </row>
    <row r="39" spans="2:18" ht="18.5" x14ac:dyDescent="0.45">
      <c r="C39" s="267" t="s">
        <v>205</v>
      </c>
      <c r="D39" s="268">
        <f t="shared" ref="D39:D41" si="14">IF(D$8="","",D$8*$Q39)</f>
        <v>97368</v>
      </c>
      <c r="E39" s="234">
        <f t="shared" si="13"/>
        <v>97854.84</v>
      </c>
      <c r="F39" s="269">
        <f t="shared" si="13"/>
        <v>98341.68</v>
      </c>
      <c r="G39" s="268">
        <f t="shared" si="13"/>
        <v>96881.159999999989</v>
      </c>
      <c r="H39" s="234">
        <f t="shared" si="13"/>
        <v>95420.64</v>
      </c>
      <c r="I39" s="269">
        <f t="shared" ref="I39:O39" si="15">IF(I$8="","",I$8*$R39)</f>
        <v>56220.639999999992</v>
      </c>
      <c r="J39" s="234">
        <f t="shared" si="15"/>
        <v>55646.959999999992</v>
      </c>
      <c r="K39" s="234">
        <f t="shared" si="15"/>
        <v>55360.119999999995</v>
      </c>
      <c r="L39" s="234" t="str">
        <f t="shared" si="15"/>
        <v/>
      </c>
      <c r="M39" s="268" t="str">
        <f t="shared" si="15"/>
        <v/>
      </c>
      <c r="N39" s="234" t="str">
        <f t="shared" si="15"/>
        <v/>
      </c>
      <c r="O39" s="270" t="str">
        <f t="shared" si="15"/>
        <v/>
      </c>
      <c r="P39" s="234">
        <f t="shared" ref="P39:P41" si="16">SUM(D39:O39)</f>
        <v>653094.03999999992</v>
      </c>
      <c r="Q39" s="533">
        <v>486.84</v>
      </c>
      <c r="R39" s="11">
        <f>Q39-200</f>
        <v>286.83999999999997</v>
      </c>
    </row>
    <row r="40" spans="2:18" ht="18.5" x14ac:dyDescent="0.45">
      <c r="C40" s="267" t="s">
        <v>322</v>
      </c>
      <c r="D40" s="268">
        <f t="shared" ref="D40:O40" si="17">IF(D$8="","",D$8*$Q40)</f>
        <v>800</v>
      </c>
      <c r="E40" s="234">
        <f t="shared" si="17"/>
        <v>804</v>
      </c>
      <c r="F40" s="269">
        <f t="shared" si="17"/>
        <v>808</v>
      </c>
      <c r="G40" s="234">
        <f t="shared" si="17"/>
        <v>796</v>
      </c>
      <c r="H40" s="234">
        <f t="shared" si="17"/>
        <v>784</v>
      </c>
      <c r="I40" s="269">
        <f t="shared" si="17"/>
        <v>784</v>
      </c>
      <c r="J40" s="234">
        <f t="shared" si="17"/>
        <v>776</v>
      </c>
      <c r="K40" s="234">
        <f t="shared" si="17"/>
        <v>772</v>
      </c>
      <c r="L40" s="234" t="str">
        <f t="shared" si="17"/>
        <v/>
      </c>
      <c r="M40" s="268" t="str">
        <f t="shared" si="17"/>
        <v/>
      </c>
      <c r="N40" s="234" t="str">
        <f t="shared" si="17"/>
        <v/>
      </c>
      <c r="O40" s="270" t="str">
        <f t="shared" si="17"/>
        <v/>
      </c>
      <c r="P40" s="234">
        <f>SUM(D40:O40)</f>
        <v>6324</v>
      </c>
      <c r="Q40" s="533">
        <v>4</v>
      </c>
    </row>
    <row r="41" spans="2:18" ht="18.5" x14ac:dyDescent="0.45">
      <c r="C41" s="267" t="s">
        <v>206</v>
      </c>
      <c r="D41" s="268">
        <f t="shared" si="14"/>
        <v>576</v>
      </c>
      <c r="E41" s="234">
        <f t="shared" si="13"/>
        <v>578.88</v>
      </c>
      <c r="F41" s="269">
        <f t="shared" si="13"/>
        <v>581.76</v>
      </c>
      <c r="G41" s="268">
        <f t="shared" si="13"/>
        <v>573.12</v>
      </c>
      <c r="H41" s="234">
        <f t="shared" si="13"/>
        <v>564.48</v>
      </c>
      <c r="I41" s="269">
        <f t="shared" si="13"/>
        <v>564.48</v>
      </c>
      <c r="J41" s="234">
        <f t="shared" si="13"/>
        <v>558.72</v>
      </c>
      <c r="K41" s="234">
        <f t="shared" si="13"/>
        <v>555.84</v>
      </c>
      <c r="L41" s="234" t="str">
        <f t="shared" si="13"/>
        <v/>
      </c>
      <c r="M41" s="268" t="str">
        <f t="shared" si="13"/>
        <v/>
      </c>
      <c r="N41" s="234" t="str">
        <f t="shared" si="13"/>
        <v/>
      </c>
      <c r="O41" s="270" t="str">
        <f t="shared" si="13"/>
        <v/>
      </c>
      <c r="P41" s="234">
        <f t="shared" si="16"/>
        <v>4553.2800000000007</v>
      </c>
      <c r="Q41" s="533">
        <v>2.88</v>
      </c>
    </row>
    <row r="42" spans="2:18" ht="18.5" x14ac:dyDescent="0.45">
      <c r="C42" s="272" t="s">
        <v>207</v>
      </c>
      <c r="D42" s="273">
        <f t="shared" ref="D42:P42" si="18">IF(D$8="","",SUM(D38:D41))</f>
        <v>118498</v>
      </c>
      <c r="E42" s="274">
        <f t="shared" si="18"/>
        <v>119090.49</v>
      </c>
      <c r="F42" s="275">
        <f t="shared" si="18"/>
        <v>119682.98</v>
      </c>
      <c r="G42" s="273">
        <f t="shared" si="18"/>
        <v>117905.50999999998</v>
      </c>
      <c r="H42" s="274">
        <f t="shared" si="18"/>
        <v>116128.04</v>
      </c>
      <c r="I42" s="275">
        <f t="shared" si="18"/>
        <v>76928.039999999994</v>
      </c>
      <c r="J42" s="274">
        <f t="shared" si="18"/>
        <v>76143.06</v>
      </c>
      <c r="K42" s="274">
        <f t="shared" si="18"/>
        <v>75750.569999999992</v>
      </c>
      <c r="L42" s="274" t="str">
        <f t="shared" si="18"/>
        <v/>
      </c>
      <c r="M42" s="273" t="str">
        <f t="shared" si="18"/>
        <v/>
      </c>
      <c r="N42" s="274" t="str">
        <f t="shared" si="18"/>
        <v/>
      </c>
      <c r="O42" s="276" t="str">
        <f t="shared" si="18"/>
        <v/>
      </c>
      <c r="P42" s="274">
        <f t="shared" si="18"/>
        <v>820126.69</v>
      </c>
      <c r="Q42" s="30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 t="s">
        <v>191</v>
      </c>
      <c r="C44" s="267" t="s">
        <v>209</v>
      </c>
      <c r="D44" s="268">
        <f t="shared" ref="D44:O48" si="19">IF(D$8="","",0)</f>
        <v>0</v>
      </c>
      <c r="E44" s="234">
        <f t="shared" si="19"/>
        <v>0</v>
      </c>
      <c r="F44" s="234">
        <f t="shared" si="19"/>
        <v>0</v>
      </c>
      <c r="G44" s="268">
        <f>416.5/19</f>
        <v>21.921052631578949</v>
      </c>
      <c r="H44" s="234">
        <f t="shared" si="19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19"/>
        <v/>
      </c>
      <c r="M44" s="268" t="str">
        <f t="shared" si="19"/>
        <v/>
      </c>
      <c r="N44" s="234" t="str">
        <f t="shared" si="19"/>
        <v/>
      </c>
      <c r="O44" s="234" t="str">
        <f t="shared" si="19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19"/>
        <v>0</v>
      </c>
      <c r="E45" s="234">
        <f t="shared" si="19"/>
        <v>0</v>
      </c>
      <c r="F45" s="269">
        <f t="shared" si="19"/>
        <v>0</v>
      </c>
      <c r="G45" s="268">
        <f t="shared" si="19"/>
        <v>0</v>
      </c>
      <c r="H45" s="234">
        <f>15600/19</f>
        <v>821.0526315789474</v>
      </c>
      <c r="I45" s="234">
        <f t="shared" si="19"/>
        <v>0</v>
      </c>
      <c r="J45" s="268">
        <f t="shared" si="19"/>
        <v>0</v>
      </c>
      <c r="K45" s="234">
        <f t="shared" si="19"/>
        <v>0</v>
      </c>
      <c r="L45" s="234" t="str">
        <f t="shared" si="19"/>
        <v/>
      </c>
      <c r="M45" s="268" t="str">
        <f t="shared" si="19"/>
        <v/>
      </c>
      <c r="N45" s="234" t="str">
        <f t="shared" si="19"/>
        <v/>
      </c>
      <c r="O45" s="234" t="str">
        <f t="shared" si="19"/>
        <v/>
      </c>
      <c r="P45" s="474">
        <f t="shared" ref="P45:P48" si="20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19"/>
        <v>0</v>
      </c>
      <c r="E46" s="234">
        <f t="shared" si="19"/>
        <v>0</v>
      </c>
      <c r="F46" s="269">
        <f t="shared" si="19"/>
        <v>0</v>
      </c>
      <c r="G46" s="268">
        <f t="shared" si="19"/>
        <v>0</v>
      </c>
      <c r="H46" s="234">
        <f t="shared" si="19"/>
        <v>0</v>
      </c>
      <c r="I46" s="234">
        <f t="shared" si="19"/>
        <v>0</v>
      </c>
      <c r="J46" s="268">
        <f t="shared" si="19"/>
        <v>0</v>
      </c>
      <c r="K46" s="234">
        <f t="shared" si="19"/>
        <v>0</v>
      </c>
      <c r="L46" s="234" t="str">
        <f t="shared" si="19"/>
        <v/>
      </c>
      <c r="M46" s="268" t="str">
        <f t="shared" si="19"/>
        <v/>
      </c>
      <c r="N46" s="234" t="str">
        <f t="shared" si="19"/>
        <v/>
      </c>
      <c r="O46" s="234" t="str">
        <f t="shared" si="19"/>
        <v/>
      </c>
      <c r="P46" s="474">
        <f t="shared" si="20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19"/>
        <v>0</v>
      </c>
      <c r="E47" s="234">
        <f t="shared" si="19"/>
        <v>0</v>
      </c>
      <c r="F47" s="234">
        <f t="shared" si="19"/>
        <v>0</v>
      </c>
      <c r="G47" s="268">
        <f t="shared" si="19"/>
        <v>0</v>
      </c>
      <c r="H47" s="234">
        <f t="shared" si="19"/>
        <v>0</v>
      </c>
      <c r="I47" s="234">
        <f t="shared" si="19"/>
        <v>0</v>
      </c>
      <c r="J47" s="268">
        <f t="shared" si="19"/>
        <v>0</v>
      </c>
      <c r="K47" s="234">
        <f t="shared" si="19"/>
        <v>0</v>
      </c>
      <c r="L47" s="234" t="str">
        <f t="shared" si="19"/>
        <v/>
      </c>
      <c r="M47" s="268" t="str">
        <f t="shared" si="19"/>
        <v/>
      </c>
      <c r="N47" s="234" t="str">
        <f t="shared" si="19"/>
        <v/>
      </c>
      <c r="O47" s="270" t="str">
        <f t="shared" si="19"/>
        <v/>
      </c>
      <c r="P47" s="234">
        <f t="shared" si="20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19"/>
        <v>0</v>
      </c>
      <c r="F48" s="456">
        <f t="shared" si="19"/>
        <v>0</v>
      </c>
      <c r="G48" s="458">
        <f t="shared" si="19"/>
        <v>0</v>
      </c>
      <c r="H48" s="234">
        <f t="shared" si="19"/>
        <v>0</v>
      </c>
      <c r="I48" s="456">
        <f t="shared" si="19"/>
        <v>0</v>
      </c>
      <c r="J48" s="268">
        <f t="shared" si="19"/>
        <v>0</v>
      </c>
      <c r="K48" s="457">
        <f t="shared" si="19"/>
        <v>0</v>
      </c>
      <c r="L48" s="456" t="str">
        <f t="shared" si="19"/>
        <v/>
      </c>
      <c r="M48" s="458" t="str">
        <f t="shared" si="19"/>
        <v/>
      </c>
      <c r="N48" s="234" t="str">
        <f t="shared" si="19"/>
        <v/>
      </c>
      <c r="O48" s="525" t="str">
        <f t="shared" si="19"/>
        <v/>
      </c>
      <c r="P48" s="475">
        <f t="shared" si="20"/>
        <v>0</v>
      </c>
      <c r="Q48" s="244"/>
    </row>
    <row r="49" spans="2:17" ht="18.5" x14ac:dyDescent="0.45">
      <c r="C49" s="272" t="s">
        <v>229</v>
      </c>
      <c r="D49" s="273">
        <f t="shared" ref="D49:P49" si="21">IF(D$8="","",SUM(D44:D48))</f>
        <v>0</v>
      </c>
      <c r="E49" s="274">
        <f t="shared" si="21"/>
        <v>0</v>
      </c>
      <c r="F49" s="275">
        <f t="shared" si="21"/>
        <v>0</v>
      </c>
      <c r="G49" s="273">
        <f t="shared" si="21"/>
        <v>21.921052631578949</v>
      </c>
      <c r="H49" s="274">
        <f t="shared" si="21"/>
        <v>821.0526315789474</v>
      </c>
      <c r="I49" s="275">
        <f t="shared" si="21"/>
        <v>12.102631578947367</v>
      </c>
      <c r="J49" s="274">
        <f t="shared" si="21"/>
        <v>31.315789473684209</v>
      </c>
      <c r="K49" s="274">
        <f t="shared" si="21"/>
        <v>56.368421052631582</v>
      </c>
      <c r="L49" s="274" t="str">
        <f t="shared" si="21"/>
        <v/>
      </c>
      <c r="M49" s="273" t="str">
        <f t="shared" si="21"/>
        <v/>
      </c>
      <c r="N49" s="274" t="str">
        <f t="shared" si="21"/>
        <v/>
      </c>
      <c r="O49" s="276" t="str">
        <f t="shared" si="21"/>
        <v/>
      </c>
      <c r="P49" s="557">
        <f t="shared" si="21"/>
        <v>942.76052631578955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45680.119999999995</v>
      </c>
      <c r="E51" s="289">
        <f>IF(E8="","",E14-SUM(E26,E36,E42,E49))</f>
        <v>-109011.38999999996</v>
      </c>
      <c r="F51" s="290">
        <f>IF(F8="","",F14-SUM(F26,F36,F42,F49))</f>
        <v>19791.5</v>
      </c>
      <c r="G51" s="288">
        <f>IF(G8="","",G14-SUM(G26,G36,G42,G49))</f>
        <v>78084.368947368464</v>
      </c>
      <c r="H51" s="289">
        <f>IF(H8="","",H14-SUM(H26,H36,H42,H49))</f>
        <v>-100280.01263157889</v>
      </c>
      <c r="I51" s="290">
        <f>IF(I8="","",I14-SUM(I26,I36,I42,I49))</f>
        <v>22822.507368421066</v>
      </c>
      <c r="J51" s="289">
        <f>IF(J8="","",J14-SUM(J26,J36,J42,J49))</f>
        <v>-11551.465789473674</v>
      </c>
      <c r="K51" s="289">
        <f>IF(K8="","",K14-SUM(K26,K36,K42,K49))</f>
        <v>-298973.00842105265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-353437.38052631589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121203.95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-232233.43052631587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200</v>
      </c>
      <c r="E56" s="234">
        <f>IF(E12="","",-E12)</f>
        <v>201</v>
      </c>
      <c r="F56" s="269">
        <f>IF(F12="","",-F12)</f>
        <v>202</v>
      </c>
      <c r="G56" s="268">
        <f>IF(G12="","",-G12)</f>
        <v>199</v>
      </c>
      <c r="H56" s="234">
        <f>IF(H12="","",-H12)</f>
        <v>196</v>
      </c>
      <c r="I56" s="269">
        <f>IF(I12="","",-I12)</f>
        <v>196</v>
      </c>
      <c r="J56" s="234">
        <f>IF(J12="","",-J12)</f>
        <v>194</v>
      </c>
      <c r="K56" s="234">
        <f>IF(K12="","",-K12)</f>
        <v>0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1388</v>
      </c>
      <c r="Q56" s="244"/>
    </row>
    <row r="57" spans="2:17" ht="18.5" x14ac:dyDescent="0.45">
      <c r="B57" s="213" t="s">
        <v>191</v>
      </c>
      <c r="C57" s="267" t="s">
        <v>233</v>
      </c>
      <c r="D57" s="268">
        <f>IF(D$8="","",0)</f>
        <v>0</v>
      </c>
      <c r="E57" s="457">
        <f t="shared" ref="E57:O57" si="22">IF(E$8="","",0)</f>
        <v>0</v>
      </c>
      <c r="F57" s="456">
        <f t="shared" si="22"/>
        <v>0</v>
      </c>
      <c r="G57" s="268">
        <v>-5268.68</v>
      </c>
      <c r="H57" s="457">
        <f t="shared" si="22"/>
        <v>0</v>
      </c>
      <c r="I57" s="456">
        <f t="shared" si="22"/>
        <v>0</v>
      </c>
      <c r="J57" s="268">
        <f t="shared" si="22"/>
        <v>0</v>
      </c>
      <c r="K57" s="457">
        <f t="shared" si="22"/>
        <v>0</v>
      </c>
      <c r="L57" s="456" t="str">
        <f t="shared" si="22"/>
        <v/>
      </c>
      <c r="M57" s="268" t="str">
        <f t="shared" si="22"/>
        <v/>
      </c>
      <c r="N57" s="457" t="str">
        <f t="shared" si="22"/>
        <v/>
      </c>
      <c r="O57" s="457" t="str">
        <f t="shared" si="22"/>
        <v/>
      </c>
      <c r="P57" s="475">
        <f>SUM(D57:O57)</f>
        <v>-5268.68</v>
      </c>
      <c r="Q57" s="244"/>
    </row>
    <row r="58" spans="2:17" ht="18.5" x14ac:dyDescent="0.45">
      <c r="C58" s="296" t="s">
        <v>234</v>
      </c>
      <c r="D58" s="297">
        <f>IF(D$8="","",SUM(D56:D57))</f>
        <v>200</v>
      </c>
      <c r="E58" s="298">
        <f t="shared" ref="E58:O58" si="23">IF(E$8="","",SUM(E56:E57))</f>
        <v>201</v>
      </c>
      <c r="F58" s="299">
        <f t="shared" si="23"/>
        <v>202</v>
      </c>
      <c r="G58" s="297">
        <f t="shared" si="23"/>
        <v>-5069.68</v>
      </c>
      <c r="H58" s="298">
        <f t="shared" si="23"/>
        <v>196</v>
      </c>
      <c r="I58" s="299">
        <f t="shared" si="23"/>
        <v>196</v>
      </c>
      <c r="J58" s="298">
        <f t="shared" si="23"/>
        <v>194</v>
      </c>
      <c r="K58" s="298">
        <f t="shared" si="23"/>
        <v>0</v>
      </c>
      <c r="L58" s="298" t="str">
        <f t="shared" si="23"/>
        <v/>
      </c>
      <c r="M58" s="297" t="str">
        <f t="shared" si="23"/>
        <v/>
      </c>
      <c r="N58" s="298" t="str">
        <f t="shared" si="23"/>
        <v/>
      </c>
      <c r="O58" s="300" t="str">
        <f t="shared" si="23"/>
        <v/>
      </c>
      <c r="P58" s="298">
        <f>SUM(P56:P57)</f>
        <v>-3880.6800000000003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54020.84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50140.159999999996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22666.82</v>
      </c>
      <c r="E68" s="246">
        <v>21385.11</v>
      </c>
      <c r="F68" s="246">
        <v>20385.3</v>
      </c>
      <c r="G68" s="246">
        <v>77098.52</v>
      </c>
      <c r="H68" s="246">
        <v>0</v>
      </c>
      <c r="I68" s="308">
        <f>8828+1000-200</f>
        <v>9628</v>
      </c>
      <c r="J68" s="309">
        <f>SUM(D68:I68)</f>
        <v>151163.75</v>
      </c>
      <c r="K68" s="310">
        <v>200</v>
      </c>
      <c r="L68" s="307">
        <f>971.35+24.7</f>
        <v>996.05000000000007</v>
      </c>
      <c r="M68" s="246">
        <v>0</v>
      </c>
      <c r="N68" s="246">
        <v>0</v>
      </c>
      <c r="O68" s="246">
        <f>60+110</f>
        <v>170</v>
      </c>
      <c r="P68" s="246">
        <f>236.84</f>
        <v>236.84</v>
      </c>
      <c r="Q68" s="246">
        <f>228.65+26.18+19.66</f>
        <v>274.49</v>
      </c>
      <c r="R68" s="246">
        <v>0</v>
      </c>
      <c r="S68" s="246">
        <v>0</v>
      </c>
      <c r="T68" s="246">
        <v>0</v>
      </c>
      <c r="U68" s="323">
        <v>0</v>
      </c>
    </row>
    <row r="69" spans="3:21" ht="18.5" x14ac:dyDescent="0.45">
      <c r="C69" s="306" t="str">
        <f>Addendum!E11</f>
        <v>August</v>
      </c>
      <c r="D69" s="307">
        <v>30220.52</v>
      </c>
      <c r="E69" s="246">
        <v>32581.88</v>
      </c>
      <c r="F69" s="246">
        <v>38313.47</v>
      </c>
      <c r="G69" s="246">
        <v>63455.78</v>
      </c>
      <c r="H69" s="246">
        <v>50361.27</v>
      </c>
      <c r="I69" s="308">
        <f>9877.14-201</f>
        <v>9676.14</v>
      </c>
      <c r="J69" s="309">
        <f t="shared" ref="J69:J79" si="24">SUM(D69:I69)</f>
        <v>224609.06</v>
      </c>
      <c r="K69" s="311">
        <v>201</v>
      </c>
      <c r="L69" s="307">
        <f>211.93-11.21+26.33+31+181.68</f>
        <v>439.73</v>
      </c>
      <c r="M69" s="246">
        <v>0</v>
      </c>
      <c r="N69" s="246">
        <f>1000</f>
        <v>1000</v>
      </c>
      <c r="O69" s="246">
        <f>300+1320</f>
        <v>1620</v>
      </c>
      <c r="P69" s="246">
        <f>956.71</f>
        <v>956.71</v>
      </c>
      <c r="Q69" s="246">
        <f>11.99+392.74+20.5+20.5+27.5+72.93</f>
        <v>546.16000000000008</v>
      </c>
      <c r="R69" s="246">
        <v>0</v>
      </c>
      <c r="S69" s="246">
        <v>0</v>
      </c>
      <c r="T69" s="246">
        <v>0</v>
      </c>
      <c r="U69" s="323">
        <v>0</v>
      </c>
    </row>
    <row r="70" spans="3:21" ht="18.5" x14ac:dyDescent="0.45">
      <c r="C70" s="306" t="str">
        <f>Addendum!E12</f>
        <v>September</v>
      </c>
      <c r="D70" s="307">
        <v>28776.76</v>
      </c>
      <c r="E70" s="246">
        <v>38113.75</v>
      </c>
      <c r="F70" s="246">
        <v>29184.32</v>
      </c>
      <c r="G70" s="246">
        <v>28386.54</v>
      </c>
      <c r="H70" s="246">
        <v>0</v>
      </c>
      <c r="I70" s="308">
        <f>9828-200</f>
        <v>9628</v>
      </c>
      <c r="J70" s="309">
        <f>SUM(D70:I70)</f>
        <v>134089.37</v>
      </c>
      <c r="K70" s="311">
        <v>200</v>
      </c>
      <c r="L70" s="307">
        <f>48.51+122.44+109.16+769.95</f>
        <v>1050.06</v>
      </c>
      <c r="M70" s="246">
        <v>0</v>
      </c>
      <c r="N70" s="246">
        <v>0</v>
      </c>
      <c r="O70" s="246">
        <f>160+110+110</f>
        <v>380</v>
      </c>
      <c r="P70" s="246">
        <f>10.33</f>
        <v>10.33</v>
      </c>
      <c r="Q70" s="246">
        <f>35.7+7</f>
        <v>42.7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34244.6</v>
      </c>
      <c r="E71" s="246">
        <v>27240.94</v>
      </c>
      <c r="F71" s="246">
        <v>30734.13</v>
      </c>
      <c r="G71" s="246">
        <v>38002.550000000003</v>
      </c>
      <c r="H71" s="246">
        <v>0</v>
      </c>
      <c r="I71" s="308">
        <f>9680.58-197</f>
        <v>9483.58</v>
      </c>
      <c r="J71" s="309">
        <f t="shared" si="24"/>
        <v>139705.79999999999</v>
      </c>
      <c r="K71" s="311">
        <v>197</v>
      </c>
      <c r="L71" s="307">
        <f>91.21+555.47-183.85</f>
        <v>462.83000000000004</v>
      </c>
      <c r="M71" s="246">
        <f>10.33</f>
        <v>10.33</v>
      </c>
      <c r="N71" s="246">
        <v>0</v>
      </c>
      <c r="O71" s="246">
        <f>240+110+770</f>
        <v>1120</v>
      </c>
      <c r="P71" s="246">
        <v>0</v>
      </c>
      <c r="Q71" s="246">
        <f>-19.84+49.35+21.35+366.55+50.25</f>
        <v>467.66</v>
      </c>
      <c r="R71" s="246">
        <v>0</v>
      </c>
      <c r="S71" s="246">
        <v>0</v>
      </c>
      <c r="T71" s="246">
        <v>0</v>
      </c>
      <c r="U71" s="323">
        <v>0</v>
      </c>
    </row>
    <row r="72" spans="3:21" ht="18.5" x14ac:dyDescent="0.45">
      <c r="C72" s="306" t="str">
        <f>Addendum!E14</f>
        <v>November</v>
      </c>
      <c r="D72" s="307">
        <v>73495.490000000005</v>
      </c>
      <c r="E72" s="246">
        <v>40218.47</v>
      </c>
      <c r="F72" s="246">
        <v>39868.49</v>
      </c>
      <c r="G72" s="246">
        <v>57920.53</v>
      </c>
      <c r="H72" s="246">
        <v>25468.42</v>
      </c>
      <c r="I72" s="308">
        <f>9631.44-196</f>
        <v>9435.44</v>
      </c>
      <c r="J72" s="309">
        <f t="shared" si="24"/>
        <v>246406.84000000003</v>
      </c>
      <c r="K72" s="311">
        <v>196</v>
      </c>
      <c r="L72" s="307">
        <f>-11.31+89.13-20.5-727.06+86.23</f>
        <v>-583.51</v>
      </c>
      <c r="M72" s="246">
        <f>34.3</f>
        <v>34.299999999999997</v>
      </c>
      <c r="N72" s="246">
        <v>0</v>
      </c>
      <c r="O72" s="246">
        <f>400+880+330</f>
        <v>1610</v>
      </c>
      <c r="P72" s="246">
        <f>766.6</f>
        <v>766.6</v>
      </c>
      <c r="Q72" s="246">
        <f>23.61+20.5+36.27+65.32+224.77+20.5+14.35</f>
        <v>405.32000000000005</v>
      </c>
      <c r="R72" s="246">
        <v>0</v>
      </c>
      <c r="S72" s="246">
        <v>0</v>
      </c>
      <c r="T72" s="246">
        <v>0</v>
      </c>
      <c r="U72" s="323">
        <v>0</v>
      </c>
    </row>
    <row r="73" spans="3:21" ht="18.5" x14ac:dyDescent="0.45">
      <c r="C73" s="306" t="str">
        <f>Addendum!E15</f>
        <v>December</v>
      </c>
      <c r="D73" s="307">
        <v>169534.31</v>
      </c>
      <c r="E73" s="246">
        <v>43452.52</v>
      </c>
      <c r="F73" s="246">
        <v>46001.37</v>
      </c>
      <c r="G73" s="246">
        <v>41535.300000000003</v>
      </c>
      <c r="H73" s="246">
        <v>0</v>
      </c>
      <c r="I73" s="308">
        <f>9582.3-195</f>
        <v>9387.2999999999993</v>
      </c>
      <c r="J73" s="309">
        <f t="shared" si="24"/>
        <v>309910.8</v>
      </c>
      <c r="K73" s="311">
        <v>195</v>
      </c>
      <c r="L73" s="307">
        <f>-21.16-8.1+93.29+50.19</f>
        <v>114.22</v>
      </c>
      <c r="M73" s="246">
        <v>0</v>
      </c>
      <c r="N73" s="246">
        <v>0</v>
      </c>
      <c r="O73" s="246">
        <f>220+330</f>
        <v>550</v>
      </c>
      <c r="P73" s="246">
        <f>42.56</f>
        <v>42.56</v>
      </c>
      <c r="Q73" s="246">
        <f>16.54+16.41+96.56+23.76</f>
        <v>153.26999999999998</v>
      </c>
      <c r="R73" s="246">
        <v>0</v>
      </c>
      <c r="S73" s="246">
        <v>0</v>
      </c>
      <c r="T73" s="246">
        <v>0</v>
      </c>
      <c r="U73" s="323">
        <v>0</v>
      </c>
    </row>
    <row r="74" spans="3:21" ht="18.5" x14ac:dyDescent="0.45">
      <c r="C74" s="306" t="str">
        <f>Addendum!E16</f>
        <v>January 2025</v>
      </c>
      <c r="D74" s="307">
        <v>32193.65</v>
      </c>
      <c r="E74" s="246">
        <v>40537.480000000003</v>
      </c>
      <c r="F74" s="246">
        <v>37815.57</v>
      </c>
      <c r="G74" s="246">
        <v>90790.53</v>
      </c>
      <c r="H74" s="246">
        <v>21137.74</v>
      </c>
      <c r="I74" s="308">
        <v>9339.16</v>
      </c>
      <c r="J74" s="309">
        <f t="shared" si="24"/>
        <v>231814.13</v>
      </c>
      <c r="K74" s="311">
        <v>194</v>
      </c>
      <c r="L74" s="307">
        <f>196.53-14.39-27.46-11.31+1.77</f>
        <v>145.13999999999999</v>
      </c>
      <c r="M74" s="246">
        <v>0</v>
      </c>
      <c r="N74" s="246">
        <v>82.66</v>
      </c>
      <c r="O74" s="246">
        <f>300+440+330</f>
        <v>1070</v>
      </c>
      <c r="P74" s="246">
        <f>161.96</f>
        <v>161.96</v>
      </c>
      <c r="Q74" s="246">
        <f>417.21+47.52+504.77</f>
        <v>969.5</v>
      </c>
      <c r="R74" s="246">
        <v>0</v>
      </c>
      <c r="S74" s="246">
        <v>0</v>
      </c>
      <c r="T74" s="246">
        <v>0</v>
      </c>
      <c r="U74" s="323">
        <v>0</v>
      </c>
    </row>
    <row r="75" spans="3:21" ht="18.5" x14ac:dyDescent="0.45">
      <c r="C75" s="306" t="str">
        <f>Addendum!E17</f>
        <v>February</v>
      </c>
      <c r="D75" s="307">
        <v>40998.730000000003</v>
      </c>
      <c r="E75" s="246">
        <v>24067.71</v>
      </c>
      <c r="F75" s="246">
        <v>37383.519999999997</v>
      </c>
      <c r="G75" s="246">
        <v>46468.27</v>
      </c>
      <c r="H75" s="246">
        <v>0</v>
      </c>
      <c r="I75" s="308">
        <v>9339.16</v>
      </c>
      <c r="J75" s="309">
        <f t="shared" si="24"/>
        <v>158257.38999999998</v>
      </c>
      <c r="K75" s="311">
        <v>194</v>
      </c>
      <c r="L75" s="307">
        <f>542.76+14.39-19.37-11.2</f>
        <v>526.57999999999993</v>
      </c>
      <c r="M75" s="246">
        <v>0</v>
      </c>
      <c r="N75" s="246">
        <v>0</v>
      </c>
      <c r="O75" s="246">
        <f>120+660</f>
        <v>780</v>
      </c>
      <c r="P75" s="246">
        <f>74.67</f>
        <v>74.67</v>
      </c>
      <c r="Q75" s="246">
        <f>10.74+162.14+15.86-65.32</f>
        <v>123.42000000000002</v>
      </c>
      <c r="R75" s="246">
        <v>0</v>
      </c>
      <c r="S75" s="246">
        <v>0</v>
      </c>
      <c r="T75" s="246">
        <v>0</v>
      </c>
      <c r="U75" s="323">
        <v>0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4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4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4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4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432130.88</v>
      </c>
      <c r="E80" s="314">
        <f t="shared" ref="E80:J80" si="25">SUM(E68:E79)</f>
        <v>267597.86000000004</v>
      </c>
      <c r="F80" s="314">
        <f t="shared" si="25"/>
        <v>279686.17</v>
      </c>
      <c r="G80" s="314">
        <f t="shared" si="25"/>
        <v>443658.02</v>
      </c>
      <c r="H80" s="314">
        <f t="shared" si="25"/>
        <v>96967.430000000008</v>
      </c>
      <c r="I80" s="315">
        <f t="shared" si="25"/>
        <v>75916.780000000013</v>
      </c>
      <c r="J80" s="316">
        <f t="shared" si="25"/>
        <v>1595957.14</v>
      </c>
      <c r="K80" s="317">
        <f>SUM(K68:K79)</f>
        <v>1577</v>
      </c>
      <c r="L80" s="313">
        <f>SUM(L68:L79)</f>
        <v>3151.0999999999995</v>
      </c>
      <c r="M80" s="314">
        <f t="shared" ref="M80:U80" si="26">SUM(M68:M79)</f>
        <v>44.629999999999995</v>
      </c>
      <c r="N80" s="314">
        <f t="shared" si="26"/>
        <v>1082.6600000000001</v>
      </c>
      <c r="O80" s="314">
        <f t="shared" si="26"/>
        <v>7300</v>
      </c>
      <c r="P80" s="314">
        <f t="shared" si="26"/>
        <v>2249.67</v>
      </c>
      <c r="Q80" s="314">
        <f t="shared" si="26"/>
        <v>2982.5200000000004</v>
      </c>
      <c r="R80" s="314">
        <f t="shared" si="26"/>
        <v>0</v>
      </c>
      <c r="S80" s="314">
        <f t="shared" si="26"/>
        <v>0</v>
      </c>
      <c r="T80" s="314">
        <f t="shared" si="26"/>
        <v>0</v>
      </c>
      <c r="U80" s="322">
        <f t="shared" si="26"/>
        <v>0</v>
      </c>
    </row>
    <row r="82" spans="3:11" ht="15" thickBot="1" x14ac:dyDescent="0.4"/>
    <row r="83" spans="3:11" ht="18.5" x14ac:dyDescent="0.35">
      <c r="D83" s="664" t="s">
        <v>340</v>
      </c>
      <c r="E83" s="665"/>
      <c r="F83" s="665"/>
      <c r="G83" s="665"/>
      <c r="H83" s="665"/>
      <c r="I83" s="666" t="s">
        <v>23</v>
      </c>
      <c r="J83" s="666" t="s">
        <v>347</v>
      </c>
      <c r="K83" s="667" t="s">
        <v>353</v>
      </c>
    </row>
    <row r="84" spans="3:11" ht="18.5" x14ac:dyDescent="0.35">
      <c r="D84" s="318" t="s">
        <v>13</v>
      </c>
      <c r="E84" s="319" t="s">
        <v>14</v>
      </c>
      <c r="F84" s="319" t="s">
        <v>15</v>
      </c>
      <c r="G84" s="319" t="s">
        <v>16</v>
      </c>
      <c r="H84" s="319" t="s">
        <v>17</v>
      </c>
      <c r="I84" s="658"/>
      <c r="J84" s="658"/>
      <c r="K84" s="668"/>
    </row>
    <row r="85" spans="3:11" ht="18.5" x14ac:dyDescent="0.45">
      <c r="C85" s="5" t="str">
        <f>Addendum!E10</f>
        <v>July   2024</v>
      </c>
      <c r="D85" s="307">
        <v>18082</v>
      </c>
      <c r="E85" s="246">
        <v>15802.44</v>
      </c>
      <c r="F85" s="246">
        <v>14230.25</v>
      </c>
      <c r="G85" s="246">
        <v>26374.34</v>
      </c>
      <c r="H85" s="246">
        <v>0</v>
      </c>
      <c r="I85" s="541">
        <f t="shared" ref="I85:I96" si="27">SUM(D85:H85)</f>
        <v>74489.03</v>
      </c>
      <c r="J85" s="541">
        <v>87451.11</v>
      </c>
      <c r="K85" s="560">
        <v>-48504.88</v>
      </c>
    </row>
    <row r="86" spans="3:11" ht="18.5" x14ac:dyDescent="0.45">
      <c r="C86" s="5" t="str">
        <f>Addendum!E11</f>
        <v>August</v>
      </c>
      <c r="D86" s="307">
        <v>31929.72</v>
      </c>
      <c r="E86" s="246">
        <v>35109.19</v>
      </c>
      <c r="F86" s="246">
        <v>11774.95</v>
      </c>
      <c r="G86" s="246">
        <v>35653.019999999997</v>
      </c>
      <c r="H86" s="246">
        <v>0</v>
      </c>
      <c r="I86" s="541">
        <f t="shared" si="27"/>
        <v>114466.88</v>
      </c>
      <c r="J86" s="541">
        <v>117179.98</v>
      </c>
      <c r="K86" s="560">
        <v>0</v>
      </c>
    </row>
    <row r="87" spans="3:11" ht="18.5" x14ac:dyDescent="0.45">
      <c r="C87" s="5" t="str">
        <f>Addendum!E12</f>
        <v>September</v>
      </c>
      <c r="D87" s="307">
        <v>33248.129999999997</v>
      </c>
      <c r="E87" s="246">
        <v>12529.98</v>
      </c>
      <c r="F87" s="246">
        <v>14003.53</v>
      </c>
      <c r="G87" s="246">
        <v>32259.43</v>
      </c>
      <c r="H87" s="246">
        <v>0</v>
      </c>
      <c r="I87" s="541">
        <f t="shared" si="27"/>
        <v>92041.07</v>
      </c>
      <c r="J87" s="541">
        <v>88570.17</v>
      </c>
      <c r="K87" s="560">
        <v>0</v>
      </c>
    </row>
    <row r="88" spans="3:11" ht="18.5" x14ac:dyDescent="0.45">
      <c r="C88" s="5" t="str">
        <f>Addendum!E13</f>
        <v>October</v>
      </c>
      <c r="D88" s="307">
        <v>32036.44</v>
      </c>
      <c r="E88" s="246">
        <v>16263.28</v>
      </c>
      <c r="F88" s="246">
        <v>33762.910000000003</v>
      </c>
      <c r="G88" s="246">
        <v>12520.14</v>
      </c>
      <c r="H88" s="246">
        <v>0</v>
      </c>
      <c r="I88" s="541">
        <f t="shared" si="27"/>
        <v>94582.77</v>
      </c>
      <c r="J88" s="541">
        <v>103297.4</v>
      </c>
      <c r="K88" s="560">
        <v>-80888.88</v>
      </c>
    </row>
    <row r="89" spans="3:11" ht="18.5" x14ac:dyDescent="0.45">
      <c r="C89" s="5" t="str">
        <f>Addendum!E14</f>
        <v>November</v>
      </c>
      <c r="D89" s="307">
        <v>37320.980000000003</v>
      </c>
      <c r="E89" s="246">
        <v>23088.43</v>
      </c>
      <c r="F89" s="246">
        <v>32832.050000000003</v>
      </c>
      <c r="G89" s="246">
        <v>18156.88</v>
      </c>
      <c r="H89" s="246">
        <v>0</v>
      </c>
      <c r="I89" s="541">
        <f t="shared" si="27"/>
        <v>111398.34000000001</v>
      </c>
      <c r="J89" s="541">
        <v>100801.95</v>
      </c>
      <c r="K89" s="560">
        <v>0</v>
      </c>
    </row>
    <row r="90" spans="3:11" ht="18.5" x14ac:dyDescent="0.45">
      <c r="C90" s="5" t="str">
        <f>Addendum!E15</f>
        <v>December</v>
      </c>
      <c r="D90" s="307">
        <v>26689.78</v>
      </c>
      <c r="E90" s="246">
        <v>27932.92</v>
      </c>
      <c r="F90" s="246">
        <v>12713.94</v>
      </c>
      <c r="G90" s="246">
        <v>29911.81</v>
      </c>
      <c r="H90" s="246">
        <v>0</v>
      </c>
      <c r="I90" s="541">
        <f t="shared" si="27"/>
        <v>97248.45</v>
      </c>
      <c r="J90" s="541">
        <v>108366.92</v>
      </c>
      <c r="K90" s="560">
        <v>-85838.45</v>
      </c>
    </row>
    <row r="91" spans="3:11" ht="18.5" x14ac:dyDescent="0.45">
      <c r="C91" s="5" t="str">
        <f>Addendum!E16</f>
        <v>January 2025</v>
      </c>
      <c r="D91" s="307">
        <v>36446.31</v>
      </c>
      <c r="E91" s="246">
        <v>13677.8</v>
      </c>
      <c r="F91" s="246">
        <v>14836.9</v>
      </c>
      <c r="G91" s="246">
        <v>25222.44</v>
      </c>
      <c r="H91" s="246">
        <v>0</v>
      </c>
      <c r="I91" s="541">
        <f t="shared" si="27"/>
        <v>90183.45</v>
      </c>
      <c r="J91" s="541">
        <v>79312.160000000003</v>
      </c>
      <c r="K91" s="560">
        <v>0</v>
      </c>
    </row>
    <row r="92" spans="3:11" ht="18.5" x14ac:dyDescent="0.45">
      <c r="C92" s="5" t="str">
        <f>Addendum!E17</f>
        <v>February</v>
      </c>
      <c r="D92" s="307">
        <v>26864.66</v>
      </c>
      <c r="E92" s="246">
        <v>9519.75</v>
      </c>
      <c r="F92" s="246">
        <v>16989.759999999998</v>
      </c>
      <c r="G92" s="246">
        <v>21936.959999999999</v>
      </c>
      <c r="H92" s="246">
        <v>0</v>
      </c>
      <c r="I92" s="541">
        <f t="shared" si="27"/>
        <v>75311.13</v>
      </c>
      <c r="J92" s="541">
        <v>78940.39</v>
      </c>
      <c r="K92" s="560">
        <v>0</v>
      </c>
    </row>
    <row r="93" spans="3:11" ht="18.5" x14ac:dyDescent="0.45">
      <c r="C93" s="5" t="str">
        <f>Addendum!E18</f>
        <v>March</v>
      </c>
      <c r="D93" s="307"/>
      <c r="E93" s="246"/>
      <c r="F93" s="246"/>
      <c r="G93" s="246"/>
      <c r="H93" s="246"/>
      <c r="I93" s="541">
        <f t="shared" si="27"/>
        <v>0</v>
      </c>
      <c r="J93" s="541"/>
      <c r="K93" s="560"/>
    </row>
    <row r="94" spans="3:11" ht="18.5" x14ac:dyDescent="0.45">
      <c r="C94" s="5" t="str">
        <f>Addendum!E19</f>
        <v>April</v>
      </c>
      <c r="D94" s="307"/>
      <c r="E94" s="246"/>
      <c r="F94" s="246"/>
      <c r="G94" s="246"/>
      <c r="H94" s="246"/>
      <c r="I94" s="541">
        <f t="shared" si="27"/>
        <v>0</v>
      </c>
      <c r="J94" s="541"/>
      <c r="K94" s="560"/>
    </row>
    <row r="95" spans="3:11" ht="18.5" x14ac:dyDescent="0.45">
      <c r="C95" s="5" t="str">
        <f>Addendum!E20</f>
        <v>May</v>
      </c>
      <c r="D95" s="307"/>
      <c r="E95" s="246"/>
      <c r="F95" s="246"/>
      <c r="G95" s="246"/>
      <c r="H95" s="246"/>
      <c r="I95" s="541">
        <f t="shared" si="27"/>
        <v>0</v>
      </c>
      <c r="J95" s="541"/>
      <c r="K95" s="560"/>
    </row>
    <row r="96" spans="3:11" ht="19" thickBot="1" x14ac:dyDescent="0.5">
      <c r="C96" s="5" t="str">
        <f>Addendum!E21</f>
        <v>June</v>
      </c>
      <c r="D96" s="307"/>
      <c r="E96" s="246"/>
      <c r="F96" s="246"/>
      <c r="G96" s="246"/>
      <c r="H96" s="246"/>
      <c r="I96" s="541">
        <f t="shared" si="27"/>
        <v>0</v>
      </c>
      <c r="J96" s="541"/>
      <c r="K96" s="561"/>
    </row>
    <row r="97" spans="4:11" ht="19.5" thickTop="1" thickBot="1" x14ac:dyDescent="0.5">
      <c r="D97" s="313">
        <f>SUM(D85:D96)</f>
        <v>242618.02000000002</v>
      </c>
      <c r="E97" s="314">
        <f t="shared" ref="E97:H97" si="28">SUM(E85:E96)</f>
        <v>153923.79</v>
      </c>
      <c r="F97" s="314">
        <f t="shared" si="28"/>
        <v>151144.29000000004</v>
      </c>
      <c r="G97" s="314">
        <f t="shared" si="28"/>
        <v>202035.02000000002</v>
      </c>
      <c r="H97" s="314">
        <f t="shared" si="28"/>
        <v>0</v>
      </c>
      <c r="I97" s="542">
        <f>SUM(I85:I96)</f>
        <v>749721.12</v>
      </c>
      <c r="J97" s="542">
        <f>SUM(J85:J96)</f>
        <v>763920.08000000007</v>
      </c>
      <c r="K97" s="562">
        <f>SUM(K85:K96)</f>
        <v>-215232.21000000002</v>
      </c>
    </row>
  </sheetData>
  <mergeCells count="24">
    <mergeCell ref="C52:O52"/>
    <mergeCell ref="C53:O53"/>
    <mergeCell ref="D16:F16"/>
    <mergeCell ref="G16:I16"/>
    <mergeCell ref="J16:L16"/>
    <mergeCell ref="M16:O16"/>
    <mergeCell ref="P21:P22"/>
    <mergeCell ref="C2:P2"/>
    <mergeCell ref="C3:P3"/>
    <mergeCell ref="C5:P5"/>
    <mergeCell ref="D10:F10"/>
    <mergeCell ref="M10:O10"/>
    <mergeCell ref="C59:O59"/>
    <mergeCell ref="D83:H83"/>
    <mergeCell ref="I83:I84"/>
    <mergeCell ref="J83:J84"/>
    <mergeCell ref="D66:H66"/>
    <mergeCell ref="I66:I67"/>
    <mergeCell ref="J66:J67"/>
    <mergeCell ref="C60:O60"/>
    <mergeCell ref="K66:K67"/>
    <mergeCell ref="L66:U66"/>
    <mergeCell ref="D65:U65"/>
    <mergeCell ref="K83:K84"/>
  </mergeCells>
  <conditionalFormatting sqref="D51:P51">
    <cfRule type="cellIs" dxfId="11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E327B-4525-4301-9ADE-96B885638D2C}">
  <sheetPr codeName="Sheet18">
    <tabColor theme="6" tint="0.39997558519241921"/>
    <pageSetUpPr fitToPage="1"/>
  </sheetPr>
  <dimension ref="B1:U97"/>
  <sheetViews>
    <sheetView view="pageBreakPreview" topLeftCell="A6" zoomScale="60" zoomScaleNormal="100" workbookViewId="0">
      <selection activeCell="S38" sqref="S38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173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Entry'!$D$3:$D$500,MATCH(1,INDEX((HarborCreek!$C$7='Cash Flow Entry'!$B$3:$B$500)*(VALUE(HarborCreek!D$7)='Cash Flow Entry'!$C$3:$C$500),0,1),0)),"")</f>
        <v>214</v>
      </c>
      <c r="E8" s="256" cm="1">
        <f t="array" ref="E8">IFERROR(INDEX('Cash Flow Entry'!$D$3:$D$500,MATCH(1,INDEX((HarborCreek!$C$7='Cash Flow Entry'!$B$3:$B$500)*(VALUE(HarborCreek!E$7)='Cash Flow Entry'!$C$3:$C$500),0,1),0)),"")</f>
        <v>220</v>
      </c>
      <c r="F8" s="257" cm="1">
        <f t="array" ref="F8">IFERROR(INDEX('Cash Flow Entry'!$D$3:$D$500,MATCH(1,INDEX((HarborCreek!$C$7='Cash Flow Entry'!$B$3:$B$500)*(VALUE(HarborCreek!F$7)='Cash Flow Entry'!$C$3:$C$500),0,1),0)),"")</f>
        <v>223</v>
      </c>
      <c r="G8" s="255" cm="1">
        <f t="array" ref="G8">IFERROR(INDEX('Cash Flow Entry'!$D$3:$D$500,MATCH(1,INDEX((HarborCreek!$C$7='Cash Flow Entry'!$B$3:$B$500)*(VALUE(HarborCreek!G$7)='Cash Flow Entry'!$C$3:$C$500),0,1),0)),"")</f>
        <v>218</v>
      </c>
      <c r="H8" s="256" cm="1">
        <f t="array" ref="H8">IFERROR(INDEX('Cash Flow Entry'!$D$3:$D$500,MATCH(1,INDEX((HarborCreek!$C$7='Cash Flow Entry'!$B$3:$B$500)*(VALUE(HarborCreek!H$7)='Cash Flow Entry'!$C$3:$C$500),0,1),0)),"")</f>
        <v>218</v>
      </c>
      <c r="I8" s="257" cm="1">
        <f t="array" ref="I8">IFERROR(INDEX('Cash Flow Entry'!$D$3:$D$500,MATCH(1,INDEX((HarborCreek!$C$7='Cash Flow Entry'!$B$3:$B$500)*(VALUE(HarborCreek!I$7)='Cash Flow Entry'!$C$3:$C$500),0,1),0)),"")</f>
        <v>220</v>
      </c>
      <c r="J8" s="256" cm="1">
        <f t="array" ref="J8">IFERROR(INDEX('Cash Flow Entry'!$D$3:$D$500,MATCH(1,INDEX((HarborCreek!$C$7='Cash Flow Entry'!$B$3:$B$500)*(VALUE(HarborCreek!J$7)='Cash Flow Entry'!$C$3:$C$500),0,1),0)),"")</f>
        <v>222</v>
      </c>
      <c r="K8" s="256" cm="1">
        <f t="array" ref="K8">IFERROR(INDEX('Cash Flow Entry'!$D$3:$D$500,MATCH(1,INDEX((HarborCreek!$C$7='Cash Flow Entry'!$B$3:$B$500)*(VALUE(HarborCreek!K$7)='Cash Flow Entry'!$C$3:$C$500),0,1),0)),"")</f>
        <v>222</v>
      </c>
      <c r="L8" s="256" t="str" cm="1">
        <f t="array" ref="L8">IFERROR(INDEX('Cash Flow Entry'!$D$3:$D$500,MATCH(1,INDEX((HarborCreek!$C$7='Cash Flow Entry'!$B$3:$B$500)*(VALUE(HarborCreek!L$7)='Cash Flow Entry'!$C$3:$C$500),0,1),0)),"")</f>
        <v/>
      </c>
      <c r="M8" s="255" t="str" cm="1">
        <f t="array" ref="M8">IFERROR(INDEX('Cash Flow Entry'!$D$3:$D$500,MATCH(1,INDEX((HarborCreek!$C$7='Cash Flow Entry'!$B$3:$B$500)*(VALUE(HarborCreek!M$7)='Cash Flow Entry'!$C$3:$C$500),0,1),0)),"")</f>
        <v/>
      </c>
      <c r="N8" s="256" t="str" cm="1">
        <f t="array" ref="N8">IFERROR(INDEX('Cash Flow Entry'!$D$3:$D$500,MATCH(1,INDEX((HarborCreek!$C$7='Cash Flow Entry'!$B$3:$B$500)*(VALUE(HarborCreek!N$7)='Cash Flow Entry'!$C$3:$C$500),0,1),0)),"")</f>
        <v/>
      </c>
      <c r="O8" s="258" t="str" cm="1">
        <f t="array" ref="O8">IFERROR(INDEX('Cash Flow Entry'!$D$3:$D$500,MATCH(1,INDEX((HarborCreek!$C$7='Cash Flow Entry'!$B$3:$B$500)*(VALUE(HarborCreek!O$7)='Cash Flow Entry'!$C$3:$C$500),0,1),0)),"")</f>
        <v/>
      </c>
      <c r="P8" s="259">
        <f>SUM(D8:O8)</f>
        <v>1757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Entry'!$E$3:$E$500,MATCH(1,INDEX((HarborCreek!$C$7='Cash Flow Entry'!$B$3:$B$500)*(VALUE(HarborCreek!D$7)='Cash Flow Entry'!$C$3:$C$500),0,1),0)),"")</f>
        <v>634</v>
      </c>
      <c r="E9" s="256" cm="1">
        <f t="array" ref="E9">IFERROR(INDEX('Cash Flow Entry'!$E$3:$E$500,MATCH(1,INDEX((HarborCreek!$C$7='Cash Flow Entry'!$B$3:$B$500)*(VALUE(HarborCreek!E$7)='Cash Flow Entry'!$C$3:$C$500),0,1),0)),"")</f>
        <v>652</v>
      </c>
      <c r="F9" s="257" cm="1">
        <f t="array" ref="F9">IFERROR(INDEX('Cash Flow Entry'!$E$3:$E$500,MATCH(1,INDEX((HarborCreek!$C$7='Cash Flow Entry'!$B$3:$B$500)*(VALUE(HarborCreek!F$7)='Cash Flow Entry'!$C$3:$C$500),0,1),0)),"")</f>
        <v>671</v>
      </c>
      <c r="G9" s="255" cm="1">
        <f t="array" ref="G9">IFERROR(INDEX('Cash Flow Entry'!$E$3:$E$500,MATCH(1,INDEX((HarborCreek!$C$7='Cash Flow Entry'!$B$3:$B$500)*(VALUE(HarborCreek!G$7)='Cash Flow Entry'!$C$3:$C$500),0,1),0)),"")</f>
        <v>657</v>
      </c>
      <c r="H9" s="256" cm="1">
        <f t="array" ref="H9">IFERROR(INDEX('Cash Flow Entry'!$E$3:$E$500,MATCH(1,INDEX((HarborCreek!$C$7='Cash Flow Entry'!$B$3:$B$500)*(VALUE(HarborCreek!H$7)='Cash Flow Entry'!$C$3:$C$500),0,1),0)),"")</f>
        <v>656</v>
      </c>
      <c r="I9" s="257" cm="1">
        <f t="array" ref="I9">IFERROR(INDEX('Cash Flow Entry'!$E$3:$E$500,MATCH(1,INDEX((HarborCreek!$C$7='Cash Flow Entry'!$B$3:$B$500)*(VALUE(HarborCreek!I$7)='Cash Flow Entry'!$C$3:$C$500),0,1),0)),"")</f>
        <v>655</v>
      </c>
      <c r="J9" s="256" cm="1">
        <f t="array" ref="J9">IFERROR(INDEX('Cash Flow Entry'!$E$3:$E$500,MATCH(1,INDEX((HarborCreek!$C$7='Cash Flow Entry'!$B$3:$B$500)*(VALUE(HarborCreek!J$7)='Cash Flow Entry'!$C$3:$C$500),0,1),0)),"")</f>
        <v>659</v>
      </c>
      <c r="K9" s="256" cm="1">
        <f t="array" ref="K9">IFERROR(INDEX('Cash Flow Entry'!$E$3:$E$500,MATCH(1,INDEX((HarborCreek!$C$7='Cash Flow Entry'!$B$3:$B$500)*(VALUE(HarborCreek!K$7)='Cash Flow Entry'!$C$3:$C$500),0,1),0)),"")</f>
        <v>658</v>
      </c>
      <c r="L9" s="256" t="str" cm="1">
        <f t="array" ref="L9">IFERROR(INDEX('Cash Flow Entry'!$E$3:$E$500,MATCH(1,INDEX((HarborCreek!$C$7='Cash Flow Entry'!$B$3:$B$500)*(VALUE(HarborCreek!L$7)='Cash Flow Entry'!$C$3:$C$500),0,1),0)),"")</f>
        <v/>
      </c>
      <c r="M9" s="255" t="str" cm="1">
        <f t="array" ref="M9">IFERROR(INDEX('Cash Flow Entry'!$E$3:$E$500,MATCH(1,INDEX((HarborCreek!$C$7='Cash Flow Entry'!$B$3:$B$500)*(VALUE(HarborCreek!M$7)='Cash Flow Entry'!$C$3:$C$500),0,1),0)),"")</f>
        <v/>
      </c>
      <c r="N9" s="256" t="str" cm="1">
        <f t="array" ref="N9">IFERROR(INDEX('Cash Flow Entry'!$E$3:$E$500,MATCH(1,INDEX((HarborCreek!$C$7='Cash Flow Entry'!$B$3:$B$500)*(VALUE(HarborCreek!N$7)='Cash Flow Entry'!$C$3:$C$500),0,1),0)),"")</f>
        <v/>
      </c>
      <c r="O9" s="258" t="str" cm="1">
        <f t="array" ref="O9">IFERROR(INDEX('Cash Flow Entry'!$E$3:$E$500,MATCH(1,INDEX((HarborCreek!$C$7='Cash Flow Entry'!$B$3:$B$500)*(VALUE(HarborCreek!O$7)='Cash Flow Entry'!$C$3:$C$500),0,1),0)),"")</f>
        <v/>
      </c>
      <c r="P9" s="259">
        <f>SUM(D9:O9)</f>
        <v>5242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$2,003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$1,996.55</v>
      </c>
      <c r="N10" s="645"/>
      <c r="O10" s="647"/>
      <c r="P10" s="265">
        <f>P14</f>
        <v>3507938.25</v>
      </c>
      <c r="Q10" s="534">
        <v>2003.07</v>
      </c>
      <c r="R10" s="305">
        <f>Q10*P8</f>
        <v>3519393.9899999998</v>
      </c>
      <c r="S10" s="305"/>
    </row>
    <row r="11" spans="2:20" ht="18.5" x14ac:dyDescent="0.45">
      <c r="B11" s="213" t="s">
        <v>191</v>
      </c>
      <c r="C11" s="267" t="s">
        <v>194</v>
      </c>
      <c r="D11" s="268">
        <v>428642</v>
      </c>
      <c r="E11" s="234">
        <v>428642</v>
      </c>
      <c r="F11" s="234">
        <v>448672</v>
      </c>
      <c r="G11" s="268">
        <v>446669</v>
      </c>
      <c r="H11" s="234">
        <v>436654</v>
      </c>
      <c r="I11" s="269">
        <v>436654</v>
      </c>
      <c r="J11" s="234">
        <v>440660</v>
      </c>
      <c r="K11" s="234">
        <v>442663</v>
      </c>
      <c r="L11" s="234"/>
      <c r="M11" s="268"/>
      <c r="N11" s="234"/>
      <c r="O11" s="270"/>
      <c r="P11" s="234">
        <f>SUM(D11:O11)</f>
        <v>3509256</v>
      </c>
      <c r="Q11" s="302"/>
    </row>
    <row r="12" spans="2:20" ht="18.5" x14ac:dyDescent="0.45">
      <c r="C12" s="267" t="s">
        <v>195</v>
      </c>
      <c r="D12" s="268">
        <f>IF(D$8="","",IF(D$11=0,0,D$8*$Q12))</f>
        <v>-160.5</v>
      </c>
      <c r="E12" s="234">
        <f t="shared" ref="E12:O12" si="0">IF(E$8="","",IF(E$11=0,0,E$8*$Q12))</f>
        <v>-165</v>
      </c>
      <c r="F12" s="269">
        <f t="shared" si="0"/>
        <v>-167.25</v>
      </c>
      <c r="G12" s="268">
        <f t="shared" si="0"/>
        <v>-163.5</v>
      </c>
      <c r="H12" s="234">
        <f t="shared" si="0"/>
        <v>-163.5</v>
      </c>
      <c r="I12" s="269">
        <f t="shared" si="0"/>
        <v>-165</v>
      </c>
      <c r="J12" s="234">
        <f t="shared" si="0"/>
        <v>-166.5</v>
      </c>
      <c r="K12" s="234">
        <f t="shared" si="0"/>
        <v>-166.5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-1317.75</v>
      </c>
      <c r="Q12" s="533">
        <v>-0.75</v>
      </c>
    </row>
    <row r="13" spans="2:20" ht="18.5" x14ac:dyDescent="0.45">
      <c r="B13" s="213" t="s">
        <v>191</v>
      </c>
      <c r="C13" s="267" t="s">
        <v>196</v>
      </c>
      <c r="D13" s="458">
        <f t="shared" ref="D13:O13" si="2">IF(D$8="","",0)</f>
        <v>0</v>
      </c>
      <c r="E13" s="457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428481.5</v>
      </c>
      <c r="E14" s="274">
        <f t="shared" ref="E14:O14" si="3">IF(E8="","",SUM(E11:E13))</f>
        <v>428477</v>
      </c>
      <c r="F14" s="275">
        <f t="shared" si="3"/>
        <v>448504.75</v>
      </c>
      <c r="G14" s="273">
        <f t="shared" si="3"/>
        <v>446505.5</v>
      </c>
      <c r="H14" s="274">
        <f t="shared" si="3"/>
        <v>436490.5</v>
      </c>
      <c r="I14" s="275">
        <f t="shared" si="3"/>
        <v>436489</v>
      </c>
      <c r="J14" s="274">
        <f t="shared" si="3"/>
        <v>440493.5</v>
      </c>
      <c r="K14" s="274">
        <f t="shared" si="3"/>
        <v>442496.5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3507938.25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$1,675</v>
      </c>
      <c r="E16" s="645"/>
      <c r="F16" s="646"/>
      <c r="G16" s="644" t="str">
        <f>"Admin, Reinsurance, &amp; Misc. PEPM: "&amp;DOLLAR(SUM($P36,$P42,$P49)/$P$8,0)</f>
        <v>Admin, Reinsurance, &amp; Misc. PEPM: $567</v>
      </c>
      <c r="H16" s="645"/>
      <c r="I16" s="646"/>
      <c r="J16" s="644" t="str">
        <f>"Total Expenses PEPM: "&amp;DOLLAR($P16/$P$8,0)</f>
        <v>Total Expenses PEPM: $2,241</v>
      </c>
      <c r="K16" s="645"/>
      <c r="L16" s="646"/>
      <c r="M16" s="644" t="str">
        <f>"Projection Variance: "&amp;TEXT(($P$16/$P$8)/$Q$10-1,"0.00%")</f>
        <v>Projection Variance: 11.90%</v>
      </c>
      <c r="N16" s="645"/>
      <c r="O16" s="647"/>
      <c r="P16" s="265">
        <f>SUM(P26,P36,P42,P49)</f>
        <v>3938236.4205263155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Entry'!$F$3:$F$500,MATCH(1,INDEX((HarborCreek!$C$7='Cash Flow Entry'!$B$3:$B$500)*(VALUE(HarborCreek!D$7)='Cash Flow Entry'!$C$3:$C$500),0,1),0)),"")+IFERROR(INDEX('Cash Flow Entry'!$H$3:$H$500,MATCH(1,INDEX((HarborCreek!$C$7='Cash Flow Entry'!$B$3:$B$500)*(VALUE(HarborCreek!D$7)='Cash Flow Entry'!$C$3:$C$500),0,1),0)),""),"")</f>
        <v>279670.5</v>
      </c>
      <c r="E18" s="234" cm="1">
        <f t="array" ref="E18">IFERROR(IFERROR(INDEX('Cash Flow Entry'!$F$3:$F$500,MATCH(1,INDEX((HarborCreek!$C$7='Cash Flow Entry'!$B$3:$B$500)*(VALUE(HarborCreek!E$7)='Cash Flow Entry'!$C$3:$C$500),0,1),0)),"")+IFERROR(INDEX('Cash Flow Entry'!$H$3:$H$500,MATCH(1,INDEX((HarborCreek!$C$7='Cash Flow Entry'!$B$3:$B$500)*(VALUE(HarborCreek!E$7)='Cash Flow Entry'!$C$3:$C$500),0,1),0)),""),"")</f>
        <v>356480.85000000003</v>
      </c>
      <c r="F18" s="269" cm="1">
        <f t="array" ref="F18">IFERROR(IFERROR(INDEX('Cash Flow Entry'!$F$3:$F$500,MATCH(1,INDEX((HarborCreek!$C$7='Cash Flow Entry'!$B$3:$B$500)*(VALUE(HarborCreek!F$7)='Cash Flow Entry'!$C$3:$C$500),0,1),0)),"")+IFERROR(INDEX('Cash Flow Entry'!$H$3:$H$500,MATCH(1,INDEX((HarborCreek!$C$7='Cash Flow Entry'!$B$3:$B$500)*(VALUE(HarborCreek!F$7)='Cash Flow Entry'!$C$3:$C$500),0,1),0)),""),"")</f>
        <v>355929.32999999996</v>
      </c>
      <c r="G18" s="268" cm="1">
        <f t="array" ref="G18">IFERROR(IFERROR(INDEX('Cash Flow Entry'!$F$3:$F$500,MATCH(1,INDEX((HarborCreek!$C$7='Cash Flow Entry'!$B$3:$B$500)*(VALUE(HarborCreek!G$7)='Cash Flow Entry'!$C$3:$C$500),0,1),0)),"")+IFERROR(INDEX('Cash Flow Entry'!$H$3:$H$500,MATCH(1,INDEX((HarborCreek!$C$7='Cash Flow Entry'!$B$3:$B$500)*(VALUE(HarborCreek!G$7)='Cash Flow Entry'!$C$3:$C$500),0,1),0)),""),"")</f>
        <v>365733.64</v>
      </c>
      <c r="H18" s="234" cm="1">
        <f t="array" ref="H18">IFERROR(IFERROR(INDEX('Cash Flow Entry'!$F$3:$F$500,MATCH(1,INDEX((HarborCreek!$C$7='Cash Flow Entry'!$B$3:$B$500)*(VALUE(HarborCreek!H$7)='Cash Flow Entry'!$C$3:$C$500),0,1),0)),"")+IFERROR(INDEX('Cash Flow Entry'!$H$3:$H$500,MATCH(1,INDEX((HarborCreek!$C$7='Cash Flow Entry'!$B$3:$B$500)*(VALUE(HarborCreek!H$7)='Cash Flow Entry'!$C$3:$C$500),0,1),0)),""),"")</f>
        <v>398042.94999999995</v>
      </c>
      <c r="I18" s="269" cm="1">
        <f t="array" ref="I18">IFERROR(IFERROR(INDEX('Cash Flow Entry'!$F$3:$F$500,MATCH(1,INDEX((HarborCreek!$C$7='Cash Flow Entry'!$B$3:$B$500)*(VALUE(HarborCreek!I$7)='Cash Flow Entry'!$C$3:$C$500),0,1),0)),"")+IFERROR(INDEX('Cash Flow Entry'!$H$3:$H$500,MATCH(1,INDEX((HarborCreek!$C$7='Cash Flow Entry'!$B$3:$B$500)*(VALUE(HarborCreek!I$7)='Cash Flow Entry'!$C$3:$C$500),0,1),0)),""),"")</f>
        <v>318957.60000000003</v>
      </c>
      <c r="J18" s="234" cm="1">
        <f t="array" ref="J18">IFERROR(IFERROR(INDEX('Cash Flow Entry'!$F$3:$F$500,MATCH(1,INDEX((HarborCreek!$C$7='Cash Flow Entry'!$B$3:$B$500)*(VALUE(HarborCreek!J$7)='Cash Flow Entry'!$C$3:$C$500),0,1),0)),"")+IFERROR(INDEX('Cash Flow Entry'!$H$3:$H$500,MATCH(1,INDEX((HarborCreek!$C$7='Cash Flow Entry'!$B$3:$B$500)*(VALUE(HarborCreek!J$7)='Cash Flow Entry'!$C$3:$C$500),0,1),0)),""),"")</f>
        <v>395354.59</v>
      </c>
      <c r="K18" s="234" cm="1">
        <f t="array" ref="K18">IFERROR(IFERROR(INDEX('Cash Flow Entry'!$F$3:$F$500,MATCH(1,INDEX((HarborCreek!$C$7='Cash Flow Entry'!$B$3:$B$500)*(VALUE(HarborCreek!K$7)='Cash Flow Entry'!$C$3:$C$500),0,1),0)),"")+IFERROR(INDEX('Cash Flow Entry'!$H$3:$H$500,MATCH(1,INDEX((HarborCreek!$C$7='Cash Flow Entry'!$B$3:$B$500)*(VALUE(HarborCreek!K$7)='Cash Flow Entry'!$C$3:$C$500),0,1),0)),""),"")</f>
        <v>369733.13</v>
      </c>
      <c r="L18" s="234" t="str" cm="1">
        <f t="array" ref="L18">IFERROR(IFERROR(INDEX('Cash Flow Entry'!$F$3:$F$500,MATCH(1,INDEX((HarborCreek!$C$7='Cash Flow Entry'!$B$3:$B$500)*(VALUE(HarborCreek!L$7)='Cash Flow Entry'!$C$3:$C$500),0,1),0)),"")+IFERROR(INDEX('Cash Flow Entry'!$H$3:$H$500,MATCH(1,INDEX((HarborCreek!$C$7='Cash Flow Entry'!$B$3:$B$500)*(VALUE(HarborCreek!L$7)='Cash Flow Entry'!$C$3:$C$500),0,1),0)),""),"")</f>
        <v/>
      </c>
      <c r="M18" s="268" t="str" cm="1">
        <f t="array" ref="M18">IFERROR(IFERROR(INDEX('Cash Flow Entry'!$F$3:$F$500,MATCH(1,INDEX((HarborCreek!$C$7='Cash Flow Entry'!$B$3:$B$500)*(VALUE(HarborCreek!M$7)='Cash Flow Entry'!$C$3:$C$500),0,1),0)),"")+IFERROR(INDEX('Cash Flow Entry'!$H$3:$H$500,MATCH(1,INDEX((HarborCreek!$C$7='Cash Flow Entry'!$B$3:$B$500)*(VALUE(HarborCreek!M$7)='Cash Flow Entry'!$C$3:$C$500),0,1),0)),""),"")</f>
        <v/>
      </c>
      <c r="N18" s="234" t="str" cm="1">
        <f t="array" ref="N18">IFERROR(IFERROR(INDEX('Cash Flow Entry'!$F$3:$F$500,MATCH(1,INDEX((HarborCreek!$C$7='Cash Flow Entry'!$B$3:$B$500)*(VALUE(HarborCreek!N$7)='Cash Flow Entry'!$C$3:$C$500),0,1),0)),"")+IFERROR(INDEX('Cash Flow Entry'!$H$3:$H$500,MATCH(1,INDEX((HarborCreek!$C$7='Cash Flow Entry'!$B$3:$B$500)*(VALUE(HarborCreek!N$7)='Cash Flow Entry'!$C$3:$C$500),0,1),0)),""),"")</f>
        <v/>
      </c>
      <c r="O18" s="270" t="str" cm="1">
        <f t="array" ref="O18">IFERROR(IFERROR(INDEX('Cash Flow Entry'!$F$3:$F$500,MATCH(1,INDEX((HarborCreek!$C$7='Cash Flow Entry'!$B$3:$B$500)*(VALUE(HarborCreek!O$7)='Cash Flow Entry'!$C$3:$C$500),0,1),0)),"")+IFERROR(INDEX('Cash Flow Entry'!$H$3:$H$500,MATCH(1,INDEX((HarborCreek!$C$7='Cash Flow Entry'!$B$3:$B$500)*(VALUE(HarborCreek!O$7)='Cash Flow Entry'!$C$3:$C$500),0,1),0)),""),"")</f>
        <v/>
      </c>
      <c r="P18" s="234">
        <f>SUM(D18:O18)</f>
        <v>2839902.59</v>
      </c>
      <c r="Q18" s="533">
        <v>917.97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Entry'!$G$3:$G$500,MATCH(1,INDEX((HarborCreek!$C$7='Cash Flow Entry'!$B$3:$B$500)*(VALUE(HarborCreek!D$7)='Cash Flow Entry'!$C$3:$C$500),0,1),0)),"")</f>
        <v>163205.51999999999</v>
      </c>
      <c r="E19" s="234" cm="1">
        <f t="array" ref="E19">IFERROR(INDEX('Cash Flow Entry'!$G$3:$G$500,MATCH(1,INDEX((HarborCreek!$C$7='Cash Flow Entry'!$B$3:$B$500)*(VALUE(HarborCreek!E$7)='Cash Flow Entry'!$C$3:$C$500),0,1),0)),"")</f>
        <v>150221.09</v>
      </c>
      <c r="F19" s="269" cm="1">
        <f t="array" ref="F19">IFERROR(INDEX('Cash Flow Entry'!$G$3:$G$500,MATCH(1,INDEX((HarborCreek!$C$7='Cash Flow Entry'!$B$3:$B$500)*(VALUE(HarborCreek!F$7)='Cash Flow Entry'!$C$3:$C$500),0,1),0)),"")</f>
        <v>191281</v>
      </c>
      <c r="G19" s="268" cm="1">
        <f t="array" ref="G19">IFERROR(INDEX('Cash Flow Entry'!$G$3:$G$500,MATCH(1,INDEX((HarborCreek!$C$7='Cash Flow Entry'!$B$3:$B$500)*(VALUE(HarborCreek!G$7)='Cash Flow Entry'!$C$3:$C$500),0,1),0)),"")</f>
        <v>172223.78</v>
      </c>
      <c r="H19" s="234" cm="1">
        <f t="array" ref="H19">IFERROR(INDEX('Cash Flow Entry'!$G$3:$G$500,MATCH(1,INDEX((HarborCreek!$C$7='Cash Flow Entry'!$B$3:$B$500)*(VALUE(HarborCreek!H$7)='Cash Flow Entry'!$C$3:$C$500),0,1),0)),"")</f>
        <v>167931.54</v>
      </c>
      <c r="I19" s="269" cm="1">
        <f t="array" ref="I19">IFERROR(INDEX('Cash Flow Entry'!$G$3:$G$500,MATCH(1,INDEX((HarborCreek!$C$7='Cash Flow Entry'!$B$3:$B$500)*(VALUE(HarborCreek!I$7)='Cash Flow Entry'!$C$3:$C$500),0,1),0)),"")</f>
        <v>191387.19</v>
      </c>
      <c r="J19" s="234" cm="1">
        <f t="array" ref="J19">IFERROR(INDEX('Cash Flow Entry'!$G$3:$G$500,MATCH(1,INDEX((HarborCreek!$C$7='Cash Flow Entry'!$B$3:$B$500)*(VALUE(HarborCreek!J$7)='Cash Flow Entry'!$C$3:$C$500),0,1),0)),"")</f>
        <v>187314.02</v>
      </c>
      <c r="K19" s="234" cm="1">
        <f t="array" ref="K19">IFERROR(INDEX('Cash Flow Entry'!$G$3:$G$500,MATCH(1,INDEX((HarborCreek!$C$7='Cash Flow Entry'!$B$3:$B$500)*(VALUE(HarborCreek!K$7)='Cash Flow Entry'!$C$3:$C$500),0,1),0)),"")</f>
        <v>240118.78</v>
      </c>
      <c r="L19" s="234" t="str" cm="1">
        <f t="array" ref="L19">IFERROR(INDEX('Cash Flow Entry'!$G$3:$G$500,MATCH(1,INDEX((HarborCreek!$C$7='Cash Flow Entry'!$B$3:$B$500)*(VALUE(HarborCreek!L$7)='Cash Flow Entry'!$C$3:$C$500),0,1),0)),"")</f>
        <v/>
      </c>
      <c r="M19" s="268" t="str" cm="1">
        <f t="array" ref="M19">IFERROR(INDEX('Cash Flow Entry'!$G$3:$G$500,MATCH(1,INDEX((HarborCreek!$C$7='Cash Flow Entry'!$B$3:$B$500)*(VALUE(HarborCreek!M$7)='Cash Flow Entry'!$C$3:$C$500),0,1),0)),"")</f>
        <v/>
      </c>
      <c r="N19" s="234" t="str" cm="1">
        <f t="array" ref="N19">IFERROR(INDEX('Cash Flow Entry'!$G$3:$G$500,MATCH(1,INDEX((HarborCreek!$C$7='Cash Flow Entry'!$B$3:$B$500)*(VALUE(HarborCreek!N$7)='Cash Flow Entry'!$C$3:$C$500),0,1),0)),"")</f>
        <v/>
      </c>
      <c r="O19" s="279" t="str" cm="1">
        <f t="array" ref="O19">IFERROR(INDEX('Cash Flow Entry'!$G$3:$G$500,MATCH(1,INDEX((HarborCreek!$C$7='Cash Flow Entry'!$B$3:$B$500)*(VALUE(HarborCreek!O$7)='Cash Flow Entry'!$C$3:$C$500),0,1),0)),"")</f>
        <v/>
      </c>
      <c r="P19" s="234">
        <f>SUM(D19:O19)</f>
        <v>1463682.9200000002</v>
      </c>
      <c r="Q19" s="533">
        <v>465.13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ht="18.5" x14ac:dyDescent="0.45">
      <c r="B21" s="219">
        <f>INDEX('HCC Summary'!$I$9:$I$27,MATCH(HarborCreek!C7,'HCC Summary'!B9:B27, 0))</f>
        <v>811352.75999999989</v>
      </c>
      <c r="C21" s="282" t="s">
        <v>225</v>
      </c>
      <c r="D21" s="283">
        <v>12167.21</v>
      </c>
      <c r="E21" s="284">
        <v>36401.620000000003</v>
      </c>
      <c r="F21" s="285">
        <v>100652.96</v>
      </c>
      <c r="G21" s="283">
        <v>289781.61</v>
      </c>
      <c r="H21" s="284">
        <v>428279.72</v>
      </c>
      <c r="I21" s="285">
        <v>612908.01</v>
      </c>
      <c r="J21" s="284">
        <v>662823.86</v>
      </c>
      <c r="K21" s="284">
        <v>811352.76</v>
      </c>
      <c r="L21" s="284"/>
      <c r="M21" s="283"/>
      <c r="N21" s="284"/>
      <c r="O21" s="286"/>
      <c r="P21" s="641">
        <f>SUM(D22:O22)</f>
        <v>-811352.76</v>
      </c>
      <c r="Q21" s="533"/>
    </row>
    <row r="22" spans="2:17" ht="18.5" x14ac:dyDescent="0.45">
      <c r="C22" s="267" t="s">
        <v>226</v>
      </c>
      <c r="D22" s="268">
        <f>IF(D8="","",-D21)</f>
        <v>-12167.21</v>
      </c>
      <c r="E22" s="234">
        <f t="shared" ref="E22:O22" si="5">IF(E8="","",-(E21-D21))</f>
        <v>-24234.410000000003</v>
      </c>
      <c r="F22" s="269">
        <f t="shared" si="5"/>
        <v>-64251.340000000004</v>
      </c>
      <c r="G22" s="268">
        <f t="shared" si="5"/>
        <v>-189128.64999999997</v>
      </c>
      <c r="H22" s="234">
        <f t="shared" si="5"/>
        <v>-138498.10999999999</v>
      </c>
      <c r="I22" s="269">
        <f t="shared" si="5"/>
        <v>-184628.29000000004</v>
      </c>
      <c r="J22" s="234">
        <f t="shared" si="5"/>
        <v>-49915.849999999977</v>
      </c>
      <c r="K22" s="234">
        <f t="shared" si="5"/>
        <v>-148528.90000000002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7" ht="18.5" x14ac:dyDescent="0.45">
      <c r="C23" s="267" t="s">
        <v>363</v>
      </c>
      <c r="D23" s="268">
        <f>IF(D$8="","",$U68)</f>
        <v>-26375.8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-70006.86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-96382.66</v>
      </c>
      <c r="Q23" s="533"/>
    </row>
    <row r="24" spans="2:17" ht="18.5" x14ac:dyDescent="0.45">
      <c r="C24" s="267" t="s">
        <v>25</v>
      </c>
      <c r="D24" s="268">
        <f>IF(D$8="","",K85)</f>
        <v>-160641.13</v>
      </c>
      <c r="E24" s="234">
        <f>IF(E$8="","",$K86)</f>
        <v>0</v>
      </c>
      <c r="F24" s="269">
        <f>IF(F$8="","",$K87)</f>
        <v>0</v>
      </c>
      <c r="G24" s="234">
        <f>IF(G$8="","",$K88)</f>
        <v>-141795.38</v>
      </c>
      <c r="H24" s="234">
        <f>IF(H$8="","",$K89)</f>
        <v>0</v>
      </c>
      <c r="I24" s="269">
        <f>IF(I$8="","",$K90)</f>
        <v>-184109.38</v>
      </c>
      <c r="J24" s="234">
        <f>IF(J$8="","",$K91)</f>
        <v>0</v>
      </c>
      <c r="K24" s="234">
        <f>IF(K$8="","",$K92)</f>
        <v>0</v>
      </c>
      <c r="L24" s="269" t="str">
        <f>IF(L$8="","",$K93)</f>
        <v/>
      </c>
      <c r="M24" s="234" t="str">
        <f>IF(M$8="","",$K94)</f>
        <v/>
      </c>
      <c r="N24" s="234" t="str">
        <f>IF(N$8="","",$K95)</f>
        <v/>
      </c>
      <c r="O24" s="234" t="str">
        <f>IF(O$8="","",$K96)</f>
        <v/>
      </c>
      <c r="P24" s="474">
        <f t="shared" si="6"/>
        <v>-486545.89</v>
      </c>
      <c r="Q24" s="533">
        <v>0</v>
      </c>
    </row>
    <row r="25" spans="2:17" ht="18.5" x14ac:dyDescent="0.45">
      <c r="B25" s="213"/>
      <c r="C25" s="267" t="s">
        <v>199</v>
      </c>
      <c r="D25" s="268">
        <f>IF(D$8="","",SUM($L68:$R68))</f>
        <v>6167.1900000000005</v>
      </c>
      <c r="E25" s="234">
        <f>IF(E$8="","",SUM($L69:$R69))</f>
        <v>3641.84</v>
      </c>
      <c r="F25" s="269">
        <f>IF(F$8="","",SUM($L70:$R70))</f>
        <v>18572.709999999995</v>
      </c>
      <c r="G25" s="268">
        <f>IF(G$8="","",SUM($L71:$R71))</f>
        <v>2638.4</v>
      </c>
      <c r="H25" s="234">
        <f>IF(H$8="","",SUM($L72:$R72))</f>
        <v>-6259.05</v>
      </c>
      <c r="I25" s="269">
        <f>IF(I$8="","",SUM($L73:$R73))</f>
        <v>4251.72</v>
      </c>
      <c r="J25" s="234">
        <f>IF(J$8="","",SUM($L74:$R74))</f>
        <v>3765.44</v>
      </c>
      <c r="K25" s="234">
        <f>IF(K$8="","",SUM($L75:$S75))</f>
        <v>649.7299999999999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33427.980000000003</v>
      </c>
      <c r="Q25" s="533"/>
    </row>
    <row r="26" spans="2:17" ht="18.5" x14ac:dyDescent="0.45">
      <c r="C26" s="272" t="s">
        <v>200</v>
      </c>
      <c r="D26" s="273">
        <f>IF(D8="","",SUM(D18:D20,D22:D25))</f>
        <v>249859.07</v>
      </c>
      <c r="E26" s="274">
        <f t="shared" ref="E26:L26" si="7">IF(E8="","",SUM(E18:E20,E22:E25))</f>
        <v>486109.37000000005</v>
      </c>
      <c r="F26" s="275">
        <f t="shared" si="7"/>
        <v>501531.69999999995</v>
      </c>
      <c r="G26" s="273">
        <f t="shared" si="7"/>
        <v>209671.79000000007</v>
      </c>
      <c r="H26" s="274">
        <f t="shared" si="7"/>
        <v>421217.33</v>
      </c>
      <c r="I26" s="275">
        <f t="shared" si="7"/>
        <v>145858.84</v>
      </c>
      <c r="J26" s="273">
        <f t="shared" si="7"/>
        <v>536518.19999999995</v>
      </c>
      <c r="K26" s="274">
        <f t="shared" si="7"/>
        <v>391965.88</v>
      </c>
      <c r="L26" s="275" t="str">
        <f t="shared" si="7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8">IF(O8="","",SUM(O18:O19,O22:O25))</f>
        <v/>
      </c>
      <c r="P26" s="274">
        <f>SUM(P18:P25)</f>
        <v>2942732.1799999997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ht="18.5" x14ac:dyDescent="0.45">
      <c r="C28" s="267" t="s">
        <v>223</v>
      </c>
      <c r="D28" s="268">
        <f>IF(D$8="","",D$8*$Q28)</f>
        <v>8589.9600000000009</v>
      </c>
      <c r="E28" s="234">
        <f t="shared" ref="E28:O35" si="9">IF(E$8="","",E$8*$Q28)</f>
        <v>8830.7999999999993</v>
      </c>
      <c r="F28" s="269">
        <f t="shared" si="9"/>
        <v>8951.2199999999993</v>
      </c>
      <c r="G28" s="268">
        <f t="shared" si="9"/>
        <v>8750.52</v>
      </c>
      <c r="H28" s="234">
        <f t="shared" si="9"/>
        <v>8750.52</v>
      </c>
      <c r="I28" s="269">
        <f t="shared" si="9"/>
        <v>8830.7999999999993</v>
      </c>
      <c r="J28" s="234">
        <f t="shared" si="9"/>
        <v>8911.08</v>
      </c>
      <c r="K28" s="234">
        <f t="shared" si="9"/>
        <v>8911.08</v>
      </c>
      <c r="L28" s="234" t="str">
        <f t="shared" si="9"/>
        <v/>
      </c>
      <c r="M28" s="268" t="str">
        <f t="shared" si="9"/>
        <v/>
      </c>
      <c r="N28" s="234" t="str">
        <f t="shared" si="9"/>
        <v/>
      </c>
      <c r="O28" s="270" t="str">
        <f t="shared" si="9"/>
        <v/>
      </c>
      <c r="P28" s="234">
        <f>SUM(D28:O28)</f>
        <v>70525.98000000001</v>
      </c>
      <c r="Q28" s="533">
        <v>40.14</v>
      </c>
    </row>
    <row r="29" spans="2:17" ht="18.5" x14ac:dyDescent="0.45">
      <c r="C29" s="267" t="s">
        <v>224</v>
      </c>
      <c r="D29" s="268">
        <f>IF(D$8="","",D$8*$Q29)</f>
        <v>0</v>
      </c>
      <c r="E29" s="234">
        <f>IF(E$8="","",E$8*$Q29)</f>
        <v>0</v>
      </c>
      <c r="F29" s="269">
        <f t="shared" si="9"/>
        <v>0</v>
      </c>
      <c r="G29" s="234">
        <f t="shared" si="9"/>
        <v>0</v>
      </c>
      <c r="H29" s="234">
        <f t="shared" si="9"/>
        <v>0</v>
      </c>
      <c r="I29" s="269">
        <f t="shared" si="9"/>
        <v>0</v>
      </c>
      <c r="J29" s="234">
        <f t="shared" si="9"/>
        <v>0</v>
      </c>
      <c r="K29" s="234">
        <f t="shared" si="9"/>
        <v>0</v>
      </c>
      <c r="L29" s="234" t="str">
        <f t="shared" si="9"/>
        <v/>
      </c>
      <c r="M29" s="268" t="str">
        <f t="shared" si="9"/>
        <v/>
      </c>
      <c r="N29" s="234" t="str">
        <f t="shared" si="9"/>
        <v/>
      </c>
      <c r="O29" s="234" t="str">
        <f t="shared" si="9"/>
        <v/>
      </c>
      <c r="P29" s="474">
        <f t="shared" ref="P29:P35" si="10">SUM(D29:O29)</f>
        <v>0</v>
      </c>
      <c r="Q29" s="533">
        <v>0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9"/>
        <v>0</v>
      </c>
      <c r="F30" s="234">
        <f t="shared" si="9"/>
        <v>0</v>
      </c>
      <c r="G30" s="268">
        <f t="shared" si="9"/>
        <v>0</v>
      </c>
      <c r="H30" s="234">
        <f t="shared" si="9"/>
        <v>0</v>
      </c>
      <c r="I30" s="234">
        <f t="shared" si="9"/>
        <v>0</v>
      </c>
      <c r="J30" s="268">
        <f t="shared" si="9"/>
        <v>0</v>
      </c>
      <c r="K30" s="234">
        <f t="shared" si="9"/>
        <v>0</v>
      </c>
      <c r="L30" s="234" t="str">
        <f t="shared" si="9"/>
        <v/>
      </c>
      <c r="M30" s="268" t="str">
        <f t="shared" si="9"/>
        <v/>
      </c>
      <c r="N30" s="234" t="str">
        <f t="shared" si="9"/>
        <v/>
      </c>
      <c r="O30" s="270" t="str">
        <f t="shared" si="9"/>
        <v/>
      </c>
      <c r="P30" s="234">
        <f t="shared" si="10"/>
        <v>0</v>
      </c>
      <c r="Q30" s="533">
        <v>0</v>
      </c>
    </row>
    <row r="31" spans="2:17" ht="18.5" x14ac:dyDescent="0.45">
      <c r="C31" s="267" t="s">
        <v>325</v>
      </c>
      <c r="D31" s="268">
        <f>IF(D$8="","",D$8*$Q31)</f>
        <v>0</v>
      </c>
      <c r="E31" s="234">
        <f t="shared" ref="D31:O35" si="11">IF(E$8="","",E$8*$Q31)</f>
        <v>0</v>
      </c>
      <c r="F31" s="234">
        <f t="shared" si="11"/>
        <v>0</v>
      </c>
      <c r="G31" s="268">
        <f t="shared" si="11"/>
        <v>0</v>
      </c>
      <c r="H31" s="234">
        <f t="shared" si="11"/>
        <v>0</v>
      </c>
      <c r="I31" s="234">
        <f t="shared" si="11"/>
        <v>0</v>
      </c>
      <c r="J31" s="268">
        <f t="shared" si="11"/>
        <v>0</v>
      </c>
      <c r="K31" s="234">
        <f t="shared" si="11"/>
        <v>0</v>
      </c>
      <c r="L31" s="234" t="str">
        <f t="shared" si="11"/>
        <v/>
      </c>
      <c r="M31" s="268" t="str">
        <f t="shared" si="11"/>
        <v/>
      </c>
      <c r="N31" s="234" t="str">
        <f t="shared" si="11"/>
        <v/>
      </c>
      <c r="O31" s="270" t="str">
        <f t="shared" si="11"/>
        <v/>
      </c>
      <c r="P31" s="234">
        <f t="shared" si="10"/>
        <v>0</v>
      </c>
      <c r="Q31" s="533">
        <v>0</v>
      </c>
    </row>
    <row r="32" spans="2:17" ht="18.5" x14ac:dyDescent="0.45">
      <c r="C32" s="267" t="s">
        <v>247</v>
      </c>
      <c r="D32" s="268">
        <f t="shared" si="11"/>
        <v>0</v>
      </c>
      <c r="E32" s="234">
        <f t="shared" si="11"/>
        <v>0</v>
      </c>
      <c r="F32" s="269">
        <f t="shared" si="11"/>
        <v>0</v>
      </c>
      <c r="G32" s="268">
        <f t="shared" si="11"/>
        <v>0</v>
      </c>
      <c r="H32" s="234">
        <f t="shared" si="11"/>
        <v>0</v>
      </c>
      <c r="I32" s="269">
        <f t="shared" si="11"/>
        <v>0</v>
      </c>
      <c r="J32" s="234">
        <f t="shared" si="11"/>
        <v>0</v>
      </c>
      <c r="K32" s="234">
        <f t="shared" si="11"/>
        <v>0</v>
      </c>
      <c r="L32" s="234" t="str">
        <f t="shared" si="11"/>
        <v/>
      </c>
      <c r="M32" s="268" t="str">
        <f t="shared" si="11"/>
        <v/>
      </c>
      <c r="N32" s="234" t="str">
        <f t="shared" si="11"/>
        <v/>
      </c>
      <c r="O32" s="270" t="str">
        <f t="shared" si="11"/>
        <v/>
      </c>
      <c r="P32" s="234">
        <f t="shared" si="10"/>
        <v>0</v>
      </c>
      <c r="Q32" s="533">
        <v>0</v>
      </c>
    </row>
    <row r="33" spans="2:18" ht="18.5" x14ac:dyDescent="0.45">
      <c r="C33" s="267" t="s">
        <v>227</v>
      </c>
      <c r="D33" s="268">
        <f t="shared" si="11"/>
        <v>374.5</v>
      </c>
      <c r="E33" s="234">
        <f t="shared" si="9"/>
        <v>385</v>
      </c>
      <c r="F33" s="269">
        <f t="shared" si="9"/>
        <v>390.25</v>
      </c>
      <c r="G33" s="268">
        <f t="shared" si="9"/>
        <v>381.5</v>
      </c>
      <c r="H33" s="234">
        <f t="shared" si="9"/>
        <v>381.5</v>
      </c>
      <c r="I33" s="269">
        <f t="shared" si="9"/>
        <v>385</v>
      </c>
      <c r="J33" s="234">
        <f t="shared" si="9"/>
        <v>388.5</v>
      </c>
      <c r="K33" s="234">
        <f t="shared" si="9"/>
        <v>388.5</v>
      </c>
      <c r="L33" s="234" t="str">
        <f t="shared" si="9"/>
        <v/>
      </c>
      <c r="M33" s="268" t="str">
        <f t="shared" si="9"/>
        <v/>
      </c>
      <c r="N33" s="234" t="str">
        <f t="shared" si="9"/>
        <v/>
      </c>
      <c r="O33" s="270" t="str">
        <f t="shared" si="9"/>
        <v/>
      </c>
      <c r="P33" s="234">
        <f t="shared" si="10"/>
        <v>3074.75</v>
      </c>
      <c r="Q33" s="533">
        <v>1.75</v>
      </c>
    </row>
    <row r="34" spans="2:18" ht="18.5" x14ac:dyDescent="0.45">
      <c r="C34" s="267" t="s">
        <v>228</v>
      </c>
      <c r="D34" s="268">
        <f t="shared" si="11"/>
        <v>706.19999999999993</v>
      </c>
      <c r="E34" s="234">
        <f t="shared" si="9"/>
        <v>726</v>
      </c>
      <c r="F34" s="269">
        <f t="shared" si="9"/>
        <v>735.9</v>
      </c>
      <c r="G34" s="268">
        <f t="shared" si="9"/>
        <v>719.4</v>
      </c>
      <c r="H34" s="234">
        <f t="shared" si="9"/>
        <v>719.4</v>
      </c>
      <c r="I34" s="269">
        <f t="shared" si="9"/>
        <v>726</v>
      </c>
      <c r="J34" s="234">
        <f t="shared" si="9"/>
        <v>732.59999999999991</v>
      </c>
      <c r="K34" s="234">
        <f t="shared" si="9"/>
        <v>732.59999999999991</v>
      </c>
      <c r="L34" s="234" t="str">
        <f t="shared" si="9"/>
        <v/>
      </c>
      <c r="M34" s="268" t="str">
        <f t="shared" si="9"/>
        <v/>
      </c>
      <c r="N34" s="234" t="str">
        <f t="shared" si="9"/>
        <v/>
      </c>
      <c r="O34" s="270" t="str">
        <f t="shared" si="9"/>
        <v/>
      </c>
      <c r="P34" s="234">
        <f t="shared" si="10"/>
        <v>5798.1</v>
      </c>
      <c r="Q34" s="533">
        <v>3.3</v>
      </c>
    </row>
    <row r="35" spans="2:18" ht="18.5" x14ac:dyDescent="0.45">
      <c r="C35" s="267" t="s">
        <v>202</v>
      </c>
      <c r="D35" s="268">
        <f t="shared" si="11"/>
        <v>847.43999999999994</v>
      </c>
      <c r="E35" s="234">
        <f t="shared" si="9"/>
        <v>871.2</v>
      </c>
      <c r="F35" s="269">
        <f t="shared" si="9"/>
        <v>883.08</v>
      </c>
      <c r="G35" s="268">
        <f t="shared" si="9"/>
        <v>863.28</v>
      </c>
      <c r="H35" s="234">
        <f t="shared" si="9"/>
        <v>863.28</v>
      </c>
      <c r="I35" s="269">
        <f t="shared" si="9"/>
        <v>871.2</v>
      </c>
      <c r="J35" s="234">
        <f t="shared" si="9"/>
        <v>879.12</v>
      </c>
      <c r="K35" s="234">
        <f t="shared" si="9"/>
        <v>879.12</v>
      </c>
      <c r="L35" s="234" t="str">
        <f t="shared" si="9"/>
        <v/>
      </c>
      <c r="M35" s="268" t="str">
        <f t="shared" si="9"/>
        <v/>
      </c>
      <c r="N35" s="234" t="str">
        <f t="shared" si="9"/>
        <v/>
      </c>
      <c r="O35" s="270" t="str">
        <f t="shared" si="9"/>
        <v/>
      </c>
      <c r="P35" s="234">
        <f t="shared" si="10"/>
        <v>6957.7199999999993</v>
      </c>
      <c r="Q35" s="533">
        <v>3.96</v>
      </c>
    </row>
    <row r="36" spans="2:18" ht="18.5" x14ac:dyDescent="0.45">
      <c r="C36" s="272" t="s">
        <v>203</v>
      </c>
      <c r="D36" s="273">
        <f t="shared" ref="D36:P36" si="12">IF(D$8="","",SUM(D28:D35))</f>
        <v>10518.100000000002</v>
      </c>
      <c r="E36" s="274">
        <f t="shared" si="12"/>
        <v>10813</v>
      </c>
      <c r="F36" s="275">
        <f t="shared" si="12"/>
        <v>10960.449999999999</v>
      </c>
      <c r="G36" s="273">
        <f t="shared" si="12"/>
        <v>10714.7</v>
      </c>
      <c r="H36" s="274">
        <f t="shared" si="12"/>
        <v>10714.7</v>
      </c>
      <c r="I36" s="275">
        <f t="shared" si="12"/>
        <v>10813</v>
      </c>
      <c r="J36" s="274">
        <f t="shared" si="12"/>
        <v>10911.300000000001</v>
      </c>
      <c r="K36" s="274">
        <f t="shared" si="12"/>
        <v>10911.300000000001</v>
      </c>
      <c r="L36" s="274" t="str">
        <f t="shared" si="12"/>
        <v/>
      </c>
      <c r="M36" s="273" t="str">
        <f t="shared" si="12"/>
        <v/>
      </c>
      <c r="N36" s="274" t="str">
        <f t="shared" si="12"/>
        <v/>
      </c>
      <c r="O36" s="276" t="str">
        <f t="shared" si="12"/>
        <v/>
      </c>
      <c r="P36" s="274">
        <f t="shared" si="12"/>
        <v>86356.550000000017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21136.78</v>
      </c>
      <c r="E38" s="234">
        <f t="shared" ref="E38:O41" si="13">IF(E$8="","",E$8*$Q38)</f>
        <v>21729.399999999998</v>
      </c>
      <c r="F38" s="269">
        <f t="shared" si="13"/>
        <v>22025.71</v>
      </c>
      <c r="G38" s="268">
        <f t="shared" si="13"/>
        <v>21531.86</v>
      </c>
      <c r="H38" s="234">
        <f t="shared" si="13"/>
        <v>21531.86</v>
      </c>
      <c r="I38" s="269">
        <f t="shared" si="13"/>
        <v>21729.399999999998</v>
      </c>
      <c r="J38" s="234">
        <f t="shared" si="13"/>
        <v>21926.94</v>
      </c>
      <c r="K38" s="234">
        <f t="shared" si="13"/>
        <v>21926.94</v>
      </c>
      <c r="L38" s="234" t="str">
        <f t="shared" si="13"/>
        <v/>
      </c>
      <c r="M38" s="268" t="str">
        <f t="shared" si="13"/>
        <v/>
      </c>
      <c r="N38" s="234" t="str">
        <f t="shared" si="13"/>
        <v/>
      </c>
      <c r="O38" s="270" t="str">
        <f t="shared" si="13"/>
        <v/>
      </c>
      <c r="P38" s="234">
        <f>SUM(D38:O38)</f>
        <v>173538.88999999998</v>
      </c>
      <c r="Q38" s="533">
        <v>98.77</v>
      </c>
    </row>
    <row r="39" spans="2:18" ht="18.5" x14ac:dyDescent="0.45">
      <c r="C39" s="267" t="s">
        <v>205</v>
      </c>
      <c r="D39" s="268">
        <f t="shared" ref="D39:D41" si="14">IF(D$8="","",D$8*$Q39)</f>
        <v>104183.76</v>
      </c>
      <c r="E39" s="234">
        <f t="shared" si="13"/>
        <v>107104.79999999999</v>
      </c>
      <c r="F39" s="269">
        <f t="shared" si="13"/>
        <v>108565.31999999999</v>
      </c>
      <c r="G39" s="268">
        <f t="shared" si="13"/>
        <v>106131.12</v>
      </c>
      <c r="H39" s="234">
        <f t="shared" si="13"/>
        <v>106131.12</v>
      </c>
      <c r="I39" s="269">
        <f t="shared" ref="I39:O39" si="15">IF(I$8="","",I$8*$R39)</f>
        <v>63104.799999999996</v>
      </c>
      <c r="J39" s="234">
        <f t="shared" si="15"/>
        <v>63678.479999999996</v>
      </c>
      <c r="K39" s="234">
        <f t="shared" si="15"/>
        <v>63678.479999999996</v>
      </c>
      <c r="L39" s="234" t="str">
        <f t="shared" si="15"/>
        <v/>
      </c>
      <c r="M39" s="268" t="str">
        <f t="shared" si="15"/>
        <v/>
      </c>
      <c r="N39" s="234" t="str">
        <f t="shared" si="15"/>
        <v/>
      </c>
      <c r="O39" s="270" t="str">
        <f t="shared" si="15"/>
        <v/>
      </c>
      <c r="P39" s="234">
        <f t="shared" ref="P39:P41" si="16">SUM(D39:O39)</f>
        <v>722577.88</v>
      </c>
      <c r="Q39" s="533">
        <v>486.84</v>
      </c>
      <c r="R39" s="11">
        <f>Q39-200</f>
        <v>286.83999999999997</v>
      </c>
    </row>
    <row r="40" spans="2:18" ht="18.5" x14ac:dyDescent="0.45">
      <c r="C40" s="267" t="s">
        <v>322</v>
      </c>
      <c r="D40" s="268">
        <f t="shared" ref="D40:O40" si="17">IF(D$8="","",D$8*$Q40)</f>
        <v>856</v>
      </c>
      <c r="E40" s="234">
        <f t="shared" si="17"/>
        <v>880</v>
      </c>
      <c r="F40" s="269">
        <f t="shared" si="17"/>
        <v>892</v>
      </c>
      <c r="G40" s="234">
        <f t="shared" si="17"/>
        <v>872</v>
      </c>
      <c r="H40" s="234">
        <f t="shared" si="17"/>
        <v>872</v>
      </c>
      <c r="I40" s="269">
        <f t="shared" si="17"/>
        <v>880</v>
      </c>
      <c r="J40" s="234">
        <f t="shared" si="17"/>
        <v>888</v>
      </c>
      <c r="K40" s="234">
        <f t="shared" si="17"/>
        <v>888</v>
      </c>
      <c r="L40" s="234" t="str">
        <f t="shared" si="17"/>
        <v/>
      </c>
      <c r="M40" s="268" t="str">
        <f t="shared" si="17"/>
        <v/>
      </c>
      <c r="N40" s="234" t="str">
        <f t="shared" si="17"/>
        <v/>
      </c>
      <c r="O40" s="270" t="str">
        <f t="shared" si="17"/>
        <v/>
      </c>
      <c r="P40" s="234">
        <f>SUM(D40:O40)</f>
        <v>7028</v>
      </c>
      <c r="Q40" s="533">
        <v>4</v>
      </c>
    </row>
    <row r="41" spans="2:18" ht="18.5" x14ac:dyDescent="0.45">
      <c r="C41" s="267" t="s">
        <v>206</v>
      </c>
      <c r="D41" s="268">
        <f t="shared" si="14"/>
        <v>616.31999999999994</v>
      </c>
      <c r="E41" s="234">
        <f t="shared" si="13"/>
        <v>633.6</v>
      </c>
      <c r="F41" s="269">
        <f t="shared" si="13"/>
        <v>642.24</v>
      </c>
      <c r="G41" s="268">
        <f t="shared" si="13"/>
        <v>627.84</v>
      </c>
      <c r="H41" s="234">
        <f t="shared" si="13"/>
        <v>627.84</v>
      </c>
      <c r="I41" s="269">
        <f t="shared" si="13"/>
        <v>633.6</v>
      </c>
      <c r="J41" s="234">
        <f t="shared" si="13"/>
        <v>639.36</v>
      </c>
      <c r="K41" s="234">
        <f t="shared" si="13"/>
        <v>639.36</v>
      </c>
      <c r="L41" s="234" t="str">
        <f t="shared" si="13"/>
        <v/>
      </c>
      <c r="M41" s="268" t="str">
        <f t="shared" si="13"/>
        <v/>
      </c>
      <c r="N41" s="234" t="str">
        <f t="shared" si="13"/>
        <v/>
      </c>
      <c r="O41" s="270" t="str">
        <f t="shared" si="13"/>
        <v/>
      </c>
      <c r="P41" s="234">
        <f t="shared" si="16"/>
        <v>5060.16</v>
      </c>
      <c r="Q41" s="533">
        <v>2.88</v>
      </c>
    </row>
    <row r="42" spans="2:18" ht="18.5" x14ac:dyDescent="0.45">
      <c r="C42" s="272" t="s">
        <v>207</v>
      </c>
      <c r="D42" s="273">
        <f t="shared" ref="D42:P42" si="18">IF(D$8="","",SUM(D38:D41))</f>
        <v>126792.86</v>
      </c>
      <c r="E42" s="274">
        <f t="shared" si="18"/>
        <v>130347.79999999999</v>
      </c>
      <c r="F42" s="275">
        <f t="shared" si="18"/>
        <v>132125.26999999999</v>
      </c>
      <c r="G42" s="273">
        <f t="shared" si="18"/>
        <v>129162.81999999999</v>
      </c>
      <c r="H42" s="274">
        <f t="shared" si="18"/>
        <v>129162.81999999999</v>
      </c>
      <c r="I42" s="275">
        <f t="shared" si="18"/>
        <v>86347.8</v>
      </c>
      <c r="J42" s="274">
        <f t="shared" si="18"/>
        <v>87132.78</v>
      </c>
      <c r="K42" s="274">
        <f t="shared" si="18"/>
        <v>87132.78</v>
      </c>
      <c r="L42" s="274" t="str">
        <f t="shared" si="18"/>
        <v/>
      </c>
      <c r="M42" s="273" t="str">
        <f t="shared" si="18"/>
        <v/>
      </c>
      <c r="N42" s="274" t="str">
        <f t="shared" si="18"/>
        <v/>
      </c>
      <c r="O42" s="276" t="str">
        <f t="shared" si="18"/>
        <v/>
      </c>
      <c r="P42" s="274">
        <f t="shared" si="18"/>
        <v>908204.93</v>
      </c>
      <c r="Q42" s="30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 t="s">
        <v>191</v>
      </c>
      <c r="C44" s="267" t="s">
        <v>209</v>
      </c>
      <c r="D44" s="268">
        <f t="shared" ref="D44:O48" si="19">IF(D$8="","",0)</f>
        <v>0</v>
      </c>
      <c r="E44" s="234">
        <f t="shared" si="19"/>
        <v>0</v>
      </c>
      <c r="F44" s="234">
        <f t="shared" si="19"/>
        <v>0</v>
      </c>
      <c r="G44" s="268">
        <f>416.5/19</f>
        <v>21.921052631578949</v>
      </c>
      <c r="H44" s="234">
        <f t="shared" si="19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19"/>
        <v/>
      </c>
      <c r="M44" s="268" t="str">
        <f t="shared" si="19"/>
        <v/>
      </c>
      <c r="N44" s="234" t="str">
        <f t="shared" si="19"/>
        <v/>
      </c>
      <c r="O44" s="234" t="str">
        <f t="shared" si="19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19"/>
        <v>0</v>
      </c>
      <c r="E45" s="234">
        <f t="shared" si="19"/>
        <v>0</v>
      </c>
      <c r="F45" s="269">
        <f t="shared" si="19"/>
        <v>0</v>
      </c>
      <c r="G45" s="268">
        <f t="shared" si="19"/>
        <v>0</v>
      </c>
      <c r="H45" s="234">
        <f>15600/19</f>
        <v>821.0526315789474</v>
      </c>
      <c r="I45" s="234">
        <f t="shared" si="19"/>
        <v>0</v>
      </c>
      <c r="J45" s="268">
        <f t="shared" si="19"/>
        <v>0</v>
      </c>
      <c r="K45" s="234">
        <f t="shared" si="19"/>
        <v>0</v>
      </c>
      <c r="L45" s="234" t="str">
        <f t="shared" si="19"/>
        <v/>
      </c>
      <c r="M45" s="268" t="str">
        <f t="shared" si="19"/>
        <v/>
      </c>
      <c r="N45" s="234" t="str">
        <f t="shared" si="19"/>
        <v/>
      </c>
      <c r="O45" s="234" t="str">
        <f t="shared" si="19"/>
        <v/>
      </c>
      <c r="P45" s="474">
        <f t="shared" ref="P45:P48" si="20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19"/>
        <v>0</v>
      </c>
      <c r="E46" s="234">
        <f t="shared" si="19"/>
        <v>0</v>
      </c>
      <c r="F46" s="269">
        <f t="shared" si="19"/>
        <v>0</v>
      </c>
      <c r="G46" s="268">
        <f t="shared" si="19"/>
        <v>0</v>
      </c>
      <c r="H46" s="234">
        <f t="shared" si="19"/>
        <v>0</v>
      </c>
      <c r="I46" s="234">
        <f t="shared" si="19"/>
        <v>0</v>
      </c>
      <c r="J46" s="268">
        <f t="shared" si="19"/>
        <v>0</v>
      </c>
      <c r="K46" s="234">
        <f t="shared" si="19"/>
        <v>0</v>
      </c>
      <c r="L46" s="234" t="str">
        <f t="shared" si="19"/>
        <v/>
      </c>
      <c r="M46" s="268" t="str">
        <f t="shared" si="19"/>
        <v/>
      </c>
      <c r="N46" s="234" t="str">
        <f t="shared" si="19"/>
        <v/>
      </c>
      <c r="O46" s="234" t="str">
        <f t="shared" si="19"/>
        <v/>
      </c>
      <c r="P46" s="474">
        <f t="shared" si="20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19"/>
        <v>0</v>
      </c>
      <c r="E47" s="234">
        <f t="shared" si="19"/>
        <v>0</v>
      </c>
      <c r="F47" s="234">
        <f t="shared" si="19"/>
        <v>0</v>
      </c>
      <c r="G47" s="268">
        <f t="shared" si="19"/>
        <v>0</v>
      </c>
      <c r="H47" s="234">
        <f t="shared" si="19"/>
        <v>0</v>
      </c>
      <c r="I47" s="234">
        <f t="shared" si="19"/>
        <v>0</v>
      </c>
      <c r="J47" s="268">
        <f t="shared" si="19"/>
        <v>0</v>
      </c>
      <c r="K47" s="234">
        <f t="shared" si="19"/>
        <v>0</v>
      </c>
      <c r="L47" s="234" t="str">
        <f t="shared" si="19"/>
        <v/>
      </c>
      <c r="M47" s="268" t="str">
        <f t="shared" si="19"/>
        <v/>
      </c>
      <c r="N47" s="234" t="str">
        <f t="shared" si="19"/>
        <v/>
      </c>
      <c r="O47" s="270" t="str">
        <f t="shared" si="19"/>
        <v/>
      </c>
      <c r="P47" s="234">
        <f t="shared" si="20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19"/>
        <v>0</v>
      </c>
      <c r="F48" s="456">
        <f t="shared" si="19"/>
        <v>0</v>
      </c>
      <c r="G48" s="458">
        <f t="shared" si="19"/>
        <v>0</v>
      </c>
      <c r="H48" s="234">
        <f t="shared" si="19"/>
        <v>0</v>
      </c>
      <c r="I48" s="456">
        <f t="shared" si="19"/>
        <v>0</v>
      </c>
      <c r="J48" s="268">
        <f t="shared" si="19"/>
        <v>0</v>
      </c>
      <c r="K48" s="457">
        <f t="shared" si="19"/>
        <v>0</v>
      </c>
      <c r="L48" s="456" t="str">
        <f t="shared" si="19"/>
        <v/>
      </c>
      <c r="M48" s="458" t="str">
        <f t="shared" si="19"/>
        <v/>
      </c>
      <c r="N48" s="234" t="str">
        <f t="shared" si="19"/>
        <v/>
      </c>
      <c r="O48" s="525" t="str">
        <f t="shared" si="19"/>
        <v/>
      </c>
      <c r="P48" s="475">
        <f t="shared" si="20"/>
        <v>0</v>
      </c>
      <c r="Q48" s="244"/>
    </row>
    <row r="49" spans="2:17" ht="18.5" x14ac:dyDescent="0.45">
      <c r="C49" s="272" t="s">
        <v>229</v>
      </c>
      <c r="D49" s="273">
        <f t="shared" ref="D49:P49" si="21">IF(D$8="","",SUM(D44:D48))</f>
        <v>0</v>
      </c>
      <c r="E49" s="274">
        <f t="shared" si="21"/>
        <v>0</v>
      </c>
      <c r="F49" s="275">
        <f t="shared" si="21"/>
        <v>0</v>
      </c>
      <c r="G49" s="273">
        <f t="shared" si="21"/>
        <v>21.921052631578949</v>
      </c>
      <c r="H49" s="274">
        <f t="shared" si="21"/>
        <v>821.0526315789474</v>
      </c>
      <c r="I49" s="275">
        <f t="shared" si="21"/>
        <v>12.102631578947367</v>
      </c>
      <c r="J49" s="274">
        <f t="shared" si="21"/>
        <v>31.315789473684209</v>
      </c>
      <c r="K49" s="274">
        <f t="shared" si="21"/>
        <v>56.368421052631582</v>
      </c>
      <c r="L49" s="274" t="str">
        <f t="shared" si="21"/>
        <v/>
      </c>
      <c r="M49" s="273" t="str">
        <f t="shared" si="21"/>
        <v/>
      </c>
      <c r="N49" s="274" t="str">
        <f t="shared" si="21"/>
        <v/>
      </c>
      <c r="O49" s="276" t="str">
        <f t="shared" si="21"/>
        <v/>
      </c>
      <c r="P49" s="557">
        <f t="shared" si="21"/>
        <v>942.76052631578955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41311.469999999972</v>
      </c>
      <c r="E51" s="289">
        <f>IF(E8="","",E14-SUM(E26,E36,E42,E49))</f>
        <v>-198793.17000000004</v>
      </c>
      <c r="F51" s="290">
        <f>IF(F8="","",F14-SUM(F26,F36,F42,F49))</f>
        <v>-196112.66999999993</v>
      </c>
      <c r="G51" s="288">
        <f>IF(G8="","",G14-SUM(G26,G36,G42,G49))</f>
        <v>96934.268947368371</v>
      </c>
      <c r="H51" s="289">
        <f>IF(H8="","",H14-SUM(H26,H36,H42,H49))</f>
        <v>-125425.40263157897</v>
      </c>
      <c r="I51" s="290">
        <f>IF(I8="","",I14-SUM(I26,I36,I42,I49))</f>
        <v>193457.25736842104</v>
      </c>
      <c r="J51" s="289">
        <f>IF(J8="","",J14-SUM(J26,J36,J42,J49))</f>
        <v>-194100.09578947374</v>
      </c>
      <c r="K51" s="289">
        <f>IF(K8="","",K14-SUM(K26,K36,K42,K49))</f>
        <v>-47569.828421052604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-430298.17052631546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144950.37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-285347.80052631546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160.5</v>
      </c>
      <c r="E56" s="234">
        <f>IF(E12="","",-E12)</f>
        <v>165</v>
      </c>
      <c r="F56" s="269">
        <f>IF(F12="","",-F12)</f>
        <v>167.25</v>
      </c>
      <c r="G56" s="268">
        <f>IF(G12="","",-G12)</f>
        <v>163.5</v>
      </c>
      <c r="H56" s="234">
        <f>IF(H12="","",-H12)</f>
        <v>163.5</v>
      </c>
      <c r="I56" s="269">
        <f>IF(I12="","",-I12)</f>
        <v>165</v>
      </c>
      <c r="J56" s="234">
        <f>IF(J12="","",-J12)</f>
        <v>166.5</v>
      </c>
      <c r="K56" s="234">
        <f>IF(K12="","",-K12)</f>
        <v>166.5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1317.75</v>
      </c>
      <c r="Q56" s="244"/>
    </row>
    <row r="57" spans="2:17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2">IF(E$8="","",0)</f>
        <v>0</v>
      </c>
      <c r="F57" s="269">
        <f t="shared" si="22"/>
        <v>0</v>
      </c>
      <c r="G57" s="268">
        <f t="shared" si="22"/>
        <v>0</v>
      </c>
      <c r="H57" s="234">
        <f t="shared" si="22"/>
        <v>0</v>
      </c>
      <c r="I57" s="269">
        <f t="shared" si="22"/>
        <v>0</v>
      </c>
      <c r="J57" s="234">
        <f t="shared" si="22"/>
        <v>0</v>
      </c>
      <c r="K57" s="234">
        <f t="shared" si="22"/>
        <v>0</v>
      </c>
      <c r="L57" s="234" t="str">
        <f t="shared" si="22"/>
        <v/>
      </c>
      <c r="M57" s="268" t="str">
        <f t="shared" si="22"/>
        <v/>
      </c>
      <c r="N57" s="234" t="str">
        <f t="shared" si="22"/>
        <v/>
      </c>
      <c r="O57" s="270" t="str">
        <f t="shared" si="22"/>
        <v/>
      </c>
      <c r="P57" s="234">
        <f>SUM(D57:O57)</f>
        <v>0</v>
      </c>
      <c r="Q57" s="244"/>
    </row>
    <row r="58" spans="2:17" ht="18.5" x14ac:dyDescent="0.45">
      <c r="C58" s="296" t="s">
        <v>234</v>
      </c>
      <c r="D58" s="297">
        <f>IF(D$8="","",SUM(D56:D57))</f>
        <v>160.5</v>
      </c>
      <c r="E58" s="298">
        <f t="shared" ref="E58:O58" si="23">IF(E$8="","",SUM(E56:E57))</f>
        <v>165</v>
      </c>
      <c r="F58" s="299">
        <f t="shared" si="23"/>
        <v>167.25</v>
      </c>
      <c r="G58" s="297">
        <f t="shared" si="23"/>
        <v>163.5</v>
      </c>
      <c r="H58" s="298">
        <f t="shared" si="23"/>
        <v>163.5</v>
      </c>
      <c r="I58" s="299">
        <f t="shared" si="23"/>
        <v>165</v>
      </c>
      <c r="J58" s="298">
        <f t="shared" si="23"/>
        <v>166.5</v>
      </c>
      <c r="K58" s="298">
        <f t="shared" si="23"/>
        <v>166.5</v>
      </c>
      <c r="L58" s="298" t="str">
        <f t="shared" si="23"/>
        <v/>
      </c>
      <c r="M58" s="297" t="str">
        <f t="shared" si="23"/>
        <v/>
      </c>
      <c r="N58" s="298" t="str">
        <f t="shared" si="23"/>
        <v/>
      </c>
      <c r="O58" s="300" t="str">
        <f t="shared" si="23"/>
        <v/>
      </c>
      <c r="P58" s="298">
        <f>SUM(P56:P57)</f>
        <v>1317.75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14277.81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15595.56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341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50132.959999999999</v>
      </c>
      <c r="E68" s="246">
        <v>39076.86</v>
      </c>
      <c r="F68" s="246">
        <v>129975.46</v>
      </c>
      <c r="G68" s="246">
        <v>60485.22</v>
      </c>
      <c r="H68" s="246">
        <v>0</v>
      </c>
      <c r="I68" s="308">
        <f>9445.96+1070-214</f>
        <v>10301.959999999999</v>
      </c>
      <c r="J68" s="309">
        <f>SUM(D68:I68)</f>
        <v>289972.46000000002</v>
      </c>
      <c r="K68" s="310">
        <v>214</v>
      </c>
      <c r="L68" s="307">
        <f>74.2+27.21</f>
        <v>101.41</v>
      </c>
      <c r="M68" s="246">
        <v>0</v>
      </c>
      <c r="N68" s="246">
        <f>24.64</f>
        <v>24.64</v>
      </c>
      <c r="O68" s="246">
        <f>120+110+440</f>
        <v>670</v>
      </c>
      <c r="P68" s="246">
        <f>4604.33</f>
        <v>4604.33</v>
      </c>
      <c r="Q68" s="246">
        <f>329.59+24.5+309.38+63.16+40.18</f>
        <v>766.81</v>
      </c>
      <c r="R68" s="246">
        <v>0</v>
      </c>
      <c r="S68" s="246">
        <v>0</v>
      </c>
      <c r="T68" s="246">
        <v>0</v>
      </c>
      <c r="U68" s="323">
        <v>-26375.8</v>
      </c>
    </row>
    <row r="69" spans="3:21" ht="18.5" x14ac:dyDescent="0.45">
      <c r="C69" s="306" t="str">
        <f>Addendum!E11</f>
        <v>August</v>
      </c>
      <c r="D69" s="307">
        <v>124419.95</v>
      </c>
      <c r="E69" s="246">
        <v>80017.13</v>
      </c>
      <c r="F69" s="246">
        <v>51914.15</v>
      </c>
      <c r="G69" s="246">
        <v>41077.5</v>
      </c>
      <c r="H69" s="246">
        <v>59501.69</v>
      </c>
      <c r="I69" s="308">
        <f>10958.22-223</f>
        <v>10735.22</v>
      </c>
      <c r="J69" s="309">
        <f t="shared" ref="J69:J79" si="24">SUM(D69:I69)</f>
        <v>367665.63999999996</v>
      </c>
      <c r="K69" s="311">
        <v>223</v>
      </c>
      <c r="L69" s="307">
        <f>0.96+51.26-29.04+341.31+4.49</f>
        <v>368.98</v>
      </c>
      <c r="M69" s="246">
        <v>0</v>
      </c>
      <c r="N69" s="246">
        <f>24.64+1070</f>
        <v>1094.6400000000001</v>
      </c>
      <c r="O69" s="246">
        <f>340+1100+660</f>
        <v>2100</v>
      </c>
      <c r="P69" s="246">
        <f>199.92</f>
        <v>199.92</v>
      </c>
      <c r="Q69" s="246">
        <f>81.07+8.75-237.01+25.49</f>
        <v>-121.7</v>
      </c>
      <c r="R69" s="246">
        <v>0</v>
      </c>
      <c r="S69" s="246">
        <v>0</v>
      </c>
      <c r="T69" s="246">
        <v>0</v>
      </c>
      <c r="U69" s="323">
        <v>0</v>
      </c>
    </row>
    <row r="70" spans="3:21" ht="18.5" x14ac:dyDescent="0.45">
      <c r="C70" s="306" t="str">
        <f>Addendum!E12</f>
        <v>September</v>
      </c>
      <c r="D70" s="307">
        <v>47051.96</v>
      </c>
      <c r="E70" s="246">
        <v>152008.66</v>
      </c>
      <c r="F70" s="246">
        <v>41902.69</v>
      </c>
      <c r="G70" s="246">
        <v>114534.87</v>
      </c>
      <c r="H70" s="246">
        <v>0</v>
      </c>
      <c r="I70" s="308">
        <f>10958.22-223</f>
        <v>10735.22</v>
      </c>
      <c r="J70" s="309">
        <f>SUM(D70:I70)</f>
        <v>366233.39999999997</v>
      </c>
      <c r="K70" s="311">
        <v>223</v>
      </c>
      <c r="L70" s="307">
        <f>12563.22+4682.59+503.96+89.23</f>
        <v>17838.999999999996</v>
      </c>
      <c r="M70" s="246">
        <v>0</v>
      </c>
      <c r="N70" s="246">
        <f>24.64</f>
        <v>24.64</v>
      </c>
      <c r="O70" s="246">
        <f>320+330</f>
        <v>650</v>
      </c>
      <c r="P70" s="246">
        <f>58.42</f>
        <v>58.42</v>
      </c>
      <c r="Q70" s="246">
        <f>20.92+33.39+18.71-72.37</f>
        <v>0.65000000000000568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37841.86</v>
      </c>
      <c r="E71" s="246">
        <v>203912.89</v>
      </c>
      <c r="F71" s="246">
        <v>77540.429999999993</v>
      </c>
      <c r="G71" s="246">
        <v>46438.46</v>
      </c>
      <c r="H71" s="246">
        <v>0</v>
      </c>
      <c r="I71" s="308">
        <f>10712.52-218</f>
        <v>10494.52</v>
      </c>
      <c r="J71" s="309">
        <f t="shared" si="24"/>
        <v>376228.16000000003</v>
      </c>
      <c r="K71" s="311">
        <v>218</v>
      </c>
      <c r="L71" s="307">
        <f>5.6-367.04+133.7</f>
        <v>-227.74</v>
      </c>
      <c r="M71" s="246">
        <f>1675.52</f>
        <v>1675.52</v>
      </c>
      <c r="N71" s="246">
        <f>24.64</f>
        <v>24.64</v>
      </c>
      <c r="O71" s="246">
        <f>280+330+330</f>
        <v>940</v>
      </c>
      <c r="P71" s="246">
        <v>0</v>
      </c>
      <c r="Q71" s="246">
        <f>3.15+14.62+34.93+173.28</f>
        <v>225.98000000000002</v>
      </c>
      <c r="R71" s="246">
        <v>0</v>
      </c>
      <c r="S71" s="246">
        <v>0</v>
      </c>
      <c r="T71" s="246">
        <v>0</v>
      </c>
      <c r="U71" s="323">
        <v>0</v>
      </c>
    </row>
    <row r="72" spans="3:21" ht="18.5" x14ac:dyDescent="0.45">
      <c r="C72" s="306" t="str">
        <f>Addendum!E14</f>
        <v>November</v>
      </c>
      <c r="D72" s="307">
        <v>32117.19</v>
      </c>
      <c r="E72" s="246">
        <v>144531.65</v>
      </c>
      <c r="F72" s="246">
        <v>85342.3</v>
      </c>
      <c r="G72" s="246">
        <v>87631.02</v>
      </c>
      <c r="H72" s="246">
        <v>48420.79</v>
      </c>
      <c r="I72" s="308">
        <f>10761.66-219</f>
        <v>10542.66</v>
      </c>
      <c r="J72" s="309">
        <f t="shared" si="24"/>
        <v>408585.61</v>
      </c>
      <c r="K72" s="311">
        <v>219</v>
      </c>
      <c r="L72" s="307">
        <f>12.17-27.01+95.3-8276.41+102.84</f>
        <v>-8093.1100000000006</v>
      </c>
      <c r="M72" s="246">
        <f>193.02</f>
        <v>193.02</v>
      </c>
      <c r="N72" s="246">
        <f>12.32</f>
        <v>12.32</v>
      </c>
      <c r="O72" s="246">
        <f>300+110+220</f>
        <v>630</v>
      </c>
      <c r="P72" s="246">
        <f>639.49+6.2</f>
        <v>645.69000000000005</v>
      </c>
      <c r="Q72" s="246">
        <f>-10.15+280.82-28.41+107.62+3.15</f>
        <v>353.03</v>
      </c>
      <c r="R72" s="246">
        <v>0</v>
      </c>
      <c r="S72" s="246">
        <v>0</v>
      </c>
      <c r="T72" s="246">
        <v>0</v>
      </c>
      <c r="U72" s="323">
        <v>0</v>
      </c>
    </row>
    <row r="73" spans="3:21" ht="18.5" x14ac:dyDescent="0.45">
      <c r="C73" s="306" t="str">
        <f>Addendum!E15</f>
        <v>December</v>
      </c>
      <c r="D73" s="307">
        <v>38640.47</v>
      </c>
      <c r="E73" s="246">
        <v>174015.03</v>
      </c>
      <c r="F73" s="246">
        <v>38246.43</v>
      </c>
      <c r="G73" s="246">
        <v>85489.49</v>
      </c>
      <c r="H73" s="246">
        <v>0</v>
      </c>
      <c r="I73" s="308">
        <f>10859.94-221</f>
        <v>10638.94</v>
      </c>
      <c r="J73" s="309">
        <f t="shared" si="24"/>
        <v>347030.36</v>
      </c>
      <c r="K73" s="311">
        <v>221</v>
      </c>
      <c r="L73" s="307">
        <f>478.38-59.7+39.88+119.73</f>
        <v>578.29</v>
      </c>
      <c r="M73" s="246">
        <v>0</v>
      </c>
      <c r="N73" s="246">
        <v>12.32</v>
      </c>
      <c r="O73" s="246">
        <f>280+1320+440</f>
        <v>2040</v>
      </c>
      <c r="P73" s="246">
        <f>400+417.49</f>
        <v>817.49</v>
      </c>
      <c r="Q73" s="246">
        <f>-27.51+795.39+35.74</f>
        <v>803.62</v>
      </c>
      <c r="R73" s="246">
        <v>0</v>
      </c>
      <c r="S73" s="246">
        <v>0</v>
      </c>
      <c r="T73" s="246">
        <v>0</v>
      </c>
      <c r="U73" s="323">
        <v>0</v>
      </c>
    </row>
    <row r="74" spans="3:21" ht="18.5" x14ac:dyDescent="0.45">
      <c r="C74" s="306" t="str">
        <f>Addendum!E16</f>
        <v>January 2025</v>
      </c>
      <c r="D74" s="307">
        <v>49861.83</v>
      </c>
      <c r="E74" s="246">
        <v>132536.23000000001</v>
      </c>
      <c r="F74" s="246">
        <v>67586.77</v>
      </c>
      <c r="G74" s="246">
        <v>41625.96</v>
      </c>
      <c r="H74" s="246">
        <v>103743.8</v>
      </c>
      <c r="I74" s="308">
        <f>10909.08-222</f>
        <v>10687.08</v>
      </c>
      <c r="J74" s="309">
        <f t="shared" si="24"/>
        <v>406041.67000000004</v>
      </c>
      <c r="K74" s="311">
        <v>222</v>
      </c>
      <c r="L74" s="307">
        <f>-26.84+984.3-11.21+1224.13+107.62</f>
        <v>2278</v>
      </c>
      <c r="M74" s="246">
        <v>0</v>
      </c>
      <c r="N74" s="246">
        <v>12.32</v>
      </c>
      <c r="O74" s="246">
        <f>420+330+770</f>
        <v>1520</v>
      </c>
      <c r="P74" s="246">
        <v>0</v>
      </c>
      <c r="Q74" s="246">
        <f>132.47-785.85+36.69+534.85+36.96</f>
        <v>-44.880000000000031</v>
      </c>
      <c r="R74" s="246">
        <v>0</v>
      </c>
      <c r="S74" s="246">
        <v>0</v>
      </c>
      <c r="T74" s="246">
        <v>0</v>
      </c>
      <c r="U74" s="323">
        <v>0</v>
      </c>
    </row>
    <row r="75" spans="3:21" ht="18.5" x14ac:dyDescent="0.45">
      <c r="C75" s="306" t="str">
        <f>Addendum!E17</f>
        <v>February</v>
      </c>
      <c r="D75" s="307">
        <v>107317.66</v>
      </c>
      <c r="E75" s="246">
        <v>116759.7</v>
      </c>
      <c r="F75" s="246">
        <v>79995.64</v>
      </c>
      <c r="G75" s="246">
        <v>65660.86</v>
      </c>
      <c r="H75" s="246">
        <v>0</v>
      </c>
      <c r="I75" s="308">
        <v>10638.94</v>
      </c>
      <c r="J75" s="309">
        <f t="shared" si="24"/>
        <v>380372.8</v>
      </c>
      <c r="K75" s="311">
        <v>221</v>
      </c>
      <c r="L75" s="307">
        <f>344.66+43.4-1193.55+148.77</f>
        <v>-656.72</v>
      </c>
      <c r="M75" s="246">
        <v>0</v>
      </c>
      <c r="N75" s="246">
        <f>12.53</f>
        <v>12.53</v>
      </c>
      <c r="O75" s="246">
        <f>480+110+440</f>
        <v>1030</v>
      </c>
      <c r="P75" s="246">
        <f>204.35</f>
        <v>204.35</v>
      </c>
      <c r="Q75" s="246">
        <f>-17.61+61.21+102.57-107.62+21.02</f>
        <v>59.569999999999979</v>
      </c>
      <c r="R75" s="246">
        <v>0</v>
      </c>
      <c r="S75" s="246">
        <v>0</v>
      </c>
      <c r="T75" s="246">
        <v>0</v>
      </c>
      <c r="U75" s="323">
        <v>-70006.86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4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4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4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4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487383.88</v>
      </c>
      <c r="E80" s="314">
        <f t="shared" ref="E80:J80" si="25">SUM(E68:E79)</f>
        <v>1042858.15</v>
      </c>
      <c r="F80" s="314">
        <f t="shared" si="25"/>
        <v>572503.87</v>
      </c>
      <c r="G80" s="314">
        <f t="shared" si="25"/>
        <v>542943.38</v>
      </c>
      <c r="H80" s="314">
        <f t="shared" si="25"/>
        <v>211666.28000000003</v>
      </c>
      <c r="I80" s="315">
        <f t="shared" si="25"/>
        <v>84774.540000000008</v>
      </c>
      <c r="J80" s="316">
        <f t="shared" si="25"/>
        <v>2942130.0999999996</v>
      </c>
      <c r="K80" s="317">
        <f>SUM(K68:K79)</f>
        <v>1761</v>
      </c>
      <c r="L80" s="313">
        <f>SUM(L68:L79)</f>
        <v>12188.109999999995</v>
      </c>
      <c r="M80" s="314">
        <f t="shared" ref="M80:U80" si="26">SUM(M68:M79)</f>
        <v>1868.54</v>
      </c>
      <c r="N80" s="314">
        <f t="shared" si="26"/>
        <v>1218.0500000000002</v>
      </c>
      <c r="O80" s="314">
        <f t="shared" si="26"/>
        <v>9580</v>
      </c>
      <c r="P80" s="314">
        <f t="shared" si="26"/>
        <v>6530.2000000000007</v>
      </c>
      <c r="Q80" s="314">
        <f t="shared" si="26"/>
        <v>2043.0799999999997</v>
      </c>
      <c r="R80" s="314">
        <f t="shared" si="26"/>
        <v>0</v>
      </c>
      <c r="S80" s="314">
        <f t="shared" si="26"/>
        <v>0</v>
      </c>
      <c r="T80" s="314">
        <f t="shared" si="26"/>
        <v>0</v>
      </c>
      <c r="U80" s="322">
        <f t="shared" si="26"/>
        <v>-96382.66</v>
      </c>
    </row>
    <row r="82" spans="3:11" ht="15" thickBot="1" x14ac:dyDescent="0.4"/>
    <row r="83" spans="3:11" ht="18.5" x14ac:dyDescent="0.45">
      <c r="C83" s="244"/>
      <c r="D83" s="664" t="s">
        <v>340</v>
      </c>
      <c r="E83" s="665"/>
      <c r="F83" s="665"/>
      <c r="G83" s="665"/>
      <c r="H83" s="665"/>
      <c r="I83" s="666" t="s">
        <v>23</v>
      </c>
      <c r="J83" s="666" t="s">
        <v>347</v>
      </c>
      <c r="K83" s="669" t="s">
        <v>353</v>
      </c>
    </row>
    <row r="84" spans="3:11" ht="18.5" x14ac:dyDescent="0.45">
      <c r="C84" s="244"/>
      <c r="D84" s="318" t="s">
        <v>13</v>
      </c>
      <c r="E84" s="319" t="s">
        <v>14</v>
      </c>
      <c r="F84" s="319" t="s">
        <v>15</v>
      </c>
      <c r="G84" s="319" t="s">
        <v>16</v>
      </c>
      <c r="H84" s="319" t="s">
        <v>17</v>
      </c>
      <c r="I84" s="658"/>
      <c r="J84" s="658"/>
      <c r="K84" s="670"/>
    </row>
    <row r="85" spans="3:11" ht="18.5" x14ac:dyDescent="0.45">
      <c r="C85" s="306" t="str">
        <f>Addendum!E10</f>
        <v>July   2024</v>
      </c>
      <c r="D85" s="307">
        <v>27691.360000000001</v>
      </c>
      <c r="E85" s="246">
        <v>26594.04</v>
      </c>
      <c r="F85" s="246">
        <v>28756.2</v>
      </c>
      <c r="G85" s="246">
        <v>56700.36</v>
      </c>
      <c r="H85" s="246">
        <v>0</v>
      </c>
      <c r="I85" s="541">
        <f t="shared" ref="I85:I96" si="27">SUM(D85:H85)</f>
        <v>139741.96000000002</v>
      </c>
      <c r="J85" s="541">
        <v>163344.25</v>
      </c>
      <c r="K85" s="560">
        <v>-160641.13</v>
      </c>
    </row>
    <row r="86" spans="3:11" ht="18.5" x14ac:dyDescent="0.45">
      <c r="C86" s="306" t="str">
        <f>Addendum!E11</f>
        <v>August</v>
      </c>
      <c r="D86" s="307">
        <v>51154.92</v>
      </c>
      <c r="E86" s="246">
        <v>16001.09</v>
      </c>
      <c r="F86" s="246">
        <v>52322.46</v>
      </c>
      <c r="G86" s="246">
        <v>64370.36</v>
      </c>
      <c r="H86" s="246">
        <v>0</v>
      </c>
      <c r="I86" s="541">
        <f t="shared" si="27"/>
        <v>183848.83000000002</v>
      </c>
      <c r="J86" s="541">
        <v>151646.54</v>
      </c>
      <c r="K86" s="560">
        <v>0</v>
      </c>
    </row>
    <row r="87" spans="3:11" ht="18.5" x14ac:dyDescent="0.45">
      <c r="C87" s="306" t="str">
        <f>Addendum!E12</f>
        <v>September</v>
      </c>
      <c r="D87" s="307">
        <v>17093.689999999999</v>
      </c>
      <c r="E87" s="246">
        <v>26444.15</v>
      </c>
      <c r="F87" s="246">
        <v>32647.14</v>
      </c>
      <c r="G87" s="246">
        <v>108501.05</v>
      </c>
      <c r="H87" s="246">
        <v>0</v>
      </c>
      <c r="I87" s="541">
        <f t="shared" si="27"/>
        <v>184686.03</v>
      </c>
      <c r="J87" s="541">
        <v>193604.8</v>
      </c>
      <c r="K87" s="560">
        <v>0</v>
      </c>
    </row>
    <row r="88" spans="3:11" ht="18.5" x14ac:dyDescent="0.45">
      <c r="C88" s="306" t="str">
        <f>Addendum!E13</f>
        <v>October</v>
      </c>
      <c r="D88" s="307">
        <v>24122.19</v>
      </c>
      <c r="E88" s="246">
        <v>25774.77</v>
      </c>
      <c r="F88" s="246">
        <v>31427.54</v>
      </c>
      <c r="G88" s="246">
        <v>21073.01</v>
      </c>
      <c r="H88" s="246">
        <v>0</v>
      </c>
      <c r="I88" s="541">
        <f t="shared" si="27"/>
        <v>102397.51</v>
      </c>
      <c r="J88" s="541">
        <v>174396.92</v>
      </c>
      <c r="K88" s="560">
        <v>-141795.38</v>
      </c>
    </row>
    <row r="89" spans="3:11" ht="18.5" x14ac:dyDescent="0.45">
      <c r="C89" s="306" t="str">
        <f>Addendum!E14</f>
        <v>November</v>
      </c>
      <c r="D89" s="307">
        <v>45362.46</v>
      </c>
      <c r="E89" s="246">
        <v>25817.23</v>
      </c>
      <c r="F89" s="246">
        <v>56859.42</v>
      </c>
      <c r="G89" s="246">
        <v>42379.21</v>
      </c>
      <c r="H89" s="246">
        <v>0</v>
      </c>
      <c r="I89" s="541">
        <f t="shared" si="27"/>
        <v>170418.32</v>
      </c>
      <c r="J89" s="541">
        <v>174287.45</v>
      </c>
      <c r="K89" s="560">
        <v>0</v>
      </c>
    </row>
    <row r="90" spans="3:11" ht="18.5" x14ac:dyDescent="0.45">
      <c r="C90" s="306" t="str">
        <f>Addendum!E15</f>
        <v>December</v>
      </c>
      <c r="D90" s="307">
        <v>42885.49</v>
      </c>
      <c r="E90" s="246">
        <v>22455.53</v>
      </c>
      <c r="F90" s="246">
        <v>28476.99</v>
      </c>
      <c r="G90" s="246">
        <v>84983.84</v>
      </c>
      <c r="H90" s="246">
        <v>0</v>
      </c>
      <c r="I90" s="541">
        <f t="shared" si="27"/>
        <v>178801.84999999998</v>
      </c>
      <c r="J90" s="541">
        <v>195839.65</v>
      </c>
      <c r="K90" s="560">
        <v>-184109.38</v>
      </c>
    </row>
    <row r="91" spans="3:11" ht="18.5" x14ac:dyDescent="0.45">
      <c r="C91" s="306" t="str">
        <f>Addendum!E16</f>
        <v>January 2025</v>
      </c>
      <c r="D91" s="307">
        <v>55493.02</v>
      </c>
      <c r="E91" s="246">
        <v>12547.54</v>
      </c>
      <c r="F91" s="246">
        <v>63055.839999999997</v>
      </c>
      <c r="G91" s="246">
        <v>69872.759999999995</v>
      </c>
      <c r="H91" s="246">
        <v>0</v>
      </c>
      <c r="I91" s="541">
        <f t="shared" si="27"/>
        <v>200969.15999999997</v>
      </c>
      <c r="J91" s="541">
        <v>216748.31</v>
      </c>
      <c r="K91" s="560">
        <v>0</v>
      </c>
    </row>
    <row r="92" spans="3:11" ht="18.5" x14ac:dyDescent="0.45">
      <c r="C92" s="306" t="str">
        <f>Addendum!E17</f>
        <v>February</v>
      </c>
      <c r="D92" s="307">
        <v>41851.870000000003</v>
      </c>
      <c r="E92" s="246">
        <v>43454.82</v>
      </c>
      <c r="F92" s="246">
        <v>65265.23</v>
      </c>
      <c r="G92" s="246">
        <v>33714.15</v>
      </c>
      <c r="H92" s="246">
        <v>0</v>
      </c>
      <c r="I92" s="541">
        <f t="shared" si="27"/>
        <v>184286.07</v>
      </c>
      <c r="J92" s="541">
        <v>175370.22</v>
      </c>
      <c r="K92" s="560">
        <v>0</v>
      </c>
    </row>
    <row r="93" spans="3:11" ht="18.5" x14ac:dyDescent="0.45">
      <c r="C93" s="306" t="str">
        <f>Addendum!E18</f>
        <v>March</v>
      </c>
      <c r="D93" s="307"/>
      <c r="E93" s="246"/>
      <c r="F93" s="246"/>
      <c r="G93" s="246"/>
      <c r="H93" s="246"/>
      <c r="I93" s="541">
        <f t="shared" si="27"/>
        <v>0</v>
      </c>
      <c r="J93" s="541"/>
      <c r="K93" s="560"/>
    </row>
    <row r="94" spans="3:11" ht="18.5" x14ac:dyDescent="0.45">
      <c r="C94" s="306" t="str">
        <f>Addendum!E19</f>
        <v>April</v>
      </c>
      <c r="D94" s="307"/>
      <c r="E94" s="246"/>
      <c r="F94" s="246"/>
      <c r="G94" s="246"/>
      <c r="H94" s="246"/>
      <c r="I94" s="541">
        <f t="shared" si="27"/>
        <v>0</v>
      </c>
      <c r="J94" s="541"/>
      <c r="K94" s="560"/>
    </row>
    <row r="95" spans="3:11" ht="18.5" x14ac:dyDescent="0.45">
      <c r="C95" s="306" t="str">
        <f>Addendum!E20</f>
        <v>May</v>
      </c>
      <c r="D95" s="307"/>
      <c r="E95" s="246"/>
      <c r="F95" s="246"/>
      <c r="G95" s="246"/>
      <c r="H95" s="246"/>
      <c r="I95" s="541">
        <f t="shared" si="27"/>
        <v>0</v>
      </c>
      <c r="J95" s="541"/>
      <c r="K95" s="560"/>
    </row>
    <row r="96" spans="3:11" ht="19" thickBot="1" x14ac:dyDescent="0.5">
      <c r="C96" s="306" t="str">
        <f>Addendum!E21</f>
        <v>June</v>
      </c>
      <c r="D96" s="307"/>
      <c r="E96" s="246"/>
      <c r="F96" s="246"/>
      <c r="G96" s="246"/>
      <c r="H96" s="246"/>
      <c r="I96" s="541">
        <f t="shared" si="27"/>
        <v>0</v>
      </c>
      <c r="J96" s="541"/>
      <c r="K96" s="561"/>
    </row>
    <row r="97" spans="3:11" ht="19.5" thickTop="1" thickBot="1" x14ac:dyDescent="0.5">
      <c r="C97" s="312" t="s">
        <v>22</v>
      </c>
      <c r="D97" s="313">
        <f>SUM(D85:D96)</f>
        <v>305655</v>
      </c>
      <c r="E97" s="314">
        <f t="shared" ref="E97:H97" si="28">SUM(E85:E96)</f>
        <v>199089.17</v>
      </c>
      <c r="F97" s="314">
        <f t="shared" si="28"/>
        <v>358810.81999999995</v>
      </c>
      <c r="G97" s="314">
        <f t="shared" si="28"/>
        <v>481594.74000000011</v>
      </c>
      <c r="H97" s="314">
        <f t="shared" si="28"/>
        <v>0</v>
      </c>
      <c r="I97" s="542">
        <f>SUM(I85:I96)</f>
        <v>1345149.7300000002</v>
      </c>
      <c r="J97" s="542">
        <f>SUM(J85:J96)</f>
        <v>1445238.14</v>
      </c>
      <c r="K97" s="562">
        <f>SUM(K85:K96)</f>
        <v>-486545.89</v>
      </c>
    </row>
  </sheetData>
  <mergeCells count="24">
    <mergeCell ref="C52:O52"/>
    <mergeCell ref="C53:O53"/>
    <mergeCell ref="D16:F16"/>
    <mergeCell ref="G16:I16"/>
    <mergeCell ref="J16:L16"/>
    <mergeCell ref="M16:O16"/>
    <mergeCell ref="P21:P22"/>
    <mergeCell ref="C2:P2"/>
    <mergeCell ref="C3:P3"/>
    <mergeCell ref="C5:P5"/>
    <mergeCell ref="D10:F10"/>
    <mergeCell ref="M10:O10"/>
    <mergeCell ref="C59:O59"/>
    <mergeCell ref="D83:H83"/>
    <mergeCell ref="I83:I84"/>
    <mergeCell ref="D66:H66"/>
    <mergeCell ref="I66:I67"/>
    <mergeCell ref="J66:J67"/>
    <mergeCell ref="C60:O60"/>
    <mergeCell ref="K66:K67"/>
    <mergeCell ref="L66:U66"/>
    <mergeCell ref="D65:U65"/>
    <mergeCell ref="J83:J84"/>
    <mergeCell ref="K83:K84"/>
  </mergeCells>
  <conditionalFormatting sqref="D51:P51">
    <cfRule type="cellIs" dxfId="10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51496-C34F-42F6-BC36-66B607E25F50}">
  <sheetPr codeName="Sheet19">
    <tabColor theme="6" tint="0.39997558519241921"/>
    <pageSetUpPr fitToPage="1"/>
  </sheetPr>
  <dimension ref="B1:V103"/>
  <sheetViews>
    <sheetView view="pageBreakPreview" topLeftCell="A60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  <col min="22" max="22" width="13.26953125" customWidth="1"/>
    <col min="24" max="24" width="13.54296875" bestFit="1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174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Entry'!$D$3:$D$500,MATCH(1,INDEX((Iroquois!$C$7='Cash Flow Entry'!$B$3:$B$500)*(VALUE(Iroquois!D$7)='Cash Flow Entry'!$C$3:$C$500),0,1),0)),"")</f>
        <v>153</v>
      </c>
      <c r="E8" s="256" cm="1">
        <f t="array" ref="E8">IFERROR(INDEX('Cash Flow Entry'!$D$3:$D$500,MATCH(1,INDEX((Iroquois!$C$7='Cash Flow Entry'!$B$3:$B$500)*(VALUE(Iroquois!E$7)='Cash Flow Entry'!$C$3:$C$500),0,1),0)),"")</f>
        <v>152</v>
      </c>
      <c r="F8" s="257" cm="1">
        <f t="array" ref="F8">IFERROR(INDEX('Cash Flow Entry'!$D$3:$D$500,MATCH(1,INDEX((Iroquois!$C$7='Cash Flow Entry'!$B$3:$B$500)*(VALUE(Iroquois!F$7)='Cash Flow Entry'!$C$3:$C$500),0,1),0)),"")</f>
        <v>157</v>
      </c>
      <c r="G8" s="255" cm="1">
        <f t="array" ref="G8">IFERROR(INDEX('Cash Flow Entry'!$D$3:$D$500,MATCH(1,INDEX((Iroquois!$C$7='Cash Flow Entry'!$B$3:$B$500)*(VALUE(Iroquois!G$7)='Cash Flow Entry'!$C$3:$C$500),0,1),0)),"")</f>
        <v>156</v>
      </c>
      <c r="H8" s="256" cm="1">
        <f t="array" ref="H8">IFERROR(INDEX('Cash Flow Entry'!$D$3:$D$500,MATCH(1,INDEX((Iroquois!$C$7='Cash Flow Entry'!$B$3:$B$500)*(VALUE(Iroquois!H$7)='Cash Flow Entry'!$C$3:$C$500),0,1),0)),"")</f>
        <v>160</v>
      </c>
      <c r="I8" s="257" cm="1">
        <f t="array" ref="I8">IFERROR(INDEX('Cash Flow Entry'!$D$3:$D$500,MATCH(1,INDEX((Iroquois!$C$7='Cash Flow Entry'!$B$3:$B$500)*(VALUE(Iroquois!I$7)='Cash Flow Entry'!$C$3:$C$500),0,1),0)),"")</f>
        <v>162</v>
      </c>
      <c r="J8" s="256" cm="1">
        <f t="array" ref="J8">IFERROR(INDEX('Cash Flow Entry'!$D$3:$D$500,MATCH(1,INDEX((Iroquois!$C$7='Cash Flow Entry'!$B$3:$B$500)*(VALUE(Iroquois!J$7)='Cash Flow Entry'!$C$3:$C$500),0,1),0)),"")</f>
        <v>161</v>
      </c>
      <c r="K8" s="256" cm="1">
        <f t="array" ref="K8">IFERROR(INDEX('Cash Flow Entry'!$D$3:$D$500,MATCH(1,INDEX((Iroquois!$C$7='Cash Flow Entry'!$B$3:$B$500)*(VALUE(Iroquois!K$7)='Cash Flow Entry'!$C$3:$C$500),0,1),0)),"")</f>
        <v>159</v>
      </c>
      <c r="L8" s="256" t="str" cm="1">
        <f t="array" ref="L8">IFERROR(INDEX('Cash Flow Entry'!$D$3:$D$500,MATCH(1,INDEX((Iroquois!$C$7='Cash Flow Entry'!$B$3:$B$500)*(VALUE(Iroquois!L$7)='Cash Flow Entry'!$C$3:$C$500),0,1),0)),"")</f>
        <v/>
      </c>
      <c r="M8" s="255" t="str" cm="1">
        <f t="array" ref="M8">IFERROR(INDEX('Cash Flow Entry'!$D$3:$D$500,MATCH(1,INDEX((Iroquois!$C$7='Cash Flow Entry'!$B$3:$B$500)*(VALUE(Iroquois!M$7)='Cash Flow Entry'!$C$3:$C$500),0,1),0)),"")</f>
        <v/>
      </c>
      <c r="N8" s="256" t="str" cm="1">
        <f t="array" ref="N8">IFERROR(INDEX('Cash Flow Entry'!$D$3:$D$500,MATCH(1,INDEX((Iroquois!$C$7='Cash Flow Entry'!$B$3:$B$500)*(VALUE(Iroquois!N$7)='Cash Flow Entry'!$C$3:$C$500),0,1),0)),"")</f>
        <v/>
      </c>
      <c r="O8" s="258" t="str" cm="1">
        <f t="array" ref="O8">IFERROR(INDEX('Cash Flow Entry'!$D$3:$D$500,MATCH(1,INDEX((Iroquois!$C$7='Cash Flow Entry'!$B$3:$B$500)*(VALUE(Iroquois!O$7)='Cash Flow Entry'!$C$3:$C$500),0,1),0)),"")</f>
        <v/>
      </c>
      <c r="P8" s="259">
        <f>SUM(D8:O8)</f>
        <v>1260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Entry'!$E$3:$E$500,MATCH(1,INDEX((Iroquois!$C$7='Cash Flow Entry'!$B$3:$B$500)*(VALUE(Iroquois!D$7)='Cash Flow Entry'!$C$3:$C$500),0,1),0)),"")</f>
        <v>409</v>
      </c>
      <c r="E9" s="256" cm="1">
        <f t="array" ref="E9">IFERROR(INDEX('Cash Flow Entry'!$E$3:$E$500,MATCH(1,INDEX((Iroquois!$C$7='Cash Flow Entry'!$B$3:$B$500)*(VALUE(Iroquois!E$7)='Cash Flow Entry'!$C$3:$C$500),0,1),0)),"")</f>
        <v>405</v>
      </c>
      <c r="F9" s="257" cm="1">
        <f t="array" ref="F9">IFERROR(INDEX('Cash Flow Entry'!$E$3:$E$500,MATCH(1,INDEX((Iroquois!$C$7='Cash Flow Entry'!$B$3:$B$500)*(VALUE(Iroquois!F$7)='Cash Flow Entry'!$C$3:$C$500),0,1),0)),"")</f>
        <v>409</v>
      </c>
      <c r="G9" s="255" cm="1">
        <f t="array" ref="G9">IFERROR(INDEX('Cash Flow Entry'!$E$3:$E$500,MATCH(1,INDEX((Iroquois!$C$7='Cash Flow Entry'!$B$3:$B$500)*(VALUE(Iroquois!G$7)='Cash Flow Entry'!$C$3:$C$500),0,1),0)),"")</f>
        <v>409</v>
      </c>
      <c r="H9" s="256" cm="1">
        <f t="array" ref="H9">IFERROR(INDEX('Cash Flow Entry'!$E$3:$E$500,MATCH(1,INDEX((Iroquois!$C$7='Cash Flow Entry'!$B$3:$B$500)*(VALUE(Iroquois!H$7)='Cash Flow Entry'!$C$3:$C$500),0,1),0)),"")</f>
        <v>417</v>
      </c>
      <c r="I9" s="257" cm="1">
        <f t="array" ref="I9">IFERROR(INDEX('Cash Flow Entry'!$E$3:$E$500,MATCH(1,INDEX((Iroquois!$C$7='Cash Flow Entry'!$B$3:$B$500)*(VALUE(Iroquois!I$7)='Cash Flow Entry'!$C$3:$C$500),0,1),0)),"")</f>
        <v>414</v>
      </c>
      <c r="J9" s="256" cm="1">
        <f t="array" ref="J9">IFERROR(INDEX('Cash Flow Entry'!$E$3:$E$500,MATCH(1,INDEX((Iroquois!$C$7='Cash Flow Entry'!$B$3:$B$500)*(VALUE(Iroquois!J$7)='Cash Flow Entry'!$C$3:$C$500),0,1),0)),"")</f>
        <v>413</v>
      </c>
      <c r="K9" s="256" cm="1">
        <f t="array" ref="K9">IFERROR(INDEX('Cash Flow Entry'!$E$3:$E$500,MATCH(1,INDEX((Iroquois!$C$7='Cash Flow Entry'!$B$3:$B$500)*(VALUE(Iroquois!K$7)='Cash Flow Entry'!$C$3:$C$500),0,1),0)),"")</f>
        <v>407</v>
      </c>
      <c r="L9" s="256" t="str" cm="1">
        <f t="array" ref="L9">IFERROR(INDEX('Cash Flow Entry'!$E$3:$E$500,MATCH(1,INDEX((Iroquois!$C$7='Cash Flow Entry'!$B$3:$B$500)*(VALUE(Iroquois!L$7)='Cash Flow Entry'!$C$3:$C$500),0,1),0)),"")</f>
        <v/>
      </c>
      <c r="M9" s="255" t="str" cm="1">
        <f t="array" ref="M9">IFERROR(INDEX('Cash Flow Entry'!$E$3:$E$500,MATCH(1,INDEX((Iroquois!$C$7='Cash Flow Entry'!$B$3:$B$500)*(VALUE(Iroquois!M$7)='Cash Flow Entry'!$C$3:$C$500),0,1),0)),"")</f>
        <v/>
      </c>
      <c r="N9" s="256" t="str" cm="1">
        <f t="array" ref="N9">IFERROR(INDEX('Cash Flow Entry'!$E$3:$E$500,MATCH(1,INDEX((Iroquois!$C$7='Cash Flow Entry'!$B$3:$B$500)*(VALUE(Iroquois!N$7)='Cash Flow Entry'!$C$3:$C$500),0,1),0)),"")</f>
        <v/>
      </c>
      <c r="O9" s="258" t="str" cm="1">
        <f t="array" ref="O9">IFERROR(INDEX('Cash Flow Entry'!$E$3:$E$500,MATCH(1,INDEX((Iroquois!$C$7='Cash Flow Entry'!$B$3:$B$500)*(VALUE(Iroquois!O$7)='Cash Flow Entry'!$C$3:$C$500),0,1),0)),"")</f>
        <v/>
      </c>
      <c r="P9" s="259">
        <f>SUM(D9:O9)</f>
        <v>3283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$1,718</v>
      </c>
      <c r="E10" s="645"/>
      <c r="F10" s="646"/>
      <c r="G10" s="487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$1,353.46</v>
      </c>
      <c r="N10" s="645"/>
      <c r="O10" s="647"/>
      <c r="P10" s="265">
        <f>P14</f>
        <v>1705361.8199999998</v>
      </c>
      <c r="Q10" s="266">
        <v>1718.22</v>
      </c>
      <c r="R10" s="305">
        <f>Q10*P8</f>
        <v>2164957.2000000002</v>
      </c>
      <c r="S10" s="305"/>
    </row>
    <row r="11" spans="2:20" ht="18.5" x14ac:dyDescent="0.45">
      <c r="B11" s="213" t="s">
        <v>191</v>
      </c>
      <c r="C11" s="267" t="s">
        <v>194</v>
      </c>
      <c r="D11" s="268">
        <v>253817.52</v>
      </c>
      <c r="E11" s="234">
        <v>253817.52</v>
      </c>
      <c r="F11" s="234">
        <v>0</v>
      </c>
      <c r="G11" s="268">
        <v>132302.94</v>
      </c>
      <c r="H11" s="234">
        <v>178694.88</v>
      </c>
      <c r="I11" s="269">
        <v>192440.64</v>
      </c>
      <c r="J11" s="234">
        <v>261169.44</v>
      </c>
      <c r="K11" s="234">
        <v>436427.88</v>
      </c>
      <c r="L11" s="234"/>
      <c r="M11" s="268"/>
      <c r="N11" s="234"/>
      <c r="O11" s="270"/>
      <c r="P11" s="234">
        <f>SUM(D11:O11)</f>
        <v>1708670.8199999998</v>
      </c>
      <c r="Q11" s="302"/>
    </row>
    <row r="12" spans="2:20" ht="18.5" x14ac:dyDescent="0.45">
      <c r="C12" s="267" t="s">
        <v>195</v>
      </c>
      <c r="D12" s="268">
        <f>IF(D$8="","",IF(D$11=0,0,D$8*$Q12))</f>
        <v>-459</v>
      </c>
      <c r="E12" s="234">
        <f t="shared" ref="E12:O12" si="0">IF(E$8="","",IF(E$11=0,0,E$8*$Q12))</f>
        <v>-456</v>
      </c>
      <c r="F12" s="269">
        <f t="shared" si="0"/>
        <v>0</v>
      </c>
      <c r="G12" s="268">
        <f t="shared" si="0"/>
        <v>-468</v>
      </c>
      <c r="H12" s="234">
        <f t="shared" si="0"/>
        <v>-480</v>
      </c>
      <c r="I12" s="269">
        <f t="shared" si="0"/>
        <v>-486</v>
      </c>
      <c r="J12" s="234">
        <f t="shared" si="0"/>
        <v>-483</v>
      </c>
      <c r="K12" s="234">
        <f t="shared" si="0"/>
        <v>-477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-3309</v>
      </c>
      <c r="Q12" s="533">
        <v>-3</v>
      </c>
    </row>
    <row r="13" spans="2:20" ht="18.5" x14ac:dyDescent="0.45">
      <c r="B13" s="213" t="s">
        <v>191</v>
      </c>
      <c r="C13" s="267" t="s">
        <v>196</v>
      </c>
      <c r="D13" s="458">
        <f t="shared" ref="D13:O13" si="2">IF(D$8="","",0)</f>
        <v>0</v>
      </c>
      <c r="E13" s="457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253358.52</v>
      </c>
      <c r="E14" s="274">
        <f t="shared" ref="E14:O14" si="3">IF(E8="","",SUM(E11:E13))</f>
        <v>253361.52</v>
      </c>
      <c r="F14" s="275">
        <f t="shared" si="3"/>
        <v>0</v>
      </c>
      <c r="G14" s="273">
        <f t="shared" si="3"/>
        <v>131834.94</v>
      </c>
      <c r="H14" s="274">
        <f t="shared" si="3"/>
        <v>178214.88</v>
      </c>
      <c r="I14" s="275">
        <f t="shared" si="3"/>
        <v>191954.64</v>
      </c>
      <c r="J14" s="274">
        <f t="shared" si="3"/>
        <v>260686.44</v>
      </c>
      <c r="K14" s="274">
        <f t="shared" si="3"/>
        <v>435950.88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1705361.8199999998</v>
      </c>
      <c r="Q14" s="533"/>
    </row>
    <row r="15" spans="2:20" ht="18.5" x14ac:dyDescent="0.45">
      <c r="C15" s="161"/>
      <c r="D15" s="277"/>
      <c r="E15" s="161"/>
      <c r="F15" s="568" t="s">
        <v>360</v>
      </c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$1,240</v>
      </c>
      <c r="E16" s="645"/>
      <c r="F16" s="646"/>
      <c r="G16" s="644" t="str">
        <f>"Admin, Reinsurance, &amp; Misc. PEPM: "&amp;DOLLAR(SUM($P36,$P42,$P49)/$P$8,0)</f>
        <v>Admin, Reinsurance, &amp; Misc. PEPM: $578</v>
      </c>
      <c r="H16" s="645"/>
      <c r="I16" s="646"/>
      <c r="J16" s="644" t="str">
        <f>"Total Expenses PEPM: "&amp;DOLLAR($P16/$P$8,0)</f>
        <v>Total Expenses PEPM: $1,819</v>
      </c>
      <c r="K16" s="645"/>
      <c r="L16" s="646"/>
      <c r="M16" s="644" t="str">
        <f>"Projection Variance: "&amp;TEXT(($P$16/$P$8)/$Q$10-1,"0.00%")</f>
        <v>Projection Variance: 5.84%</v>
      </c>
      <c r="N16" s="645"/>
      <c r="O16" s="647"/>
      <c r="P16" s="265">
        <f>SUM(P26,P36,P42,P49)</f>
        <v>2291314.1905263155</v>
      </c>
      <c r="Q16" s="534"/>
    </row>
    <row r="17" spans="2:22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22" ht="18.5" x14ac:dyDescent="0.45">
      <c r="B18" s="213"/>
      <c r="C18" s="267" t="s">
        <v>91</v>
      </c>
      <c r="D18" s="268" cm="1">
        <f t="array" ref="D18">IFERROR(IFERROR(INDEX('Cash Flow Entry'!$F$3:$F$500,MATCH(1,INDEX((Iroquois!$C$7='Cash Flow Entry'!$B$3:$B$500)*(VALUE(Iroquois!D$7)='Cash Flow Entry'!$C$3:$C$500),0,1),0)),"")+IFERROR(INDEX('Cash Flow Entry'!$H$3:$H$500,MATCH(1,INDEX((Iroquois!$C$7='Cash Flow Entry'!$B$3:$B$500)*(VALUE(Iroquois!D$7)='Cash Flow Entry'!$C$3:$C$500),0,1),0)),""),"")</f>
        <v>201794.24000000002</v>
      </c>
      <c r="E18" s="234" cm="1">
        <f t="array" ref="E18">IFERROR(IFERROR(INDEX('Cash Flow Entry'!$F$3:$F$500,MATCH(1,INDEX((Iroquois!$C$7='Cash Flow Entry'!$B$3:$B$500)*(VALUE(Iroquois!E$7)='Cash Flow Entry'!$C$3:$C$500),0,1),0)),"")+IFERROR(INDEX('Cash Flow Entry'!$H$3:$H$500,MATCH(1,INDEX((Iroquois!$C$7='Cash Flow Entry'!$B$3:$B$500)*(VALUE(Iroquois!E$7)='Cash Flow Entry'!$C$3:$C$500),0,1),0)),""),"")</f>
        <v>131277.45000000001</v>
      </c>
      <c r="F18" s="269" cm="1">
        <f t="array" ref="F18">IFERROR(IFERROR(INDEX('Cash Flow Entry'!$F$3:$F$500,MATCH(1,INDEX((Iroquois!$C$7='Cash Flow Entry'!$B$3:$B$500)*(VALUE(Iroquois!F$7)='Cash Flow Entry'!$C$3:$C$500),0,1),0)),"")+IFERROR(INDEX('Cash Flow Entry'!$H$3:$H$500,MATCH(1,INDEX((Iroquois!$C$7='Cash Flow Entry'!$B$3:$B$500)*(VALUE(Iroquois!F$7)='Cash Flow Entry'!$C$3:$C$500),0,1),0)),""),"")</f>
        <v>137951.24</v>
      </c>
      <c r="G18" s="268" cm="1">
        <f t="array" ref="G18">IFERROR(IFERROR(INDEX('Cash Flow Entry'!$F$3:$F$500,MATCH(1,INDEX((Iroquois!$C$7='Cash Flow Entry'!$B$3:$B$500)*(VALUE(Iroquois!G$7)='Cash Flow Entry'!$C$3:$C$500),0,1),0)),"")+IFERROR(INDEX('Cash Flow Entry'!$H$3:$H$500,MATCH(1,INDEX((Iroquois!$C$7='Cash Flow Entry'!$B$3:$B$500)*(VALUE(Iroquois!G$7)='Cash Flow Entry'!$C$3:$C$500),0,1),0)),""),"")</f>
        <v>187123.6</v>
      </c>
      <c r="H18" s="234" cm="1">
        <f t="array" ref="H18">IFERROR(IFERROR(INDEX('Cash Flow Entry'!$F$3:$F$500,MATCH(1,INDEX((Iroquois!$C$7='Cash Flow Entry'!$B$3:$B$500)*(VALUE(Iroquois!H$7)='Cash Flow Entry'!$C$3:$C$500),0,1),0)),"")+IFERROR(INDEX('Cash Flow Entry'!$H$3:$H$500,MATCH(1,INDEX((Iroquois!$C$7='Cash Flow Entry'!$B$3:$B$500)*(VALUE(Iroquois!H$7)='Cash Flow Entry'!$C$3:$C$500),0,1),0)),""),"")</f>
        <v>334520.71999999997</v>
      </c>
      <c r="I18" s="234" cm="1">
        <f t="array" ref="I18">IFERROR(IFERROR(INDEX('Cash Flow Entry'!$F$3:$F$500,MATCH(1,INDEX((Iroquois!$C$7='Cash Flow Entry'!$B$3:$B$500)*(VALUE(Iroquois!I$7)='Cash Flow Entry'!$C$3:$C$500),0,1),0)),"")+IFERROR(INDEX('Cash Flow Entry'!$H$3:$H$500,MATCH(1,INDEX((Iroquois!$C$7='Cash Flow Entry'!$B$3:$B$500)*(VALUE(Iroquois!I$7)='Cash Flow Entry'!$C$3:$C$500),0,1),0)),""),"")</f>
        <v>106183.79000000001</v>
      </c>
      <c r="J18" s="268" cm="1">
        <f t="array" ref="J18">IFERROR(IFERROR(INDEX('Cash Flow Entry'!$F$3:$F$500,MATCH(1,INDEX((Iroquois!$C$7='Cash Flow Entry'!$B$3:$B$500)*(VALUE(Iroquois!J$7)='Cash Flow Entry'!$C$3:$C$500),0,1),0)),"")+IFERROR(INDEX('Cash Flow Entry'!$H$3:$H$500,MATCH(1,INDEX((Iroquois!$C$7='Cash Flow Entry'!$B$3:$B$500)*(VALUE(Iroquois!J$7)='Cash Flow Entry'!$C$3:$C$500),0,1),0)),""),"")</f>
        <v>184767.54</v>
      </c>
      <c r="K18" s="234" cm="1">
        <f t="array" ref="K18">IFERROR(IFERROR(INDEX('Cash Flow Entry'!$F$3:$F$500,MATCH(1,INDEX((Iroquois!$C$7='Cash Flow Entry'!$B$3:$B$500)*(VALUE(Iroquois!K$7)='Cash Flow Entry'!$C$3:$C$500),0,1),0)),"")+IFERROR(INDEX('Cash Flow Entry'!$H$3:$H$500,MATCH(1,INDEX((Iroquois!$C$7='Cash Flow Entry'!$B$3:$B$500)*(VALUE(Iroquois!K$7)='Cash Flow Entry'!$C$3:$C$500),0,1),0)),""),"")</f>
        <v>119344.57999999999</v>
      </c>
      <c r="L18" s="234" t="str" cm="1">
        <f t="array" ref="L18">IFERROR(IFERROR(INDEX('Cash Flow Entry'!$F$3:$F$500,MATCH(1,INDEX((Iroquois!$C$7='Cash Flow Entry'!$B$3:$B$500)*(VALUE(Iroquois!L$7)='Cash Flow Entry'!$C$3:$C$500),0,1),0)),"")+IFERROR(INDEX('Cash Flow Entry'!$H$3:$H$500,MATCH(1,INDEX((Iroquois!$C$7='Cash Flow Entry'!$B$3:$B$500)*(VALUE(Iroquois!L$7)='Cash Flow Entry'!$C$3:$C$500),0,1),0)),""),"")</f>
        <v/>
      </c>
      <c r="M18" s="268" t="str" cm="1">
        <f t="array" ref="M18">IFERROR(IFERROR(INDEX('Cash Flow Entry'!$F$3:$F$500,MATCH(1,INDEX((Iroquois!$C$7='Cash Flow Entry'!$B$3:$B$500)*(VALUE(Iroquois!M$7)='Cash Flow Entry'!$C$3:$C$500),0,1),0)),"")+IFERROR(INDEX('Cash Flow Entry'!$H$3:$H$500,MATCH(1,INDEX((Iroquois!$C$7='Cash Flow Entry'!$B$3:$B$500)*(VALUE(Iroquois!M$7)='Cash Flow Entry'!$C$3:$C$500),0,1),0)),""),"")</f>
        <v/>
      </c>
      <c r="N18" s="234" t="str" cm="1">
        <f t="array" ref="N18">IFERROR(IFERROR(INDEX('Cash Flow Entry'!$F$3:$F$500,MATCH(1,INDEX((Iroquois!$C$7='Cash Flow Entry'!$B$3:$B$500)*(VALUE(Iroquois!N$7)='Cash Flow Entry'!$C$3:$C$500),0,1),0)),"")+IFERROR(INDEX('Cash Flow Entry'!$H$3:$H$500,MATCH(1,INDEX((Iroquois!$C$7='Cash Flow Entry'!$B$3:$B$500)*(VALUE(Iroquois!N$7)='Cash Flow Entry'!$C$3:$C$500),0,1),0)),""),"")</f>
        <v/>
      </c>
      <c r="O18" s="234" t="str" cm="1">
        <f t="array" ref="O18">IFERROR(IFERROR(INDEX('Cash Flow Entry'!$F$3:$F$500,MATCH(1,INDEX((Iroquois!$C$7='Cash Flow Entry'!$B$3:$B$500)*(VALUE(Iroquois!O$7)='Cash Flow Entry'!$C$3:$C$500),0,1),0)),"")+IFERROR(INDEX('Cash Flow Entry'!$H$3:$H$500,MATCH(1,INDEX((Iroquois!$C$7='Cash Flow Entry'!$B$3:$B$500)*(VALUE(Iroquois!O$7)='Cash Flow Entry'!$C$3:$C$500),0,1),0)),""),"")</f>
        <v/>
      </c>
      <c r="P18" s="474">
        <f>SUM(D18:O18)</f>
        <v>1402963.1600000001</v>
      </c>
      <c r="Q18" s="533">
        <v>886.5</v>
      </c>
    </row>
    <row r="19" spans="2:22" ht="18.5" x14ac:dyDescent="0.45">
      <c r="B19" s="213"/>
      <c r="C19" s="267" t="s">
        <v>93</v>
      </c>
      <c r="D19" s="268" cm="1">
        <f t="array" ref="D19">IFERROR(INDEX('Cash Flow Entry'!$G$3:$G$500,MATCH(1,INDEX((Iroquois!$C$7='Cash Flow Entry'!$B$3:$B$500)*(VALUE(Iroquois!D$7)='Cash Flow Entry'!$C$3:$C$500),0,1),0)),"")</f>
        <v>64100.38</v>
      </c>
      <c r="E19" s="234" cm="1">
        <f t="array" ref="E19">IFERROR(INDEX('Cash Flow Entry'!$G$3:$G$500,MATCH(1,INDEX((Iroquois!$C$7='Cash Flow Entry'!$B$3:$B$500)*(VALUE(Iroquois!E$7)='Cash Flow Entry'!$C$3:$C$500),0,1),0)),"")</f>
        <v>96787.13</v>
      </c>
      <c r="F19" s="234" cm="1">
        <f t="array" ref="F19">IFERROR(INDEX('Cash Flow Entry'!$G$3:$G$500,MATCH(1,INDEX((Iroquois!$C$7='Cash Flow Entry'!$B$3:$B$500)*(VALUE(Iroquois!F$7)='Cash Flow Entry'!$C$3:$C$500),0,1),0)),"")</f>
        <v>55808.36</v>
      </c>
      <c r="G19" s="268" cm="1">
        <f t="array" ref="G19">IFERROR(INDEX('Cash Flow Entry'!$G$3:$G$500,MATCH(1,INDEX((Iroquois!$C$7='Cash Flow Entry'!$B$3:$B$500)*(VALUE(Iroquois!G$7)='Cash Flow Entry'!$C$3:$C$500),0,1),0)),"")</f>
        <v>67334.33</v>
      </c>
      <c r="H19" s="234" cm="1">
        <f t="array" ref="H19">IFERROR(INDEX('Cash Flow Entry'!$G$3:$G$500,MATCH(1,INDEX((Iroquois!$C$7='Cash Flow Entry'!$B$3:$B$500)*(VALUE(Iroquois!H$7)='Cash Flow Entry'!$C$3:$C$500),0,1),0)),"")</f>
        <v>100184.47</v>
      </c>
      <c r="I19" s="269" cm="1">
        <f t="array" ref="I19">IFERROR(INDEX('Cash Flow Entry'!$G$3:$G$500,MATCH(1,INDEX((Iroquois!$C$7='Cash Flow Entry'!$B$3:$B$500)*(VALUE(Iroquois!I$7)='Cash Flow Entry'!$C$3:$C$500),0,1),0)),"")</f>
        <v>94794.01</v>
      </c>
      <c r="J19" s="268" cm="1">
        <f t="array" ref="J19">IFERROR(INDEX('Cash Flow Entry'!$G$3:$G$500,MATCH(1,INDEX((Iroquois!$C$7='Cash Flow Entry'!$B$3:$B$500)*(VALUE(Iroquois!J$7)='Cash Flow Entry'!$C$3:$C$500),0,1),0)),"")</f>
        <v>49846.15</v>
      </c>
      <c r="K19" s="234" cm="1">
        <f t="array" ref="K19">IFERROR(INDEX('Cash Flow Entry'!$G$3:$G$500,MATCH(1,INDEX((Iroquois!$C$7='Cash Flow Entry'!$B$3:$B$500)*(VALUE(Iroquois!K$7)='Cash Flow Entry'!$C$3:$C$500),0,1),0)),"")</f>
        <v>97492.01</v>
      </c>
      <c r="L19" s="269" t="str" cm="1">
        <f t="array" ref="L19">IFERROR(INDEX('Cash Flow Entry'!$G$3:$G$500,MATCH(1,INDEX((Iroquois!$C$7='Cash Flow Entry'!$B$3:$B$500)*(VALUE(Iroquois!L$7)='Cash Flow Entry'!$C$3:$C$500),0,1),0)),"")</f>
        <v/>
      </c>
      <c r="M19" s="268" t="str" cm="1">
        <f t="array" ref="M19">IFERROR(INDEX('Cash Flow Entry'!$G$3:$G$500,MATCH(1,INDEX((Iroquois!$C$7='Cash Flow Entry'!$B$3:$B$500)*(VALUE(Iroquois!M$7)='Cash Flow Entry'!$C$3:$C$500),0,1),0)),"")</f>
        <v/>
      </c>
      <c r="N19" s="234" t="str" cm="1">
        <f t="array" ref="N19">IFERROR(INDEX('Cash Flow Entry'!$G$3:$G$500,MATCH(1,INDEX((Iroquois!$C$7='Cash Flow Entry'!$B$3:$B$500)*(VALUE(Iroquois!N$7)='Cash Flow Entry'!$C$3:$C$500),0,1),0)),"")</f>
        <v/>
      </c>
      <c r="O19" s="270" t="str" cm="1">
        <f t="array" ref="O19">IFERROR(INDEX('Cash Flow Entry'!$G$3:$G$500,MATCH(1,INDEX((Iroquois!$C$7='Cash Flow Entry'!$B$3:$B$500)*(VALUE(Iroquois!O$7)='Cash Flow Entry'!$C$3:$C$500),0,1),0)),"")</f>
        <v/>
      </c>
      <c r="P19" s="234">
        <f>SUM(D19:O19)</f>
        <v>626346.84000000008</v>
      </c>
      <c r="Q19" s="533">
        <v>209.49</v>
      </c>
    </row>
    <row r="20" spans="2:22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/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22" ht="18.5" x14ac:dyDescent="0.45">
      <c r="B21" s="219">
        <f>INDEX('HCC Summary'!$I$9:$I$27,MATCH(Iroquois!C7,'HCC Summary'!B9:B27, 0))</f>
        <v>261056.38</v>
      </c>
      <c r="C21" s="282" t="s">
        <v>225</v>
      </c>
      <c r="D21" s="283">
        <v>0</v>
      </c>
      <c r="E21" s="284">
        <v>33060.129999999997</v>
      </c>
      <c r="F21" s="285">
        <v>65044.959999999999</v>
      </c>
      <c r="G21" s="283">
        <v>121833.24</v>
      </c>
      <c r="H21" s="284">
        <v>233517.02</v>
      </c>
      <c r="I21" s="285">
        <v>250652.21</v>
      </c>
      <c r="J21" s="284">
        <v>251132.73</v>
      </c>
      <c r="K21" s="284">
        <v>261056.38</v>
      </c>
      <c r="L21" s="284"/>
      <c r="M21" s="283"/>
      <c r="N21" s="284"/>
      <c r="O21" s="286"/>
      <c r="P21" s="641">
        <f>SUM(D22:O22)</f>
        <v>-261056.38</v>
      </c>
      <c r="Q21" s="533"/>
    </row>
    <row r="22" spans="2:22" ht="18.5" x14ac:dyDescent="0.45">
      <c r="C22" s="267" t="s">
        <v>226</v>
      </c>
      <c r="D22" s="268">
        <f>IF(D8="","",-D21)</f>
        <v>0</v>
      </c>
      <c r="E22" s="234">
        <f t="shared" ref="E22:N22" si="5">IF(E8="","",-(E21-D21))</f>
        <v>-33060.129999999997</v>
      </c>
      <c r="F22" s="269">
        <f t="shared" si="5"/>
        <v>-31984.83</v>
      </c>
      <c r="G22" s="268">
        <f t="shared" si="5"/>
        <v>-56788.280000000006</v>
      </c>
      <c r="H22" s="234">
        <f t="shared" si="5"/>
        <v>-111683.77999999998</v>
      </c>
      <c r="I22" s="269">
        <f t="shared" si="5"/>
        <v>-17135.190000000002</v>
      </c>
      <c r="J22" s="234">
        <f t="shared" si="5"/>
        <v>-480.52000000001863</v>
      </c>
      <c r="K22" s="234">
        <f t="shared" si="5"/>
        <v>-9923.6499999999942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>IF(O8="","",-(O21-N21))</f>
        <v/>
      </c>
      <c r="P22" s="641"/>
      <c r="Q22" s="533"/>
      <c r="R22" s="11"/>
      <c r="S22" s="11"/>
    </row>
    <row r="23" spans="2:22" ht="18.5" x14ac:dyDescent="0.45">
      <c r="C23" s="267" t="s">
        <v>363</v>
      </c>
      <c r="D23" s="268">
        <f>IF(D$8="","",$U68)</f>
        <v>0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-100691.92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-100691.92</v>
      </c>
      <c r="Q23" s="533"/>
      <c r="T23" s="220"/>
      <c r="U23" s="220"/>
      <c r="V23" s="220"/>
    </row>
    <row r="24" spans="2:22" ht="18.5" x14ac:dyDescent="0.45">
      <c r="C24" s="267" t="s">
        <v>25</v>
      </c>
      <c r="D24" s="268">
        <f>IF(D$8="","",$K68*$Q$24)</f>
        <v>-11000</v>
      </c>
      <c r="E24" s="234">
        <f>IF(E$8="","",$K69*$Q$24)</f>
        <v>-11330</v>
      </c>
      <c r="F24" s="269">
        <f>IF(F$8="","",$K70*$Q$24)</f>
        <v>-11550</v>
      </c>
      <c r="G24" s="268">
        <f>IF(G$8="","",$K71*$Q$24)</f>
        <v>-11330</v>
      </c>
      <c r="H24" s="234">
        <f>IF(H$8="","",$K72*$Q$24)</f>
        <v>-11990</v>
      </c>
      <c r="I24" s="269">
        <f>IF(I$8="","",$K73*$Q$24)</f>
        <v>-11770</v>
      </c>
      <c r="J24" s="268">
        <f>IF(J$8="","",$K74*$Q$24)</f>
        <v>-17600</v>
      </c>
      <c r="K24" s="234">
        <f>IF(K$8="","",$K75*$Q$24)</f>
        <v>-17490</v>
      </c>
      <c r="L24" s="269" t="str">
        <f>IF(L$8="","",$K76*$Q$24)</f>
        <v/>
      </c>
      <c r="M24" s="268" t="str">
        <f>IF(M$8="","",$K77*$Q$24)</f>
        <v/>
      </c>
      <c r="N24" s="234" t="str">
        <f>IF(N$8="","",$K78*$Q$24)</f>
        <v/>
      </c>
      <c r="O24" s="234" t="str">
        <f>IF(O$8="","",$K79*$Q$24)</f>
        <v/>
      </c>
      <c r="P24" s="474">
        <f t="shared" si="6"/>
        <v>-104060</v>
      </c>
      <c r="Q24" s="533">
        <v>-110</v>
      </c>
      <c r="T24" s="220"/>
      <c r="U24" s="220"/>
      <c r="V24" s="220"/>
    </row>
    <row r="25" spans="2:22" ht="18.5" x14ac:dyDescent="0.45">
      <c r="B25" s="213"/>
      <c r="C25" s="267" t="s">
        <v>199</v>
      </c>
      <c r="D25" s="268">
        <f>IF(D$8="","",SUM($L68:$R68))</f>
        <v>1011.17</v>
      </c>
      <c r="E25" s="234">
        <f>IF(E$8="","",SUM($L69:$R69))</f>
        <v>1881.65</v>
      </c>
      <c r="F25" s="269">
        <f>IF(F$8="","",SUM($L70:$R70))</f>
        <v>15914.509999999998</v>
      </c>
      <c r="G25" s="268">
        <f>IF(G$8="","",SUM($L71:$R71))</f>
        <v>280.52</v>
      </c>
      <c r="H25" s="234">
        <f>IF(H$8="","",SUM($L72:$R72))</f>
        <v>-12017.62</v>
      </c>
      <c r="I25" s="269">
        <f>IF(I$8="","",SUM($L73:$R73))</f>
        <v>1447.94</v>
      </c>
      <c r="J25" s="234">
        <f>IF(J$8="","",SUM($L74:$R74))</f>
        <v>2219.4900000000002</v>
      </c>
      <c r="K25" s="234">
        <f>IF(K$8="","",SUM($L75:$S75))</f>
        <v>-11538.51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-800.85000000000218</v>
      </c>
      <c r="Q25" s="533"/>
    </row>
    <row r="26" spans="2:22" ht="18.5" x14ac:dyDescent="0.45">
      <c r="C26" s="272" t="s">
        <v>200</v>
      </c>
      <c r="D26" s="273">
        <f>IF(D8="","",SUM(D18:D20,D22:D25))</f>
        <v>255905.79</v>
      </c>
      <c r="E26" s="274">
        <f t="shared" ref="E26:L26" si="7">IF(E8="","",SUM(E18:E20,E22:E25))</f>
        <v>185556.1</v>
      </c>
      <c r="F26" s="275">
        <f t="shared" si="7"/>
        <v>166139.27999999997</v>
      </c>
      <c r="G26" s="273">
        <f t="shared" si="7"/>
        <v>186620.16999999998</v>
      </c>
      <c r="H26" s="274">
        <f t="shared" si="7"/>
        <v>299013.78999999998</v>
      </c>
      <c r="I26" s="275">
        <f t="shared" si="7"/>
        <v>173520.55</v>
      </c>
      <c r="J26" s="273">
        <f t="shared" si="7"/>
        <v>218752.65999999997</v>
      </c>
      <c r="K26" s="274">
        <f t="shared" si="7"/>
        <v>77192.50999999998</v>
      </c>
      <c r="L26" s="275" t="str">
        <f t="shared" si="7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8">IF(O8="","",SUM(O18:O19,O22:O25))</f>
        <v/>
      </c>
      <c r="P26" s="274">
        <f>SUM(P18:P25)</f>
        <v>1562700.85</v>
      </c>
      <c r="Q26" s="533"/>
    </row>
    <row r="27" spans="2:22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22" ht="18.5" x14ac:dyDescent="0.45">
      <c r="C28" s="267" t="s">
        <v>223</v>
      </c>
      <c r="D28" s="268">
        <f>IF(D$8="","",K$68*$Q28)</f>
        <v>4014</v>
      </c>
      <c r="E28" s="234">
        <f>IF(E$8="","",K$69*$Q28)</f>
        <v>4134.42</v>
      </c>
      <c r="F28" s="269">
        <f>IF(F$8="","",K$70*$Q28)</f>
        <v>4214.7</v>
      </c>
      <c r="G28" s="268">
        <f>IF(G$8="","",K$71*$Q28)</f>
        <v>4134.42</v>
      </c>
      <c r="H28" s="234">
        <f>IF(H$8="","",K$72*$Q28)</f>
        <v>4375.26</v>
      </c>
      <c r="I28" s="269">
        <f>IF(I$8="","",K$73*$Q28)</f>
        <v>4294.9800000000005</v>
      </c>
      <c r="J28" s="234">
        <f>IF(J$8="","",J$8*$Q28)</f>
        <v>6462.54</v>
      </c>
      <c r="K28" s="234">
        <f t="shared" ref="E28:O35" si="9">IF(K$8="","",K$8*$Q28)</f>
        <v>6382.26</v>
      </c>
      <c r="L28" s="234" t="str">
        <f t="shared" si="9"/>
        <v/>
      </c>
      <c r="M28" s="268" t="str">
        <f t="shared" si="9"/>
        <v/>
      </c>
      <c r="N28" s="234" t="str">
        <f t="shared" si="9"/>
        <v/>
      </c>
      <c r="O28" s="270" t="str">
        <f t="shared" si="9"/>
        <v/>
      </c>
      <c r="P28" s="234">
        <f>SUM(D28:O28)</f>
        <v>38012.58</v>
      </c>
      <c r="Q28" s="533">
        <v>40.14</v>
      </c>
    </row>
    <row r="29" spans="2:22" ht="18.5" x14ac:dyDescent="0.45">
      <c r="C29" s="267" t="s">
        <v>224</v>
      </c>
      <c r="D29" s="268">
        <f>IF(D$8="","",K$68*$Q29)</f>
        <v>400</v>
      </c>
      <c r="E29" s="234">
        <f>IF(E$8="","",K$69*$Q29)</f>
        <v>412</v>
      </c>
      <c r="F29" s="269">
        <f>IF(F$8="","",K$70*$Q29)</f>
        <v>420</v>
      </c>
      <c r="G29" s="268">
        <f>IF(G$8="","",K$71*$Q29)</f>
        <v>412</v>
      </c>
      <c r="H29" s="234">
        <f>IF(H$8="","",K$72*$Q29)</f>
        <v>436</v>
      </c>
      <c r="I29" s="269">
        <f>IF(I$8="","",K$73*$Q29)</f>
        <v>428</v>
      </c>
      <c r="J29" s="234">
        <f t="shared" si="9"/>
        <v>644</v>
      </c>
      <c r="K29" s="234">
        <f t="shared" si="9"/>
        <v>636</v>
      </c>
      <c r="L29" s="234" t="str">
        <f t="shared" si="9"/>
        <v/>
      </c>
      <c r="M29" s="268" t="str">
        <f t="shared" si="9"/>
        <v/>
      </c>
      <c r="N29" s="234" t="str">
        <f t="shared" si="9"/>
        <v/>
      </c>
      <c r="O29" s="270" t="str">
        <f t="shared" si="9"/>
        <v/>
      </c>
      <c r="P29" s="234">
        <f t="shared" ref="P29:P35" si="10">SUM(D29:O29)</f>
        <v>3788</v>
      </c>
      <c r="Q29" s="533">
        <v>4</v>
      </c>
    </row>
    <row r="30" spans="2:22" ht="18.5" x14ac:dyDescent="0.45">
      <c r="C30" s="267" t="s">
        <v>324</v>
      </c>
      <c r="D30" s="268">
        <f>IF(D$8="","",D$8*$Q30)</f>
        <v>0</v>
      </c>
      <c r="E30" s="234">
        <f t="shared" si="9"/>
        <v>0</v>
      </c>
      <c r="F30" s="234">
        <f t="shared" si="9"/>
        <v>0</v>
      </c>
      <c r="G30" s="268">
        <f t="shared" si="9"/>
        <v>0</v>
      </c>
      <c r="H30" s="234">
        <f t="shared" si="9"/>
        <v>0</v>
      </c>
      <c r="I30" s="234">
        <f t="shared" si="9"/>
        <v>0</v>
      </c>
      <c r="J30" s="268">
        <f t="shared" si="9"/>
        <v>0</v>
      </c>
      <c r="K30" s="234">
        <f t="shared" si="9"/>
        <v>0</v>
      </c>
      <c r="L30" s="234" t="str">
        <f t="shared" si="9"/>
        <v/>
      </c>
      <c r="M30" s="268" t="str">
        <f t="shared" si="9"/>
        <v/>
      </c>
      <c r="N30" s="234" t="str">
        <f t="shared" si="9"/>
        <v/>
      </c>
      <c r="O30" s="270" t="str">
        <f t="shared" si="9"/>
        <v/>
      </c>
      <c r="P30" s="234">
        <f t="shared" si="10"/>
        <v>0</v>
      </c>
      <c r="Q30" s="533">
        <v>0</v>
      </c>
    </row>
    <row r="31" spans="2:22" ht="18.5" x14ac:dyDescent="0.45">
      <c r="C31" s="267" t="s">
        <v>325</v>
      </c>
      <c r="D31" s="268">
        <f>IF(D$8="","",SUM(G86:K86)*$Q31)</f>
        <v>3180</v>
      </c>
      <c r="E31" s="234">
        <f>IF(E$8="","",SUM($G87:$K87)*$Q31)</f>
        <v>3180</v>
      </c>
      <c r="F31" s="234">
        <f>IF(F$8="","",SUM($G88:$K88)*$Q31)</f>
        <v>3180</v>
      </c>
      <c r="G31" s="268">
        <f>IF(G$8="","",SUM($G89:$K89)*$Q31)</f>
        <v>3180</v>
      </c>
      <c r="H31" s="234">
        <f>IF(H$8="","",SUM($G90:$K90)*$Q31)</f>
        <v>3180</v>
      </c>
      <c r="I31" s="234">
        <f>IF(I$8="","",SUM($G91:$K91)*$Q31)</f>
        <v>3180</v>
      </c>
      <c r="J31" s="268">
        <f>IF(J$8="","",SUM($G92:$K92)*$Q31)</f>
        <v>0</v>
      </c>
      <c r="K31" s="234">
        <f>IF(K$8="","",SUM($G93:$K93)*$Q31)</f>
        <v>0</v>
      </c>
      <c r="L31" s="234" t="str">
        <f>IF(L$8="","",SUM($G94:$K94)*$Q31)</f>
        <v/>
      </c>
      <c r="M31" s="268" t="str">
        <f>IF(M$8="","",SUM($G95:$K95)*$Q31)</f>
        <v/>
      </c>
      <c r="N31" s="234" t="str">
        <f>IF(N$8="","",SUM($G96:$K96)*$Q31)</f>
        <v/>
      </c>
      <c r="O31" s="234" t="str">
        <f>IF(O$8="","",SUM($G97:$K97)*$Q31)</f>
        <v/>
      </c>
      <c r="P31" s="474">
        <f t="shared" si="10"/>
        <v>19080</v>
      </c>
      <c r="Q31" s="533">
        <v>60</v>
      </c>
    </row>
    <row r="32" spans="2:22" ht="18.5" x14ac:dyDescent="0.45">
      <c r="C32" s="267" t="s">
        <v>247</v>
      </c>
      <c r="D32" s="268">
        <f t="shared" ref="D32:O35" si="11">IF(D$8="","",D$8*$Q32)</f>
        <v>0</v>
      </c>
      <c r="E32" s="234">
        <f t="shared" si="11"/>
        <v>0</v>
      </c>
      <c r="F32" s="269">
        <f t="shared" si="11"/>
        <v>0</v>
      </c>
      <c r="G32" s="268">
        <f t="shared" si="11"/>
        <v>0</v>
      </c>
      <c r="H32" s="234">
        <f t="shared" si="11"/>
        <v>0</v>
      </c>
      <c r="I32" s="269">
        <f t="shared" si="11"/>
        <v>0</v>
      </c>
      <c r="J32" s="234">
        <f t="shared" si="11"/>
        <v>0</v>
      </c>
      <c r="K32" s="234">
        <f t="shared" si="11"/>
        <v>0</v>
      </c>
      <c r="L32" s="234" t="str">
        <f t="shared" si="11"/>
        <v/>
      </c>
      <c r="M32" s="268" t="str">
        <f t="shared" si="11"/>
        <v/>
      </c>
      <c r="N32" s="234" t="str">
        <f t="shared" si="11"/>
        <v/>
      </c>
      <c r="O32" s="270" t="str">
        <f t="shared" si="11"/>
        <v/>
      </c>
      <c r="P32" s="234">
        <f t="shared" si="10"/>
        <v>0</v>
      </c>
      <c r="Q32" s="533">
        <v>0</v>
      </c>
    </row>
    <row r="33" spans="2:18" ht="18.5" x14ac:dyDescent="0.45">
      <c r="C33" s="267" t="s">
        <v>227</v>
      </c>
      <c r="D33" s="268">
        <f t="shared" si="11"/>
        <v>267.75</v>
      </c>
      <c r="E33" s="234">
        <f t="shared" si="9"/>
        <v>266</v>
      </c>
      <c r="F33" s="269">
        <f t="shared" si="9"/>
        <v>274.75</v>
      </c>
      <c r="G33" s="268">
        <f t="shared" si="9"/>
        <v>273</v>
      </c>
      <c r="H33" s="234">
        <f t="shared" si="9"/>
        <v>280</v>
      </c>
      <c r="I33" s="269">
        <f t="shared" si="9"/>
        <v>283.5</v>
      </c>
      <c r="J33" s="234">
        <f t="shared" si="9"/>
        <v>281.75</v>
      </c>
      <c r="K33" s="234">
        <f t="shared" si="9"/>
        <v>278.25</v>
      </c>
      <c r="L33" s="234" t="str">
        <f t="shared" si="9"/>
        <v/>
      </c>
      <c r="M33" s="268" t="str">
        <f t="shared" si="9"/>
        <v/>
      </c>
      <c r="N33" s="234" t="str">
        <f t="shared" si="9"/>
        <v/>
      </c>
      <c r="O33" s="270" t="str">
        <f t="shared" si="9"/>
        <v/>
      </c>
      <c r="P33" s="234">
        <f t="shared" si="10"/>
        <v>2205</v>
      </c>
      <c r="Q33" s="533">
        <v>1.75</v>
      </c>
    </row>
    <row r="34" spans="2:18" ht="18.5" x14ac:dyDescent="0.45">
      <c r="C34" s="267" t="s">
        <v>228</v>
      </c>
      <c r="D34" s="268">
        <f t="shared" si="11"/>
        <v>504.9</v>
      </c>
      <c r="E34" s="234">
        <f t="shared" si="9"/>
        <v>501.59999999999997</v>
      </c>
      <c r="F34" s="269">
        <f t="shared" si="9"/>
        <v>518.1</v>
      </c>
      <c r="G34" s="268">
        <f t="shared" si="9"/>
        <v>514.79999999999995</v>
      </c>
      <c r="H34" s="234">
        <f t="shared" si="9"/>
        <v>528</v>
      </c>
      <c r="I34" s="269">
        <f t="shared" si="9"/>
        <v>534.6</v>
      </c>
      <c r="J34" s="234">
        <f t="shared" si="9"/>
        <v>531.29999999999995</v>
      </c>
      <c r="K34" s="234">
        <f t="shared" si="9"/>
        <v>524.69999999999993</v>
      </c>
      <c r="L34" s="234" t="str">
        <f t="shared" si="9"/>
        <v/>
      </c>
      <c r="M34" s="268" t="str">
        <f t="shared" si="9"/>
        <v/>
      </c>
      <c r="N34" s="234" t="str">
        <f t="shared" si="9"/>
        <v/>
      </c>
      <c r="O34" s="270" t="str">
        <f t="shared" si="9"/>
        <v/>
      </c>
      <c r="P34" s="234">
        <f t="shared" si="10"/>
        <v>4157.9999999999991</v>
      </c>
      <c r="Q34" s="533">
        <v>3.3</v>
      </c>
    </row>
    <row r="35" spans="2:18" ht="18.5" x14ac:dyDescent="0.45">
      <c r="C35" s="267" t="s">
        <v>202</v>
      </c>
      <c r="D35" s="268">
        <f t="shared" si="11"/>
        <v>605.88</v>
      </c>
      <c r="E35" s="234">
        <f t="shared" si="9"/>
        <v>601.91999999999996</v>
      </c>
      <c r="F35" s="269">
        <f t="shared" si="9"/>
        <v>621.72</v>
      </c>
      <c r="G35" s="268">
        <f t="shared" si="9"/>
        <v>617.76</v>
      </c>
      <c r="H35" s="234">
        <f t="shared" si="9"/>
        <v>633.6</v>
      </c>
      <c r="I35" s="269">
        <f t="shared" si="9"/>
        <v>641.52</v>
      </c>
      <c r="J35" s="234">
        <f t="shared" si="9"/>
        <v>637.55999999999995</v>
      </c>
      <c r="K35" s="234">
        <f t="shared" si="9"/>
        <v>629.64</v>
      </c>
      <c r="L35" s="234" t="str">
        <f t="shared" si="9"/>
        <v/>
      </c>
      <c r="M35" s="268" t="str">
        <f t="shared" si="9"/>
        <v/>
      </c>
      <c r="N35" s="234" t="str">
        <f t="shared" si="9"/>
        <v/>
      </c>
      <c r="O35" s="270" t="str">
        <f t="shared" si="9"/>
        <v/>
      </c>
      <c r="P35" s="234">
        <f t="shared" si="10"/>
        <v>4989.5999999999995</v>
      </c>
      <c r="Q35" s="533">
        <v>3.96</v>
      </c>
    </row>
    <row r="36" spans="2:18" ht="18.5" x14ac:dyDescent="0.45">
      <c r="C36" s="272" t="s">
        <v>203</v>
      </c>
      <c r="D36" s="273">
        <f t="shared" ref="D36:P36" si="12">IF(D$8="","",SUM(D28:D35))</f>
        <v>8972.5299999999988</v>
      </c>
      <c r="E36" s="274">
        <f t="shared" si="12"/>
        <v>9095.94</v>
      </c>
      <c r="F36" s="275">
        <f t="shared" si="12"/>
        <v>9229.2699999999986</v>
      </c>
      <c r="G36" s="273">
        <f t="shared" si="12"/>
        <v>9131.98</v>
      </c>
      <c r="H36" s="274">
        <f t="shared" si="12"/>
        <v>9432.86</v>
      </c>
      <c r="I36" s="275">
        <f t="shared" si="12"/>
        <v>9362.6</v>
      </c>
      <c r="J36" s="274">
        <f t="shared" si="12"/>
        <v>8557.15</v>
      </c>
      <c r="K36" s="274">
        <f t="shared" si="12"/>
        <v>8450.85</v>
      </c>
      <c r="L36" s="274" t="str">
        <f t="shared" si="12"/>
        <v/>
      </c>
      <c r="M36" s="273" t="str">
        <f t="shared" si="12"/>
        <v/>
      </c>
      <c r="N36" s="274" t="str">
        <f t="shared" si="12"/>
        <v/>
      </c>
      <c r="O36" s="276" t="str">
        <f t="shared" si="12"/>
        <v/>
      </c>
      <c r="P36" s="274">
        <f t="shared" si="12"/>
        <v>72233.180000000008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15111.81</v>
      </c>
      <c r="E38" s="234">
        <f t="shared" ref="E38:O41" si="13">IF(E$8="","",E$8*$Q38)</f>
        <v>15013.039999999999</v>
      </c>
      <c r="F38" s="269">
        <f t="shared" si="13"/>
        <v>15506.89</v>
      </c>
      <c r="G38" s="268">
        <f t="shared" si="13"/>
        <v>15408.119999999999</v>
      </c>
      <c r="H38" s="234">
        <f t="shared" si="13"/>
        <v>15803.199999999999</v>
      </c>
      <c r="I38" s="269">
        <f t="shared" si="13"/>
        <v>16000.74</v>
      </c>
      <c r="J38" s="234">
        <f t="shared" si="13"/>
        <v>15901.97</v>
      </c>
      <c r="K38" s="234">
        <f t="shared" si="13"/>
        <v>15704.429999999998</v>
      </c>
      <c r="L38" s="234" t="str">
        <f t="shared" si="13"/>
        <v/>
      </c>
      <c r="M38" s="268" t="str">
        <f t="shared" si="13"/>
        <v/>
      </c>
      <c r="N38" s="234" t="str">
        <f t="shared" si="13"/>
        <v/>
      </c>
      <c r="O38" s="270" t="str">
        <f t="shared" si="13"/>
        <v/>
      </c>
      <c r="P38" s="234">
        <f>SUM(D38:O38)</f>
        <v>124450.2</v>
      </c>
      <c r="Q38" s="533">
        <v>98.77</v>
      </c>
    </row>
    <row r="39" spans="2:18" ht="18.5" x14ac:dyDescent="0.45">
      <c r="C39" s="267" t="s">
        <v>205</v>
      </c>
      <c r="D39" s="268">
        <f t="shared" ref="D39:D41" si="14">IF(D$8="","",D$8*$Q39)</f>
        <v>74486.51999999999</v>
      </c>
      <c r="E39" s="234">
        <f t="shared" si="13"/>
        <v>73999.679999999993</v>
      </c>
      <c r="F39" s="269">
        <f t="shared" si="13"/>
        <v>76433.87999999999</v>
      </c>
      <c r="G39" s="268">
        <f t="shared" si="13"/>
        <v>75947.039999999994</v>
      </c>
      <c r="H39" s="234">
        <f t="shared" si="13"/>
        <v>77894.399999999994</v>
      </c>
      <c r="I39" s="269">
        <f t="shared" ref="I39:O39" si="15">IF(I$8="","",I$8*$R39)</f>
        <v>46468.079999999994</v>
      </c>
      <c r="J39" s="234">
        <f t="shared" si="15"/>
        <v>46181.24</v>
      </c>
      <c r="K39" s="234">
        <f t="shared" si="15"/>
        <v>45607.56</v>
      </c>
      <c r="L39" s="234" t="str">
        <f t="shared" si="15"/>
        <v/>
      </c>
      <c r="M39" s="268" t="str">
        <f t="shared" si="15"/>
        <v/>
      </c>
      <c r="N39" s="234" t="str">
        <f t="shared" si="15"/>
        <v/>
      </c>
      <c r="O39" s="270" t="str">
        <f t="shared" si="15"/>
        <v/>
      </c>
      <c r="P39" s="234">
        <f t="shared" ref="P39:P41" si="16">SUM(D39:O39)</f>
        <v>517018.39999999991</v>
      </c>
      <c r="Q39" s="533">
        <v>486.84</v>
      </c>
      <c r="R39" s="11">
        <f>Q39-200</f>
        <v>286.83999999999997</v>
      </c>
    </row>
    <row r="40" spans="2:18" ht="18.5" x14ac:dyDescent="0.45">
      <c r="C40" s="267" t="s">
        <v>322</v>
      </c>
      <c r="D40" s="268">
        <f t="shared" ref="D40:O40" si="17">IF(D$8="","",D$8*$Q40)</f>
        <v>612</v>
      </c>
      <c r="E40" s="234">
        <f t="shared" si="17"/>
        <v>608</v>
      </c>
      <c r="F40" s="269">
        <f t="shared" si="17"/>
        <v>628</v>
      </c>
      <c r="G40" s="234">
        <f t="shared" si="17"/>
        <v>624</v>
      </c>
      <c r="H40" s="234">
        <f t="shared" si="17"/>
        <v>640</v>
      </c>
      <c r="I40" s="269">
        <f t="shared" si="17"/>
        <v>648</v>
      </c>
      <c r="J40" s="234">
        <f t="shared" si="17"/>
        <v>644</v>
      </c>
      <c r="K40" s="234">
        <f t="shared" si="17"/>
        <v>636</v>
      </c>
      <c r="L40" s="234" t="str">
        <f t="shared" si="17"/>
        <v/>
      </c>
      <c r="M40" s="268" t="str">
        <f t="shared" si="17"/>
        <v/>
      </c>
      <c r="N40" s="234" t="str">
        <f t="shared" si="17"/>
        <v/>
      </c>
      <c r="O40" s="270" t="str">
        <f t="shared" si="17"/>
        <v/>
      </c>
      <c r="P40" s="234">
        <f>SUM(D40:O40)</f>
        <v>5040</v>
      </c>
      <c r="Q40" s="533">
        <v>4</v>
      </c>
    </row>
    <row r="41" spans="2:18" ht="18.5" x14ac:dyDescent="0.45">
      <c r="C41" s="267" t="s">
        <v>206</v>
      </c>
      <c r="D41" s="268">
        <f t="shared" si="14"/>
        <v>440.64</v>
      </c>
      <c r="E41" s="234">
        <f t="shared" si="13"/>
        <v>437.76</v>
      </c>
      <c r="F41" s="269">
        <f t="shared" si="13"/>
        <v>452.15999999999997</v>
      </c>
      <c r="G41" s="268">
        <f t="shared" si="13"/>
        <v>449.28</v>
      </c>
      <c r="H41" s="234">
        <f t="shared" si="13"/>
        <v>460.79999999999995</v>
      </c>
      <c r="I41" s="269">
        <f t="shared" si="13"/>
        <v>466.56</v>
      </c>
      <c r="J41" s="234">
        <f t="shared" si="13"/>
        <v>463.68</v>
      </c>
      <c r="K41" s="234">
        <f t="shared" si="13"/>
        <v>457.91999999999996</v>
      </c>
      <c r="L41" s="234" t="str">
        <f t="shared" si="13"/>
        <v/>
      </c>
      <c r="M41" s="268" t="str">
        <f t="shared" si="13"/>
        <v/>
      </c>
      <c r="N41" s="234" t="str">
        <f t="shared" si="13"/>
        <v/>
      </c>
      <c r="O41" s="270" t="str">
        <f t="shared" si="13"/>
        <v/>
      </c>
      <c r="P41" s="234">
        <f t="shared" si="16"/>
        <v>3628.7999999999997</v>
      </c>
      <c r="Q41" s="533">
        <v>2.88</v>
      </c>
    </row>
    <row r="42" spans="2:18" ht="18.5" x14ac:dyDescent="0.45">
      <c r="C42" s="272" t="s">
        <v>207</v>
      </c>
      <c r="D42" s="273">
        <f t="shared" ref="D42:P42" si="18">IF(D$8="","",SUM(D38:D41))</f>
        <v>90650.969999999987</v>
      </c>
      <c r="E42" s="274">
        <f t="shared" si="18"/>
        <v>90058.479999999981</v>
      </c>
      <c r="F42" s="275">
        <f t="shared" si="18"/>
        <v>93020.93</v>
      </c>
      <c r="G42" s="273">
        <f t="shared" si="18"/>
        <v>92428.439999999988</v>
      </c>
      <c r="H42" s="274">
        <f t="shared" si="18"/>
        <v>94798.399999999994</v>
      </c>
      <c r="I42" s="275">
        <f t="shared" si="18"/>
        <v>63583.37999999999</v>
      </c>
      <c r="J42" s="274">
        <f t="shared" si="18"/>
        <v>63190.89</v>
      </c>
      <c r="K42" s="274">
        <f t="shared" si="18"/>
        <v>62405.909999999996</v>
      </c>
      <c r="L42" s="274" t="str">
        <f t="shared" si="18"/>
        <v/>
      </c>
      <c r="M42" s="273" t="str">
        <f t="shared" si="18"/>
        <v/>
      </c>
      <c r="N42" s="274" t="str">
        <f t="shared" si="18"/>
        <v/>
      </c>
      <c r="O42" s="276" t="str">
        <f t="shared" si="18"/>
        <v/>
      </c>
      <c r="P42" s="274">
        <f t="shared" si="18"/>
        <v>650137.39999999991</v>
      </c>
      <c r="Q42" s="30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 t="s">
        <v>191</v>
      </c>
      <c r="C44" s="267" t="s">
        <v>209</v>
      </c>
      <c r="D44" s="268">
        <f t="shared" ref="D44:O48" si="19">IF(D$8="","",0)</f>
        <v>0</v>
      </c>
      <c r="E44" s="234">
        <f t="shared" si="19"/>
        <v>0</v>
      </c>
      <c r="F44" s="234">
        <f t="shared" si="19"/>
        <v>0</v>
      </c>
      <c r="G44" s="268">
        <f>416.5/19</f>
        <v>21.921052631578949</v>
      </c>
      <c r="H44" s="234">
        <f t="shared" si="19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19"/>
        <v/>
      </c>
      <c r="M44" s="268" t="str">
        <f t="shared" si="19"/>
        <v/>
      </c>
      <c r="N44" s="234" t="str">
        <f t="shared" si="19"/>
        <v/>
      </c>
      <c r="O44" s="234" t="str">
        <f t="shared" si="19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19"/>
        <v>0</v>
      </c>
      <c r="E45" s="234">
        <f t="shared" si="19"/>
        <v>0</v>
      </c>
      <c r="F45" s="269">
        <f t="shared" si="19"/>
        <v>0</v>
      </c>
      <c r="G45" s="268">
        <f t="shared" si="19"/>
        <v>0</v>
      </c>
      <c r="H45" s="234">
        <f>15600/19</f>
        <v>821.0526315789474</v>
      </c>
      <c r="I45" s="234">
        <f t="shared" si="19"/>
        <v>0</v>
      </c>
      <c r="J45" s="268">
        <f t="shared" si="19"/>
        <v>0</v>
      </c>
      <c r="K45" s="234">
        <f t="shared" si="19"/>
        <v>0</v>
      </c>
      <c r="L45" s="234" t="str">
        <f t="shared" si="19"/>
        <v/>
      </c>
      <c r="M45" s="268" t="str">
        <f t="shared" si="19"/>
        <v/>
      </c>
      <c r="N45" s="234" t="str">
        <f t="shared" si="19"/>
        <v/>
      </c>
      <c r="O45" s="234" t="str">
        <f t="shared" si="19"/>
        <v/>
      </c>
      <c r="P45" s="474">
        <f t="shared" ref="P45:P48" si="20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19"/>
        <v>0</v>
      </c>
      <c r="E46" s="234">
        <v>5300</v>
      </c>
      <c r="F46" s="269">
        <f t="shared" si="19"/>
        <v>0</v>
      </c>
      <c r="G46" s="268">
        <f t="shared" si="19"/>
        <v>0</v>
      </c>
      <c r="H46" s="234">
        <f t="shared" si="19"/>
        <v>0</v>
      </c>
      <c r="I46" s="234">
        <f t="shared" si="19"/>
        <v>0</v>
      </c>
      <c r="J46" s="268">
        <f t="shared" si="19"/>
        <v>0</v>
      </c>
      <c r="K46" s="234">
        <f t="shared" si="19"/>
        <v>0</v>
      </c>
      <c r="L46" s="234" t="str">
        <f t="shared" si="19"/>
        <v/>
      </c>
      <c r="M46" s="268" t="str">
        <f t="shared" si="19"/>
        <v/>
      </c>
      <c r="N46" s="234" t="str">
        <f t="shared" si="19"/>
        <v/>
      </c>
      <c r="O46" s="234" t="str">
        <f t="shared" si="19"/>
        <v/>
      </c>
      <c r="P46" s="474">
        <f t="shared" si="20"/>
        <v>5300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19"/>
        <v>0</v>
      </c>
      <c r="E47" s="234">
        <f t="shared" si="19"/>
        <v>0</v>
      </c>
      <c r="F47" s="234">
        <f t="shared" si="19"/>
        <v>0</v>
      </c>
      <c r="G47" s="268">
        <f t="shared" si="19"/>
        <v>0</v>
      </c>
      <c r="H47" s="234">
        <f t="shared" si="19"/>
        <v>0</v>
      </c>
      <c r="I47" s="234">
        <f t="shared" si="19"/>
        <v>0</v>
      </c>
      <c r="J47" s="268">
        <f t="shared" si="19"/>
        <v>0</v>
      </c>
      <c r="K47" s="234">
        <f t="shared" si="19"/>
        <v>0</v>
      </c>
      <c r="L47" s="234" t="str">
        <f t="shared" si="19"/>
        <v/>
      </c>
      <c r="M47" s="268" t="str">
        <f t="shared" si="19"/>
        <v/>
      </c>
      <c r="N47" s="234" t="str">
        <f t="shared" si="19"/>
        <v/>
      </c>
      <c r="O47" s="270" t="str">
        <f t="shared" si="19"/>
        <v/>
      </c>
      <c r="P47" s="234">
        <f t="shared" si="20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19"/>
        <v>0</v>
      </c>
      <c r="F48" s="456">
        <f t="shared" si="19"/>
        <v>0</v>
      </c>
      <c r="G48" s="458">
        <f t="shared" si="19"/>
        <v>0</v>
      </c>
      <c r="H48" s="234">
        <f t="shared" si="19"/>
        <v>0</v>
      </c>
      <c r="I48" s="456">
        <f t="shared" si="19"/>
        <v>0</v>
      </c>
      <c r="J48" s="268">
        <f t="shared" si="19"/>
        <v>0</v>
      </c>
      <c r="K48" s="457">
        <f t="shared" si="19"/>
        <v>0</v>
      </c>
      <c r="L48" s="456" t="str">
        <f t="shared" si="19"/>
        <v/>
      </c>
      <c r="M48" s="458" t="str">
        <f t="shared" si="19"/>
        <v/>
      </c>
      <c r="N48" s="234" t="str">
        <f t="shared" si="19"/>
        <v/>
      </c>
      <c r="O48" s="525" t="str">
        <f t="shared" si="19"/>
        <v/>
      </c>
      <c r="P48" s="475">
        <f t="shared" si="20"/>
        <v>0</v>
      </c>
      <c r="Q48" s="244"/>
    </row>
    <row r="49" spans="2:21" ht="18.5" x14ac:dyDescent="0.45">
      <c r="C49" s="272" t="s">
        <v>229</v>
      </c>
      <c r="D49" s="273">
        <f t="shared" ref="D49:P49" si="21">IF(D$8="","",SUM(D44:D48))</f>
        <v>0</v>
      </c>
      <c r="E49" s="274">
        <f t="shared" si="21"/>
        <v>5300</v>
      </c>
      <c r="F49" s="275">
        <f t="shared" si="21"/>
        <v>0</v>
      </c>
      <c r="G49" s="273">
        <f t="shared" si="21"/>
        <v>21.921052631578949</v>
      </c>
      <c r="H49" s="274">
        <f t="shared" si="21"/>
        <v>821.0526315789474</v>
      </c>
      <c r="I49" s="275">
        <f t="shared" si="21"/>
        <v>12.102631578947367</v>
      </c>
      <c r="J49" s="274">
        <f t="shared" si="21"/>
        <v>31.315789473684209</v>
      </c>
      <c r="K49" s="274">
        <f t="shared" si="21"/>
        <v>56.368421052631582</v>
      </c>
      <c r="L49" s="274" t="str">
        <f t="shared" si="21"/>
        <v/>
      </c>
      <c r="M49" s="273" t="str">
        <f t="shared" si="21"/>
        <v/>
      </c>
      <c r="N49" s="274" t="str">
        <f t="shared" si="21"/>
        <v/>
      </c>
      <c r="O49" s="276" t="str">
        <f t="shared" si="21"/>
        <v/>
      </c>
      <c r="P49" s="557">
        <f t="shared" si="21"/>
        <v>6242.7605263157893</v>
      </c>
      <c r="Q49" s="244"/>
    </row>
    <row r="50" spans="2:21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21" s="13" customFormat="1" ht="25" customHeight="1" x14ac:dyDescent="0.35">
      <c r="C51" s="287" t="s">
        <v>237</v>
      </c>
      <c r="D51" s="288">
        <f>IF(D8="","",D14-SUM(D26,D36,D42,D49))</f>
        <v>-102170.76999999999</v>
      </c>
      <c r="E51" s="289">
        <f>IF(E8="","",E14-SUM(E26,E36,E42,E49))</f>
        <v>-36649.000000000029</v>
      </c>
      <c r="F51" s="290">
        <f>IF(F8="","",F14-SUM(F26,F36,F42,F49))</f>
        <v>-268389.48</v>
      </c>
      <c r="G51" s="288">
        <f>IF(G8="","",G14-SUM(G26,G36,G42,G49))</f>
        <v>-156367.57105263154</v>
      </c>
      <c r="H51" s="289">
        <f>IF(H8="","",H14-SUM(H26,H36,H42,H49))</f>
        <v>-225851.22263157886</v>
      </c>
      <c r="I51" s="290">
        <f>IF(I8="","",I14-SUM(I26,I36,I42,I49))</f>
        <v>-54523.992631578905</v>
      </c>
      <c r="J51" s="289">
        <f>IF(J8="","",J14-SUM(J26,J36,J42,J49))</f>
        <v>-29845.57578947366</v>
      </c>
      <c r="K51" s="289">
        <f>IF(K8="","",K14-SUM(K26,K36,K42,K49))</f>
        <v>287845.2415789474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-585952.37052631564</v>
      </c>
      <c r="Q51" s="293"/>
      <c r="T51"/>
    </row>
    <row r="52" spans="2:21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849702.92</v>
      </c>
      <c r="Q52" s="244"/>
      <c r="T52" s="11"/>
      <c r="U52" s="11"/>
    </row>
    <row r="53" spans="2:21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263750.5494736844</v>
      </c>
      <c r="Q53" s="244"/>
    </row>
    <row r="54" spans="2:21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21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21" ht="18.5" x14ac:dyDescent="0.45">
      <c r="C56" s="267" t="s">
        <v>232</v>
      </c>
      <c r="D56" s="268">
        <f>IF(D12="","",-D12)</f>
        <v>459</v>
      </c>
      <c r="E56" s="234">
        <f>IF(E12="","",-E12)</f>
        <v>456</v>
      </c>
      <c r="F56" s="269">
        <f>IF(F12="","",-F12)</f>
        <v>0</v>
      </c>
      <c r="G56" s="268">
        <f>IF(G12="","",-G12)</f>
        <v>468</v>
      </c>
      <c r="H56" s="234">
        <f>IF(H12="","",-H12)</f>
        <v>480</v>
      </c>
      <c r="I56" s="269">
        <f>IF(I12="","",-I12)</f>
        <v>486</v>
      </c>
      <c r="J56" s="234">
        <f>IF(J12="","",-J12)</f>
        <v>483</v>
      </c>
      <c r="K56" s="234">
        <f>IF(K12="","",-K12)</f>
        <v>477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3309</v>
      </c>
      <c r="Q56" s="244"/>
    </row>
    <row r="57" spans="2:21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2">IF(E$8="","",0)</f>
        <v>0</v>
      </c>
      <c r="F57" s="269">
        <f t="shared" si="22"/>
        <v>0</v>
      </c>
      <c r="G57" s="268">
        <f t="shared" si="22"/>
        <v>0</v>
      </c>
      <c r="H57" s="234">
        <f t="shared" si="22"/>
        <v>0</v>
      </c>
      <c r="I57" s="269">
        <f t="shared" si="22"/>
        <v>0</v>
      </c>
      <c r="J57" s="234">
        <f t="shared" si="22"/>
        <v>0</v>
      </c>
      <c r="K57" s="234">
        <f t="shared" si="22"/>
        <v>0</v>
      </c>
      <c r="L57" s="234" t="str">
        <f t="shared" si="22"/>
        <v/>
      </c>
      <c r="M57" s="268" t="str">
        <f t="shared" si="22"/>
        <v/>
      </c>
      <c r="N57" s="234" t="str">
        <f t="shared" si="22"/>
        <v/>
      </c>
      <c r="O57" s="270" t="str">
        <f t="shared" si="22"/>
        <v/>
      </c>
      <c r="P57" s="234">
        <f>SUM(D57:O57)</f>
        <v>0</v>
      </c>
      <c r="Q57" s="244"/>
    </row>
    <row r="58" spans="2:21" ht="18.5" x14ac:dyDescent="0.45">
      <c r="C58" s="296" t="s">
        <v>234</v>
      </c>
      <c r="D58" s="297">
        <f>IF(D$8="","",SUM(D56:D57))</f>
        <v>459</v>
      </c>
      <c r="E58" s="298">
        <f t="shared" ref="E58:O58" si="23">IF(E$8="","",SUM(E56:E57))</f>
        <v>456</v>
      </c>
      <c r="F58" s="299">
        <f t="shared" si="23"/>
        <v>0</v>
      </c>
      <c r="G58" s="297">
        <f t="shared" si="23"/>
        <v>468</v>
      </c>
      <c r="H58" s="298">
        <f t="shared" si="23"/>
        <v>480</v>
      </c>
      <c r="I58" s="299">
        <f t="shared" si="23"/>
        <v>486</v>
      </c>
      <c r="J58" s="298">
        <f t="shared" si="23"/>
        <v>483</v>
      </c>
      <c r="K58" s="298">
        <f t="shared" si="23"/>
        <v>477</v>
      </c>
      <c r="L58" s="298" t="str">
        <f t="shared" si="23"/>
        <v/>
      </c>
      <c r="M58" s="297" t="str">
        <f t="shared" si="23"/>
        <v/>
      </c>
      <c r="N58" s="298" t="str">
        <f t="shared" si="23"/>
        <v/>
      </c>
      <c r="O58" s="300" t="str">
        <f t="shared" si="23"/>
        <v/>
      </c>
      <c r="P58" s="298">
        <f>SUM(P56:P57)</f>
        <v>3309</v>
      </c>
      <c r="Q58" s="244"/>
    </row>
    <row r="59" spans="2:21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51137.74</v>
      </c>
      <c r="Q59" s="244"/>
    </row>
    <row r="60" spans="2:21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54446.74</v>
      </c>
      <c r="Q60" s="244"/>
    </row>
    <row r="63" spans="2:21" x14ac:dyDescent="0.35">
      <c r="P63" s="524"/>
    </row>
    <row r="65" spans="2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2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2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2:21" ht="18.5" x14ac:dyDescent="0.45">
      <c r="B68" s="11"/>
      <c r="C68" s="306" t="str">
        <f>Addendum!E10</f>
        <v>July   2024</v>
      </c>
      <c r="D68" s="307">
        <v>20977.03</v>
      </c>
      <c r="E68" s="246">
        <v>67996.479999999996</v>
      </c>
      <c r="F68" s="246">
        <v>42589.19</v>
      </c>
      <c r="G68" s="246">
        <v>51527.86</v>
      </c>
      <c r="H68" s="246">
        <v>0</v>
      </c>
      <c r="I68" s="308">
        <v>-6086</v>
      </c>
      <c r="J68" s="309">
        <f>SUM(D68:I68)</f>
        <v>177004.56</v>
      </c>
      <c r="K68" s="310">
        <v>100</v>
      </c>
      <c r="L68" s="307">
        <f>73.26+70.24</f>
        <v>143.5</v>
      </c>
      <c r="M68" s="246">
        <v>0</v>
      </c>
      <c r="N68" s="246">
        <v>0</v>
      </c>
      <c r="O68" s="246">
        <f>40+550</f>
        <v>590</v>
      </c>
      <c r="P68" s="246">
        <f>161.52</f>
        <v>161.52000000000001</v>
      </c>
      <c r="Q68" s="246">
        <f>11.9+13.09+91.16</f>
        <v>116.15</v>
      </c>
      <c r="R68" s="246">
        <v>0</v>
      </c>
      <c r="S68" s="246">
        <v>0</v>
      </c>
      <c r="T68" s="246">
        <v>0</v>
      </c>
      <c r="U68" s="323">
        <v>0</v>
      </c>
    </row>
    <row r="69" spans="2:21" ht="18.5" x14ac:dyDescent="0.45">
      <c r="B69" s="11"/>
      <c r="C69" s="306" t="str">
        <f>Addendum!E11</f>
        <v>August</v>
      </c>
      <c r="D69" s="307">
        <v>40262.239999999998</v>
      </c>
      <c r="E69" s="246">
        <v>32046.55</v>
      </c>
      <c r="F69" s="246">
        <v>63767.16</v>
      </c>
      <c r="G69" s="246">
        <v>25172.17</v>
      </c>
      <c r="H69" s="246">
        <v>22468.95</v>
      </c>
      <c r="I69" s="308">
        <v>-6268.58</v>
      </c>
      <c r="J69" s="309">
        <f t="shared" ref="J69:J79" si="24">SUM(D69:I69)</f>
        <v>177448.49000000002</v>
      </c>
      <c r="K69" s="311">
        <v>103</v>
      </c>
      <c r="L69" s="307">
        <f>640.67+73.35+0.96+27.63+170.73</f>
        <v>913.34</v>
      </c>
      <c r="M69" s="246">
        <v>0</v>
      </c>
      <c r="N69" s="246">
        <f>58.38</f>
        <v>58.38</v>
      </c>
      <c r="O69" s="246">
        <f>40+220+440</f>
        <v>700</v>
      </c>
      <c r="P69" s="246">
        <v>0</v>
      </c>
      <c r="Q69" s="246">
        <f>158.68+12.74+31.05+7.46</f>
        <v>209.93000000000004</v>
      </c>
      <c r="R69" s="246">
        <v>0</v>
      </c>
      <c r="S69" s="246">
        <v>0</v>
      </c>
      <c r="T69" s="246">
        <v>0</v>
      </c>
      <c r="U69" s="323">
        <v>0</v>
      </c>
    </row>
    <row r="70" spans="2:21" ht="18.5" x14ac:dyDescent="0.45">
      <c r="B70" s="11"/>
      <c r="C70" s="306" t="str">
        <f>Addendum!E12</f>
        <v>September</v>
      </c>
      <c r="D70" s="307">
        <v>21574.51</v>
      </c>
      <c r="E70" s="246">
        <v>92170.21</v>
      </c>
      <c r="F70" s="246">
        <v>22204.720000000001</v>
      </c>
      <c r="G70" s="246">
        <v>32915.08</v>
      </c>
      <c r="H70" s="246">
        <v>0</v>
      </c>
      <c r="I70" s="308">
        <v>-6390.3</v>
      </c>
      <c r="J70" s="309">
        <f>SUM(D70:I70)</f>
        <v>162474.22000000003</v>
      </c>
      <c r="K70" s="311">
        <v>105</v>
      </c>
      <c r="L70" s="307">
        <f>15436.06-155.29-52.42+0.44</f>
        <v>15228.789999999999</v>
      </c>
      <c r="M70" s="246">
        <v>0</v>
      </c>
      <c r="N70" s="246">
        <v>0</v>
      </c>
      <c r="O70" s="246">
        <f>120+110+440</f>
        <v>670</v>
      </c>
      <c r="P70" s="246">
        <v>0</v>
      </c>
      <c r="Q70" s="246">
        <f>12.74+2.98</f>
        <v>15.72</v>
      </c>
      <c r="R70" s="246">
        <v>0</v>
      </c>
      <c r="S70" s="246">
        <v>0</v>
      </c>
      <c r="T70" s="246">
        <v>0</v>
      </c>
      <c r="U70" s="323">
        <v>0</v>
      </c>
    </row>
    <row r="71" spans="2:21" ht="18.5" x14ac:dyDescent="0.45">
      <c r="B71" s="11"/>
      <c r="C71" s="306" t="str">
        <f>Addendum!E13</f>
        <v>October</v>
      </c>
      <c r="D71" s="307">
        <v>27949.88</v>
      </c>
      <c r="E71" s="246">
        <v>78599.070000000007</v>
      </c>
      <c r="F71" s="246">
        <v>30926.93</v>
      </c>
      <c r="G71" s="246">
        <v>35503.410000000003</v>
      </c>
      <c r="H71" s="246">
        <v>0</v>
      </c>
      <c r="I71" s="308">
        <v>-6268.58</v>
      </c>
      <c r="J71" s="309">
        <f t="shared" si="24"/>
        <v>166710.71000000002</v>
      </c>
      <c r="K71" s="311">
        <v>103</v>
      </c>
      <c r="L71" s="307">
        <f>-226.01+24+1.89-18.05</f>
        <v>-218.17000000000002</v>
      </c>
      <c r="M71" s="246">
        <v>0</v>
      </c>
      <c r="N71" s="246">
        <v>0</v>
      </c>
      <c r="O71" s="246">
        <f>40+330</f>
        <v>370</v>
      </c>
      <c r="P71" s="246">
        <v>0</v>
      </c>
      <c r="Q71" s="246">
        <f>-31.05+152.28+7.46</f>
        <v>128.69</v>
      </c>
      <c r="R71" s="246">
        <v>0</v>
      </c>
      <c r="S71" s="246">
        <v>0</v>
      </c>
      <c r="T71" s="246">
        <v>0</v>
      </c>
      <c r="U71" s="323">
        <v>0</v>
      </c>
    </row>
    <row r="72" spans="2:21" ht="18.5" x14ac:dyDescent="0.45">
      <c r="B72" s="11"/>
      <c r="C72" s="306" t="str">
        <f>Addendum!E14</f>
        <v>November</v>
      </c>
      <c r="D72" s="307">
        <v>26123.599999999999</v>
      </c>
      <c r="E72" s="246">
        <v>24063.63</v>
      </c>
      <c r="F72" s="246">
        <v>148823.79</v>
      </c>
      <c r="G72" s="246">
        <v>25664.52</v>
      </c>
      <c r="H72" s="246">
        <v>35774.5</v>
      </c>
      <c r="I72" s="308">
        <v>-6318.74</v>
      </c>
      <c r="J72" s="309">
        <f t="shared" si="24"/>
        <v>254131.30000000002</v>
      </c>
      <c r="K72" s="311">
        <v>109</v>
      </c>
      <c r="L72" s="307">
        <f>-46.79+24-15436.06-26.47</f>
        <v>-15485.32</v>
      </c>
      <c r="M72" s="246">
        <v>0</v>
      </c>
      <c r="N72" s="246">
        <f>25</f>
        <v>25</v>
      </c>
      <c r="O72" s="246">
        <f>80+1100</f>
        <v>1180</v>
      </c>
      <c r="P72" s="246">
        <f>1333.7+871.01</f>
        <v>2204.71</v>
      </c>
      <c r="Q72" s="246">
        <f>30.8+12.31+11.73+3.15</f>
        <v>57.99</v>
      </c>
      <c r="R72" s="246">
        <v>0</v>
      </c>
      <c r="S72" s="246">
        <v>0</v>
      </c>
      <c r="T72" s="246">
        <v>0</v>
      </c>
      <c r="U72" s="323">
        <v>0</v>
      </c>
    </row>
    <row r="73" spans="2:21" ht="18.5" x14ac:dyDescent="0.45">
      <c r="B73" s="11"/>
      <c r="C73" s="306" t="str">
        <f>Addendum!E15</f>
        <v>December</v>
      </c>
      <c r="D73" s="307">
        <v>22866.19</v>
      </c>
      <c r="E73" s="246">
        <v>18870.47</v>
      </c>
      <c r="F73" s="246">
        <v>29900.89</v>
      </c>
      <c r="G73" s="246">
        <v>37288.26</v>
      </c>
      <c r="H73" s="246">
        <v>0</v>
      </c>
      <c r="I73" s="308">
        <v>-6379.6</v>
      </c>
      <c r="J73" s="309">
        <f t="shared" si="24"/>
        <v>102546.20999999999</v>
      </c>
      <c r="K73" s="311">
        <v>107</v>
      </c>
      <c r="L73" s="307">
        <f>-24+49.82</f>
        <v>25.82</v>
      </c>
      <c r="M73" s="246">
        <v>0</v>
      </c>
      <c r="N73" s="246">
        <v>0</v>
      </c>
      <c r="O73" s="246">
        <f>100+550</f>
        <v>650</v>
      </c>
      <c r="P73" s="246">
        <f>731.82</f>
        <v>731.82</v>
      </c>
      <c r="Q73" s="246">
        <f>40.3</f>
        <v>40.299999999999997</v>
      </c>
      <c r="R73" s="246">
        <v>0</v>
      </c>
      <c r="S73" s="246">
        <v>0</v>
      </c>
      <c r="T73" s="246">
        <v>0</v>
      </c>
      <c r="U73" s="323">
        <v>0</v>
      </c>
    </row>
    <row r="74" spans="2:21" ht="18.5" x14ac:dyDescent="0.45">
      <c r="B74" s="11"/>
      <c r="C74" s="306" t="str">
        <f>Addendum!E16</f>
        <v>January 2025</v>
      </c>
      <c r="D74" s="307">
        <v>71020.259999999995</v>
      </c>
      <c r="E74" s="246">
        <v>23050.31</v>
      </c>
      <c r="F74" s="246">
        <v>20301.36</v>
      </c>
      <c r="G74" s="246">
        <v>32387.91</v>
      </c>
      <c r="H74" s="246">
        <v>87812.75</v>
      </c>
      <c r="I74" s="308">
        <v>-9737.6</v>
      </c>
      <c r="J74" s="309">
        <f t="shared" si="24"/>
        <v>224834.99</v>
      </c>
      <c r="K74" s="311">
        <v>160</v>
      </c>
      <c r="L74" s="307">
        <f>-6.45-24</f>
        <v>-30.45</v>
      </c>
      <c r="M74" s="246">
        <v>0</v>
      </c>
      <c r="N74" s="246">
        <v>31.35</v>
      </c>
      <c r="O74" s="246">
        <f>160+550+1320</f>
        <v>2030</v>
      </c>
      <c r="P74" s="246">
        <v>121.32</v>
      </c>
      <c r="Q74" s="246">
        <f>72.12-12.31+7.46</f>
        <v>67.27</v>
      </c>
      <c r="R74" s="246">
        <v>0</v>
      </c>
      <c r="S74" s="246">
        <v>0</v>
      </c>
      <c r="T74" s="246">
        <v>0</v>
      </c>
      <c r="U74" s="323">
        <v>0</v>
      </c>
    </row>
    <row r="75" spans="2:21" ht="18.5" x14ac:dyDescent="0.45">
      <c r="B75" s="11"/>
      <c r="C75" s="306" t="str">
        <f>Addendum!E17</f>
        <v>February</v>
      </c>
      <c r="D75" s="307">
        <v>18831.099999999999</v>
      </c>
      <c r="E75" s="246">
        <v>68876.149999999994</v>
      </c>
      <c r="F75" s="246">
        <v>52381.18</v>
      </c>
      <c r="G75" s="246">
        <v>65506.43</v>
      </c>
      <c r="H75" s="246">
        <v>0</v>
      </c>
      <c r="I75" s="308">
        <v>-9676.74</v>
      </c>
      <c r="J75" s="309">
        <f t="shared" si="24"/>
        <v>195918.12</v>
      </c>
      <c r="K75" s="311">
        <v>159</v>
      </c>
      <c r="L75" s="307">
        <f>639.33-18.44</f>
        <v>620.89</v>
      </c>
      <c r="M75" s="246">
        <v>0</v>
      </c>
      <c r="N75" s="246">
        <v>0</v>
      </c>
      <c r="O75" s="246">
        <f>160+880</f>
        <v>1040</v>
      </c>
      <c r="P75" s="246">
        <f>0.88</f>
        <v>0.88</v>
      </c>
      <c r="Q75" s="246">
        <f>102.57+3.15</f>
        <v>105.72</v>
      </c>
      <c r="R75" s="246">
        <v>0</v>
      </c>
      <c r="S75" s="246">
        <v>-13306</v>
      </c>
      <c r="T75" s="246">
        <v>0</v>
      </c>
      <c r="U75" s="323">
        <v>-100691.92</v>
      </c>
    </row>
    <row r="76" spans="2:21" ht="18.5" x14ac:dyDescent="0.45">
      <c r="B76" s="11"/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4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2:21" ht="18.5" x14ac:dyDescent="0.45">
      <c r="B77" s="11"/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4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2:21" ht="18.5" x14ac:dyDescent="0.45">
      <c r="B78" s="11"/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4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2:21" ht="19" thickBot="1" x14ac:dyDescent="0.5">
      <c r="B79" s="11"/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4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2:21" ht="19.5" thickTop="1" thickBot="1" x14ac:dyDescent="0.5">
      <c r="B80" s="11"/>
      <c r="C80" s="312" t="s">
        <v>22</v>
      </c>
      <c r="D80" s="313">
        <f>SUM(D68:D79)</f>
        <v>249604.81000000003</v>
      </c>
      <c r="E80" s="314">
        <f t="shared" ref="E80:I80" si="25">SUM(E68:E79)</f>
        <v>405672.87</v>
      </c>
      <c r="F80" s="314">
        <f t="shared" si="25"/>
        <v>410895.22000000003</v>
      </c>
      <c r="G80" s="314">
        <f t="shared" si="25"/>
        <v>305965.64</v>
      </c>
      <c r="H80" s="314">
        <f t="shared" si="25"/>
        <v>146056.20000000001</v>
      </c>
      <c r="I80" s="315">
        <f t="shared" si="25"/>
        <v>-57126.139999999992</v>
      </c>
      <c r="J80" s="316">
        <f>SUM(J68:J79)</f>
        <v>1461068.6</v>
      </c>
      <c r="K80" s="317">
        <f>SUM(K68:K79)</f>
        <v>946</v>
      </c>
      <c r="L80" s="313">
        <f>SUM(L68:L79)</f>
        <v>1198.3999999999994</v>
      </c>
      <c r="M80" s="314">
        <f t="shared" ref="M80:U80" si="26">SUM(M68:M79)</f>
        <v>0</v>
      </c>
      <c r="N80" s="314">
        <f t="shared" si="26"/>
        <v>114.72999999999999</v>
      </c>
      <c r="O80" s="314">
        <f t="shared" si="26"/>
        <v>7230</v>
      </c>
      <c r="P80" s="314">
        <f t="shared" si="26"/>
        <v>3220.2500000000005</v>
      </c>
      <c r="Q80" s="314">
        <f t="shared" si="26"/>
        <v>741.77</v>
      </c>
      <c r="R80" s="314">
        <f t="shared" si="26"/>
        <v>0</v>
      </c>
      <c r="S80" s="314">
        <f t="shared" si="26"/>
        <v>-13306</v>
      </c>
      <c r="T80" s="314">
        <f t="shared" si="26"/>
        <v>0</v>
      </c>
      <c r="U80" s="322">
        <f t="shared" si="26"/>
        <v>-100691.92</v>
      </c>
    </row>
    <row r="83" spans="3:17" ht="23.5" x14ac:dyDescent="0.55000000000000004">
      <c r="D83" s="671" t="s">
        <v>128</v>
      </c>
      <c r="E83" s="671"/>
      <c r="F83" s="671"/>
      <c r="G83" s="671"/>
      <c r="H83" s="671"/>
      <c r="I83" s="671"/>
      <c r="J83" s="671"/>
      <c r="K83" s="671"/>
      <c r="L83" s="671"/>
      <c r="N83" s="38" t="s">
        <v>143</v>
      </c>
      <c r="O83" s="109">
        <v>60</v>
      </c>
    </row>
    <row r="84" spans="3:17" ht="18.5" x14ac:dyDescent="0.35">
      <c r="D84" s="651" t="s">
        <v>1</v>
      </c>
      <c r="E84" s="672"/>
      <c r="F84" s="673" t="s">
        <v>23</v>
      </c>
      <c r="G84" s="655" t="s">
        <v>129</v>
      </c>
      <c r="H84" s="652"/>
      <c r="I84" s="652"/>
      <c r="J84" s="652"/>
      <c r="K84" s="672"/>
      <c r="L84" s="657" t="s">
        <v>18</v>
      </c>
      <c r="M84" s="657" t="s">
        <v>293</v>
      </c>
      <c r="N84" s="38" t="s">
        <v>144</v>
      </c>
      <c r="O84" s="109">
        <f>Q38</f>
        <v>98.77</v>
      </c>
    </row>
    <row r="85" spans="3:17" ht="18.5" x14ac:dyDescent="0.35">
      <c r="D85" s="318" t="s">
        <v>2</v>
      </c>
      <c r="E85" s="319" t="s">
        <v>19</v>
      </c>
      <c r="F85" s="674"/>
      <c r="G85" s="326" t="s">
        <v>130</v>
      </c>
      <c r="H85" s="319" t="s">
        <v>131</v>
      </c>
      <c r="I85" s="319" t="s">
        <v>132</v>
      </c>
      <c r="J85" s="319" t="s">
        <v>133</v>
      </c>
      <c r="K85" s="327" t="s">
        <v>134</v>
      </c>
      <c r="L85" s="658"/>
      <c r="M85" s="658"/>
    </row>
    <row r="86" spans="3:17" ht="18.5" x14ac:dyDescent="0.45">
      <c r="C86" s="306" t="str">
        <f>C68</f>
        <v>July   2024</v>
      </c>
      <c r="D86" s="328">
        <v>60182.99</v>
      </c>
      <c r="E86" s="329">
        <v>22621.07</v>
      </c>
      <c r="F86" s="330">
        <f>SUM(D86:E86)</f>
        <v>82804.06</v>
      </c>
      <c r="G86" s="331">
        <v>15</v>
      </c>
      <c r="H86" s="332">
        <v>4</v>
      </c>
      <c r="I86" s="332">
        <v>5</v>
      </c>
      <c r="J86" s="332">
        <v>3</v>
      </c>
      <c r="K86" s="333">
        <v>26</v>
      </c>
      <c r="L86" s="334">
        <f>IF($F86="","",SUM($G86:$K86)*SUM($O$83:$O$84))</f>
        <v>8414.81</v>
      </c>
      <c r="M86" s="334">
        <v>0</v>
      </c>
    </row>
    <row r="87" spans="3:17" ht="18.5" x14ac:dyDescent="0.45">
      <c r="C87" s="306" t="str">
        <f t="shared" ref="C87:C98" si="27">C69</f>
        <v>August</v>
      </c>
      <c r="D87" s="307">
        <v>17949.84</v>
      </c>
      <c r="E87" s="246">
        <v>26397.67</v>
      </c>
      <c r="F87" s="309">
        <f t="shared" ref="F87:F97" si="28">SUM(D87:E87)</f>
        <v>44347.509999999995</v>
      </c>
      <c r="G87" s="335">
        <v>15</v>
      </c>
      <c r="H87" s="336">
        <v>4</v>
      </c>
      <c r="I87" s="336">
        <v>5</v>
      </c>
      <c r="J87" s="336">
        <v>3</v>
      </c>
      <c r="K87" s="337">
        <v>26</v>
      </c>
      <c r="L87" s="338">
        <f t="shared" ref="L87:L97" si="29">IF($F87="","",SUM($G87:$K87)*SUM($O$83:$O$84))</f>
        <v>8414.81</v>
      </c>
      <c r="M87" s="338">
        <v>0</v>
      </c>
    </row>
    <row r="88" spans="3:17" ht="18.5" x14ac:dyDescent="0.45">
      <c r="C88" s="306" t="str">
        <f t="shared" si="27"/>
        <v>September</v>
      </c>
      <c r="D88" s="307">
        <v>18164.060000000001</v>
      </c>
      <c r="E88" s="246">
        <v>6728.52</v>
      </c>
      <c r="F88" s="309">
        <f t="shared" si="28"/>
        <v>24892.58</v>
      </c>
      <c r="G88" s="335">
        <v>15</v>
      </c>
      <c r="H88" s="336">
        <v>4</v>
      </c>
      <c r="I88" s="336">
        <v>5</v>
      </c>
      <c r="J88" s="336">
        <v>3</v>
      </c>
      <c r="K88" s="337">
        <v>26</v>
      </c>
      <c r="L88" s="338">
        <f t="shared" si="29"/>
        <v>8414.81</v>
      </c>
      <c r="M88" s="338">
        <v>0</v>
      </c>
    </row>
    <row r="89" spans="3:17" ht="18.5" x14ac:dyDescent="0.45">
      <c r="C89" s="306" t="str">
        <f t="shared" si="27"/>
        <v>October</v>
      </c>
      <c r="D89" s="307">
        <v>64782.9</v>
      </c>
      <c r="E89" s="246">
        <v>16695.740000000002</v>
      </c>
      <c r="F89" s="309">
        <f t="shared" si="28"/>
        <v>81478.64</v>
      </c>
      <c r="G89" s="335">
        <v>15</v>
      </c>
      <c r="H89" s="336">
        <v>4</v>
      </c>
      <c r="I89" s="336">
        <v>5</v>
      </c>
      <c r="J89" s="336">
        <v>3</v>
      </c>
      <c r="K89" s="337">
        <v>26</v>
      </c>
      <c r="L89" s="338">
        <f t="shared" si="29"/>
        <v>8414.81</v>
      </c>
      <c r="M89" s="338">
        <v>0</v>
      </c>
    </row>
    <row r="90" spans="3:17" ht="18.5" x14ac:dyDescent="0.45">
      <c r="C90" s="306" t="str">
        <f t="shared" si="27"/>
        <v>November</v>
      </c>
      <c r="D90" s="307">
        <v>85871.93</v>
      </c>
      <c r="E90" s="246">
        <v>41683.22</v>
      </c>
      <c r="F90" s="309">
        <f t="shared" si="28"/>
        <v>127555.15</v>
      </c>
      <c r="G90" s="335">
        <v>14</v>
      </c>
      <c r="H90" s="336">
        <v>4</v>
      </c>
      <c r="I90" s="336">
        <v>5</v>
      </c>
      <c r="J90" s="336">
        <v>4</v>
      </c>
      <c r="K90" s="337">
        <v>26</v>
      </c>
      <c r="L90" s="338">
        <f t="shared" si="29"/>
        <v>8414.81</v>
      </c>
      <c r="M90" s="338">
        <v>0</v>
      </c>
    </row>
    <row r="91" spans="3:17" ht="18.5" x14ac:dyDescent="0.45">
      <c r="C91" s="306" t="str">
        <f t="shared" si="27"/>
        <v>December</v>
      </c>
      <c r="D91" s="307">
        <v>46030.42</v>
      </c>
      <c r="E91" s="246">
        <v>50016.639999999999</v>
      </c>
      <c r="F91" s="309">
        <f t="shared" si="28"/>
        <v>96047.06</v>
      </c>
      <c r="G91" s="335">
        <v>14</v>
      </c>
      <c r="H91" s="336">
        <v>4</v>
      </c>
      <c r="I91" s="336">
        <v>5</v>
      </c>
      <c r="J91" s="336">
        <v>4</v>
      </c>
      <c r="K91" s="337">
        <v>26</v>
      </c>
      <c r="L91" s="338">
        <f t="shared" si="29"/>
        <v>8414.81</v>
      </c>
      <c r="M91" s="338">
        <v>0</v>
      </c>
      <c r="O91" s="11"/>
      <c r="P91" s="11"/>
      <c r="Q91" s="11"/>
    </row>
    <row r="92" spans="3:17" ht="18.5" x14ac:dyDescent="0.45">
      <c r="C92" s="306" t="str">
        <f t="shared" si="27"/>
        <v>January 2025</v>
      </c>
      <c r="D92" s="307"/>
      <c r="E92" s="246"/>
      <c r="F92" s="309">
        <f t="shared" si="28"/>
        <v>0</v>
      </c>
      <c r="G92" s="335"/>
      <c r="H92" s="336"/>
      <c r="I92" s="336"/>
      <c r="J92" s="336"/>
      <c r="K92" s="337"/>
      <c r="L92" s="338">
        <f>IF($F92="","",SUM($G92:$K92)*SUM($O$83:$O$84))</f>
        <v>0</v>
      </c>
      <c r="M92" s="338">
        <v>0</v>
      </c>
    </row>
    <row r="93" spans="3:17" ht="18.5" x14ac:dyDescent="0.45">
      <c r="C93" s="306" t="str">
        <f t="shared" si="27"/>
        <v>February</v>
      </c>
      <c r="D93" s="307"/>
      <c r="E93" s="246"/>
      <c r="F93" s="309">
        <f t="shared" si="28"/>
        <v>0</v>
      </c>
      <c r="G93" s="335"/>
      <c r="H93" s="336"/>
      <c r="I93" s="336"/>
      <c r="J93" s="336"/>
      <c r="K93" s="337"/>
      <c r="L93" s="338">
        <f t="shared" si="29"/>
        <v>0</v>
      </c>
      <c r="M93" s="338">
        <v>0</v>
      </c>
    </row>
    <row r="94" spans="3:17" ht="18.5" x14ac:dyDescent="0.45">
      <c r="C94" s="306" t="str">
        <f t="shared" si="27"/>
        <v>March</v>
      </c>
      <c r="D94" s="307"/>
      <c r="E94" s="246"/>
      <c r="F94" s="309">
        <f t="shared" si="28"/>
        <v>0</v>
      </c>
      <c r="G94" s="335"/>
      <c r="H94" s="336"/>
      <c r="I94" s="336"/>
      <c r="J94" s="336"/>
      <c r="K94" s="337"/>
      <c r="L94" s="338">
        <f t="shared" si="29"/>
        <v>0</v>
      </c>
      <c r="M94" s="338">
        <v>0</v>
      </c>
    </row>
    <row r="95" spans="3:17" ht="18.5" x14ac:dyDescent="0.45">
      <c r="C95" s="306" t="str">
        <f t="shared" si="27"/>
        <v>April</v>
      </c>
      <c r="D95" s="307"/>
      <c r="E95" s="246"/>
      <c r="F95" s="309">
        <f t="shared" si="28"/>
        <v>0</v>
      </c>
      <c r="G95" s="335"/>
      <c r="H95" s="336"/>
      <c r="I95" s="336"/>
      <c r="J95" s="336"/>
      <c r="K95" s="337"/>
      <c r="L95" s="338">
        <f t="shared" si="29"/>
        <v>0</v>
      </c>
      <c r="M95" s="338">
        <v>0</v>
      </c>
    </row>
    <row r="96" spans="3:17" ht="18.5" x14ac:dyDescent="0.45">
      <c r="C96" s="306" t="str">
        <f t="shared" si="27"/>
        <v>May</v>
      </c>
      <c r="D96" s="307"/>
      <c r="E96" s="246"/>
      <c r="F96" s="309">
        <f t="shared" si="28"/>
        <v>0</v>
      </c>
      <c r="G96" s="335"/>
      <c r="H96" s="336"/>
      <c r="I96" s="336"/>
      <c r="J96" s="336"/>
      <c r="K96" s="337"/>
      <c r="L96" s="338">
        <f t="shared" si="29"/>
        <v>0</v>
      </c>
      <c r="M96" s="338">
        <v>0</v>
      </c>
    </row>
    <row r="97" spans="3:13" ht="19" thickBot="1" x14ac:dyDescent="0.5">
      <c r="C97" s="306" t="str">
        <f t="shared" si="27"/>
        <v>June</v>
      </c>
      <c r="D97" s="307"/>
      <c r="E97" s="246"/>
      <c r="F97" s="309">
        <f t="shared" si="28"/>
        <v>0</v>
      </c>
      <c r="G97" s="335"/>
      <c r="H97" s="336"/>
      <c r="I97" s="336"/>
      <c r="J97" s="336"/>
      <c r="K97" s="337"/>
      <c r="L97" s="338">
        <f t="shared" si="29"/>
        <v>0</v>
      </c>
      <c r="M97" s="338">
        <v>0</v>
      </c>
    </row>
    <row r="98" spans="3:13" ht="19.5" thickTop="1" thickBot="1" x14ac:dyDescent="0.5">
      <c r="C98" s="312" t="str">
        <f t="shared" si="27"/>
        <v>Totals:</v>
      </c>
      <c r="D98" s="313">
        <f>SUM(D86:D97)</f>
        <v>292982.14</v>
      </c>
      <c r="E98" s="314">
        <f>SUM(E86:E97)</f>
        <v>164142.85999999999</v>
      </c>
      <c r="F98" s="316">
        <f>SUM(F86:F97)</f>
        <v>457124.99999999994</v>
      </c>
      <c r="G98" s="339">
        <f>AVERAGE(G86:G97)</f>
        <v>14.666666666666666</v>
      </c>
      <c r="H98" s="339">
        <f t="shared" ref="H98:K98" si="30">AVERAGE(H86:H97)</f>
        <v>4</v>
      </c>
      <c r="I98" s="339">
        <f t="shared" si="30"/>
        <v>5</v>
      </c>
      <c r="J98" s="339">
        <f t="shared" si="30"/>
        <v>3.3333333333333335</v>
      </c>
      <c r="K98" s="339">
        <f t="shared" si="30"/>
        <v>26</v>
      </c>
      <c r="L98" s="340">
        <f>SUM(L86:L97)</f>
        <v>50488.859999999993</v>
      </c>
      <c r="M98" s="340">
        <f>SUM(M86:M97)</f>
        <v>0</v>
      </c>
    </row>
    <row r="103" spans="3:13" x14ac:dyDescent="0.35">
      <c r="G103" s="11"/>
    </row>
  </sheetData>
  <mergeCells count="26"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D66:H66"/>
    <mergeCell ref="I66:I67"/>
    <mergeCell ref="J66:J67"/>
    <mergeCell ref="K66:K67"/>
    <mergeCell ref="L66:U66"/>
    <mergeCell ref="M84:M85"/>
    <mergeCell ref="D83:L83"/>
    <mergeCell ref="D84:E84"/>
    <mergeCell ref="F84:F85"/>
    <mergeCell ref="G84:K84"/>
    <mergeCell ref="L84:L85"/>
  </mergeCells>
  <conditionalFormatting sqref="D51:P51">
    <cfRule type="cellIs" dxfId="9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78A21-48ED-4FCA-AB90-9C3622204412}">
  <sheetPr codeName="Sheet20">
    <tabColor theme="6" tint="0.39997558519241921"/>
    <pageSetUpPr fitToPage="1"/>
  </sheetPr>
  <dimension ref="B1:U80"/>
  <sheetViews>
    <sheetView view="pageBreakPreview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175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Entry'!$D$3:$D$500,MATCH(1,INDEX((NE!$C$7='Cash Flow Entry'!$B$3:$B$500)*(VALUE(NE!D$7)='Cash Flow Entry'!$C$3:$C$500),0,1),0)),"")</f>
        <v>157</v>
      </c>
      <c r="E8" s="256" cm="1">
        <f t="array" ref="E8">IFERROR(INDEX('Cash Flow Entry'!$D$3:$D$500,MATCH(1,INDEX((NE!$C$7='Cash Flow Entry'!$B$3:$B$500)*(VALUE(NE!E$7)='Cash Flow Entry'!$C$3:$C$500),0,1),0)),"")</f>
        <v>159</v>
      </c>
      <c r="F8" s="257" cm="1">
        <f t="array" ref="F8">IFERROR(INDEX('Cash Flow Entry'!$D$3:$D$500,MATCH(1,INDEX((NE!$C$7='Cash Flow Entry'!$B$3:$B$500)*(VALUE(NE!F$7)='Cash Flow Entry'!$C$3:$C$500),0,1),0)),"")</f>
        <v>160</v>
      </c>
      <c r="G8" s="255" cm="1">
        <f t="array" ref="G8">IFERROR(INDEX('Cash Flow Entry'!$D$3:$D$500,MATCH(1,INDEX((NE!$C$7='Cash Flow Entry'!$B$3:$B$500)*(VALUE(NE!G$7)='Cash Flow Entry'!$C$3:$C$500),0,1),0)),"")</f>
        <v>161</v>
      </c>
      <c r="H8" s="256" cm="1">
        <f t="array" ref="H8">IFERROR(INDEX('Cash Flow Entry'!$D$3:$D$500,MATCH(1,INDEX((NE!$C$7='Cash Flow Entry'!$B$3:$B$500)*(VALUE(NE!H$7)='Cash Flow Entry'!$C$3:$C$500),0,1),0)),"")</f>
        <v>162</v>
      </c>
      <c r="I8" s="257" cm="1">
        <f t="array" ref="I8">IFERROR(INDEX('Cash Flow Entry'!$D$3:$D$500,MATCH(1,INDEX((NE!$C$7='Cash Flow Entry'!$B$3:$B$500)*(VALUE(NE!I$7)='Cash Flow Entry'!$C$3:$C$500),0,1),0)),"")</f>
        <v>162</v>
      </c>
      <c r="J8" s="256" cm="1">
        <f t="array" ref="J8">IFERROR(INDEX('Cash Flow Entry'!$D$3:$D$500,MATCH(1,INDEX((NE!$C$7='Cash Flow Entry'!$B$3:$B$500)*(VALUE(NE!J$7)='Cash Flow Entry'!$C$3:$C$500),0,1),0)),"")</f>
        <v>162</v>
      </c>
      <c r="K8" s="256" cm="1">
        <f t="array" ref="K8">IFERROR(INDEX('Cash Flow Entry'!$D$3:$D$500,MATCH(1,INDEX((NE!$C$7='Cash Flow Entry'!$B$3:$B$500)*(VALUE(NE!K$7)='Cash Flow Entry'!$C$3:$C$500),0,1),0)),"")</f>
        <v>162</v>
      </c>
      <c r="L8" s="256" t="str" cm="1">
        <f t="array" ref="L8">IFERROR(INDEX('Cash Flow Entry'!$D$3:$D$500,MATCH(1,INDEX((NE!$C$7='Cash Flow Entry'!$B$3:$B$500)*(VALUE(NE!L$7)='Cash Flow Entry'!$C$3:$C$500),0,1),0)),"")</f>
        <v/>
      </c>
      <c r="M8" s="255" t="str" cm="1">
        <f t="array" ref="M8">IFERROR(INDEX('Cash Flow Entry'!$D$3:$D$500,MATCH(1,INDEX((NE!$C$7='Cash Flow Entry'!$B$3:$B$500)*(VALUE(NE!M$7)='Cash Flow Entry'!$C$3:$C$500),0,1),0)),"")</f>
        <v/>
      </c>
      <c r="N8" s="256" t="str" cm="1">
        <f t="array" ref="N8">IFERROR(INDEX('Cash Flow Entry'!$D$3:$D$500,MATCH(1,INDEX((NE!$C$7='Cash Flow Entry'!$B$3:$B$500)*(VALUE(NE!N$7)='Cash Flow Entry'!$C$3:$C$500),0,1),0)),"")</f>
        <v/>
      </c>
      <c r="O8" s="258" t="str" cm="1">
        <f t="array" ref="O8">IFERROR(INDEX('Cash Flow Entry'!$D$3:$D$500,MATCH(1,INDEX((NE!$C$7='Cash Flow Entry'!$B$3:$B$500)*(VALUE(NE!O$7)='Cash Flow Entry'!$C$3:$C$500),0,1),0)),"")</f>
        <v/>
      </c>
      <c r="P8" s="259">
        <f>SUM(D8:O8)</f>
        <v>1285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Entry'!$E$3:$E$500,MATCH(1,INDEX((NE!$C$7='Cash Flow Entry'!$B$3:$B$500)*(VALUE(NE!D$7)='Cash Flow Entry'!$C$3:$C$500),0,1),0)),"")</f>
        <v>391</v>
      </c>
      <c r="E9" s="256" cm="1">
        <f t="array" ref="E9">IFERROR(INDEX('Cash Flow Entry'!$E$3:$E$500,MATCH(1,INDEX((NE!$C$7='Cash Flow Entry'!$B$3:$B$500)*(VALUE(NE!E$7)='Cash Flow Entry'!$C$3:$C$500),0,1),0)),"")</f>
        <v>392</v>
      </c>
      <c r="F9" s="257" cm="1">
        <f t="array" ref="F9">IFERROR(INDEX('Cash Flow Entry'!$E$3:$E$500,MATCH(1,INDEX((NE!$C$7='Cash Flow Entry'!$B$3:$B$500)*(VALUE(NE!F$7)='Cash Flow Entry'!$C$3:$C$500),0,1),0)),"")</f>
        <v>395</v>
      </c>
      <c r="G9" s="255" cm="1">
        <f t="array" ref="G9">IFERROR(INDEX('Cash Flow Entry'!$E$3:$E$500,MATCH(1,INDEX((NE!$C$7='Cash Flow Entry'!$B$3:$B$500)*(VALUE(NE!G$7)='Cash Flow Entry'!$C$3:$C$500),0,1),0)),"")</f>
        <v>396</v>
      </c>
      <c r="H9" s="256" cm="1">
        <f t="array" ref="H9">IFERROR(INDEX('Cash Flow Entry'!$E$3:$E$500,MATCH(1,INDEX((NE!$C$7='Cash Flow Entry'!$B$3:$B$500)*(VALUE(NE!H$7)='Cash Flow Entry'!$C$3:$C$500),0,1),0)),"")</f>
        <v>398</v>
      </c>
      <c r="I9" s="257" cm="1">
        <f t="array" ref="I9">IFERROR(INDEX('Cash Flow Entry'!$E$3:$E$500,MATCH(1,INDEX((NE!$C$7='Cash Flow Entry'!$B$3:$B$500)*(VALUE(NE!I$7)='Cash Flow Entry'!$C$3:$C$500),0,1),0)),"")</f>
        <v>400</v>
      </c>
      <c r="J9" s="256" cm="1">
        <f t="array" ref="J9">IFERROR(INDEX('Cash Flow Entry'!$E$3:$E$500,MATCH(1,INDEX((NE!$C$7='Cash Flow Entry'!$B$3:$B$500)*(VALUE(NE!J$7)='Cash Flow Entry'!$C$3:$C$500),0,1),0)),"")</f>
        <v>400</v>
      </c>
      <c r="K9" s="256" cm="1">
        <f t="array" ref="K9">IFERROR(INDEX('Cash Flow Entry'!$E$3:$E$500,MATCH(1,INDEX((NE!$C$7='Cash Flow Entry'!$B$3:$B$500)*(VALUE(NE!K$7)='Cash Flow Entry'!$C$3:$C$500),0,1),0)),"")</f>
        <v>400</v>
      </c>
      <c r="L9" s="256" t="str" cm="1">
        <f t="array" ref="L9">IFERROR(INDEX('Cash Flow Entry'!$E$3:$E$500,MATCH(1,INDEX((NE!$C$7='Cash Flow Entry'!$B$3:$B$500)*(VALUE(NE!L$7)='Cash Flow Entry'!$C$3:$C$500),0,1),0)),"")</f>
        <v/>
      </c>
      <c r="M9" s="255" t="str" cm="1">
        <f t="array" ref="M9">IFERROR(INDEX('Cash Flow Entry'!$E$3:$E$500,MATCH(1,INDEX((NE!$C$7='Cash Flow Entry'!$B$3:$B$500)*(VALUE(NE!M$7)='Cash Flow Entry'!$C$3:$C$500),0,1),0)),"")</f>
        <v/>
      </c>
      <c r="N9" s="256" t="str" cm="1">
        <f t="array" ref="N9">IFERROR(INDEX('Cash Flow Entry'!$E$3:$E$500,MATCH(1,INDEX((NE!$C$7='Cash Flow Entry'!$B$3:$B$500)*(VALUE(NE!N$7)='Cash Flow Entry'!$C$3:$C$500),0,1),0)),"")</f>
        <v/>
      </c>
      <c r="O9" s="258" t="str" cm="1">
        <f t="array" ref="O9">IFERROR(INDEX('Cash Flow Entry'!$E$3:$E$500,MATCH(1,INDEX((NE!$C$7='Cash Flow Entry'!$B$3:$B$500)*(VALUE(NE!O$7)='Cash Flow Entry'!$C$3:$C$500),0,1),0)),"")</f>
        <v/>
      </c>
      <c r="P9" s="259">
        <f>SUM(D9:O9)</f>
        <v>3172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$1,556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$1,555.16</v>
      </c>
      <c r="N10" s="645"/>
      <c r="O10" s="647"/>
      <c r="P10" s="265">
        <f>P14</f>
        <v>1998377.0100000002</v>
      </c>
      <c r="Q10" s="534">
        <v>1555.57</v>
      </c>
      <c r="R10" s="305">
        <f>Q10*P8</f>
        <v>1998907.45</v>
      </c>
      <c r="S10" s="305"/>
    </row>
    <row r="11" spans="2:20" ht="18.5" x14ac:dyDescent="0.45">
      <c r="B11" s="213" t="s">
        <v>191</v>
      </c>
      <c r="C11" s="267" t="s">
        <v>194</v>
      </c>
      <c r="D11" s="268">
        <v>240976.32</v>
      </c>
      <c r="E11" s="234">
        <v>242521.04</v>
      </c>
      <c r="F11" s="234">
        <v>256423.52</v>
      </c>
      <c r="G11" s="268">
        <v>248891.2</v>
      </c>
      <c r="H11" s="234">
        <v>252002.34</v>
      </c>
      <c r="I11" s="269">
        <v>252002.34</v>
      </c>
      <c r="J11" s="234">
        <v>252002.34</v>
      </c>
      <c r="K11" s="234">
        <v>253557.91</v>
      </c>
      <c r="L11" s="234"/>
      <c r="M11" s="268"/>
      <c r="N11" s="234"/>
      <c r="O11" s="270"/>
      <c r="P11" s="234">
        <f>SUM(D11:O11)</f>
        <v>1998377.0100000002</v>
      </c>
      <c r="Q11" s="302"/>
    </row>
    <row r="12" spans="2:20" ht="18.5" x14ac:dyDescent="0.45">
      <c r="C12" s="267" t="s">
        <v>195</v>
      </c>
      <c r="D12" s="268">
        <f>IF(D$8="","",IF(D$11=0,0,D$8*$Q12))</f>
        <v>0</v>
      </c>
      <c r="E12" s="234">
        <f t="shared" ref="E12:O12" si="0">IF(E$8="","",IF(E$11=0,0,E$8*$Q12))</f>
        <v>0</v>
      </c>
      <c r="F12" s="269">
        <f t="shared" si="0"/>
        <v>0</v>
      </c>
      <c r="G12" s="268">
        <f t="shared" si="0"/>
        <v>0</v>
      </c>
      <c r="H12" s="234">
        <f t="shared" si="0"/>
        <v>0</v>
      </c>
      <c r="I12" s="269">
        <f t="shared" si="0"/>
        <v>0</v>
      </c>
      <c r="J12" s="234">
        <f t="shared" si="0"/>
        <v>0</v>
      </c>
      <c r="K12" s="234">
        <f t="shared" si="0"/>
        <v>0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0</v>
      </c>
      <c r="Q12" s="533">
        <v>0</v>
      </c>
    </row>
    <row r="13" spans="2:20" ht="18.5" x14ac:dyDescent="0.45">
      <c r="B13" s="213" t="s">
        <v>191</v>
      </c>
      <c r="C13" s="267" t="s">
        <v>196</v>
      </c>
      <c r="D13" s="458">
        <f t="shared" ref="D13:O13" si="2">IF(D$8="","",0)</f>
        <v>0</v>
      </c>
      <c r="E13" s="457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240976.32</v>
      </c>
      <c r="E14" s="274">
        <f t="shared" ref="E14:O14" si="3">IF(E8="","",SUM(E11:E13))</f>
        <v>242521.04</v>
      </c>
      <c r="F14" s="275">
        <f t="shared" si="3"/>
        <v>256423.52</v>
      </c>
      <c r="G14" s="273">
        <f t="shared" si="3"/>
        <v>248891.2</v>
      </c>
      <c r="H14" s="274">
        <f t="shared" si="3"/>
        <v>252002.34</v>
      </c>
      <c r="I14" s="275">
        <f t="shared" si="3"/>
        <v>252002.34</v>
      </c>
      <c r="J14" s="274">
        <f t="shared" si="3"/>
        <v>252002.34</v>
      </c>
      <c r="K14" s="274">
        <f t="shared" si="3"/>
        <v>253557.91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1998377.0100000002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675"/>
      <c r="O15" s="676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$1,169</v>
      </c>
      <c r="E16" s="645"/>
      <c r="F16" s="646"/>
      <c r="G16" s="644" t="str">
        <f>"Admin, Reinsurance, &amp; Misc. PEPM: "&amp;DOLLAR(SUM($P36,$P42,$P49)/$P$8,0)</f>
        <v>Admin, Reinsurance, &amp; Misc. PEPM: $450</v>
      </c>
      <c r="H16" s="645"/>
      <c r="I16" s="646"/>
      <c r="J16" s="644" t="str">
        <f>"Total Expenses PEPM: "&amp;DOLLAR($P16/$P$8,0)</f>
        <v>Total Expenses PEPM: $1,620</v>
      </c>
      <c r="K16" s="645"/>
      <c r="L16" s="646"/>
      <c r="M16" s="644" t="str">
        <f>"Projection Variance: "&amp;TEXT(($P$16/$P$8)/$Q$10-1,"0.00%")</f>
        <v>Projection Variance: 4.12%</v>
      </c>
      <c r="N16" s="645"/>
      <c r="O16" s="647"/>
      <c r="P16" s="265">
        <f>SUM(P26,P36,P42,P49)</f>
        <v>2081255.2005263157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Entry'!$F$3:$F$500,MATCH(1,INDEX((NE!$C$7='Cash Flow Entry'!$B$3:$B$500)*(VALUE(NE!D$7)='Cash Flow Entry'!$C$3:$C$500),0,1),0)),"")+IFERROR(INDEX('Cash Flow Entry'!$H$3:$H$500,MATCH(1,INDEX((NE!$C$7='Cash Flow Entry'!$B$3:$B$500)*(VALUE(NE!D$7)='Cash Flow Entry'!$C$3:$C$500),0,1),0)),""),"")</f>
        <v>120972.77</v>
      </c>
      <c r="E18" s="234" cm="1">
        <f t="array" ref="E18">IFERROR(IFERROR(INDEX('Cash Flow Entry'!$F$3:$F$500,MATCH(1,INDEX((NE!$C$7='Cash Flow Entry'!$B$3:$B$500)*(VALUE(NE!E$7)='Cash Flow Entry'!$C$3:$C$500),0,1),0)),"")+IFERROR(INDEX('Cash Flow Entry'!$H$3:$H$500,MATCH(1,INDEX((NE!$C$7='Cash Flow Entry'!$B$3:$B$500)*(VALUE(NE!E$7)='Cash Flow Entry'!$C$3:$C$500),0,1),0)),""),"")</f>
        <v>147585.85</v>
      </c>
      <c r="F18" s="269" cm="1">
        <f t="array" ref="F18">IFERROR(IFERROR(INDEX('Cash Flow Entry'!$F$3:$F$500,MATCH(1,INDEX((NE!$C$7='Cash Flow Entry'!$B$3:$B$500)*(VALUE(NE!F$7)='Cash Flow Entry'!$C$3:$C$500),0,1),0)),"")+IFERROR(INDEX('Cash Flow Entry'!$H$3:$H$500,MATCH(1,INDEX((NE!$C$7='Cash Flow Entry'!$B$3:$B$500)*(VALUE(NE!F$7)='Cash Flow Entry'!$C$3:$C$500),0,1),0)),""),"")</f>
        <v>88414.16</v>
      </c>
      <c r="G18" s="268" cm="1">
        <f t="array" ref="G18">IFERROR(IFERROR(INDEX('Cash Flow Entry'!$F$3:$F$500,MATCH(1,INDEX((NE!$C$7='Cash Flow Entry'!$B$3:$B$500)*(VALUE(NE!G$7)='Cash Flow Entry'!$C$3:$C$500),0,1),0)),"")+IFERROR(INDEX('Cash Flow Entry'!$H$3:$H$500,MATCH(1,INDEX((NE!$C$7='Cash Flow Entry'!$B$3:$B$500)*(VALUE(NE!G$7)='Cash Flow Entry'!$C$3:$C$500),0,1),0)),""),"")</f>
        <v>109234.42</v>
      </c>
      <c r="H18" s="234" cm="1">
        <f t="array" ref="H18">IFERROR(IFERROR(INDEX('Cash Flow Entry'!$F$3:$F$500,MATCH(1,INDEX((NE!$C$7='Cash Flow Entry'!$B$3:$B$500)*(VALUE(NE!H$7)='Cash Flow Entry'!$C$3:$C$500),0,1),0)),"")+IFERROR(INDEX('Cash Flow Entry'!$H$3:$H$500,MATCH(1,INDEX((NE!$C$7='Cash Flow Entry'!$B$3:$B$500)*(VALUE(NE!H$7)='Cash Flow Entry'!$C$3:$C$500),0,1),0)),""),"")</f>
        <v>307069.06999999995</v>
      </c>
      <c r="I18" s="269" cm="1">
        <f t="array" ref="I18">IFERROR(IFERROR(INDEX('Cash Flow Entry'!$F$3:$F$500,MATCH(1,INDEX((NE!$C$7='Cash Flow Entry'!$B$3:$B$500)*(VALUE(NE!I$7)='Cash Flow Entry'!$C$3:$C$500),0,1),0)),"")+IFERROR(INDEX('Cash Flow Entry'!$H$3:$H$500,MATCH(1,INDEX((NE!$C$7='Cash Flow Entry'!$B$3:$B$500)*(VALUE(NE!I$7)='Cash Flow Entry'!$C$3:$C$500),0,1),0)),""),"")</f>
        <v>98946.86</v>
      </c>
      <c r="J18" s="234" cm="1">
        <f t="array" ref="J18">IFERROR(IFERROR(INDEX('Cash Flow Entry'!$F$3:$F$500,MATCH(1,INDEX((NE!$C$7='Cash Flow Entry'!$B$3:$B$500)*(VALUE(NE!J$7)='Cash Flow Entry'!$C$3:$C$500),0,1),0)),"")+IFERROR(INDEX('Cash Flow Entry'!$H$3:$H$500,MATCH(1,INDEX((NE!$C$7='Cash Flow Entry'!$B$3:$B$500)*(VALUE(NE!J$7)='Cash Flow Entry'!$C$3:$C$500),0,1),0)),""),"")</f>
        <v>398796.1</v>
      </c>
      <c r="K18" s="234" cm="1">
        <f t="array" ref="K18">IFERROR(IFERROR(INDEX('Cash Flow Entry'!$F$3:$F$500,MATCH(1,INDEX((NE!$C$7='Cash Flow Entry'!$B$3:$B$500)*(VALUE(NE!K$7)='Cash Flow Entry'!$C$3:$C$500),0,1),0)),"")+IFERROR(INDEX('Cash Flow Entry'!$H$3:$H$500,MATCH(1,INDEX((NE!$C$7='Cash Flow Entry'!$B$3:$B$500)*(VALUE(NE!K$7)='Cash Flow Entry'!$C$3:$C$500),0,1),0)),""),"")</f>
        <v>152078.76999999999</v>
      </c>
      <c r="L18" s="234" t="str" cm="1">
        <f t="array" ref="L18">IFERROR(IFERROR(INDEX('Cash Flow Entry'!$F$3:$F$500,MATCH(1,INDEX((NE!$C$7='Cash Flow Entry'!$B$3:$B$500)*(VALUE(NE!L$7)='Cash Flow Entry'!$C$3:$C$500),0,1),0)),"")+IFERROR(INDEX('Cash Flow Entry'!$H$3:$H$500,MATCH(1,INDEX((NE!$C$7='Cash Flow Entry'!$B$3:$B$500)*(VALUE(NE!L$7)='Cash Flow Entry'!$C$3:$C$500),0,1),0)),""),"")</f>
        <v/>
      </c>
      <c r="M18" s="268" t="str" cm="1">
        <f t="array" ref="M18">IFERROR(IFERROR(INDEX('Cash Flow Entry'!$F$3:$F$500,MATCH(1,INDEX((NE!$C$7='Cash Flow Entry'!$B$3:$B$500)*(VALUE(NE!M$7)='Cash Flow Entry'!$C$3:$C$500),0,1),0)),"")+IFERROR(INDEX('Cash Flow Entry'!$H$3:$H$500,MATCH(1,INDEX((NE!$C$7='Cash Flow Entry'!$B$3:$B$500)*(VALUE(NE!M$7)='Cash Flow Entry'!$C$3:$C$500),0,1),0)),""),"")</f>
        <v/>
      </c>
      <c r="N18" s="234" t="str" cm="1">
        <f t="array" ref="N18">IFERROR(IFERROR(INDEX('Cash Flow Entry'!$F$3:$F$500,MATCH(1,INDEX((NE!$C$7='Cash Flow Entry'!$B$3:$B$500)*(VALUE(NE!N$7)='Cash Flow Entry'!$C$3:$C$500),0,1),0)),"")+IFERROR(INDEX('Cash Flow Entry'!$H$3:$H$500,MATCH(1,INDEX((NE!$C$7='Cash Flow Entry'!$B$3:$B$500)*(VALUE(NE!N$7)='Cash Flow Entry'!$C$3:$C$500),0,1),0)),""),"")</f>
        <v/>
      </c>
      <c r="O18" s="270" t="str" cm="1">
        <f t="array" ref="O18">IFERROR(IFERROR(INDEX('Cash Flow Entry'!$F$3:$F$500,MATCH(1,INDEX((NE!$C$7='Cash Flow Entry'!$B$3:$B$500)*(VALUE(NE!O$7)='Cash Flow Entry'!$C$3:$C$500),0,1),0)),"")+IFERROR(INDEX('Cash Flow Entry'!$H$3:$H$500,MATCH(1,INDEX((NE!$C$7='Cash Flow Entry'!$B$3:$B$500)*(VALUE(NE!O$7)='Cash Flow Entry'!$C$3:$C$500),0,1),0)),""),"")</f>
        <v/>
      </c>
      <c r="P18" s="234">
        <f>SUM(D18:O18)</f>
        <v>1423098</v>
      </c>
      <c r="Q18" s="533">
        <v>864.02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Entry'!$G$3:$G$500,MATCH(1,INDEX((NE!$C$7='Cash Flow Entry'!$B$3:$B$500)*(VALUE(NE!D$7)='Cash Flow Entry'!$C$3:$C$500),0,1),0)),"")</f>
        <v>45311.34</v>
      </c>
      <c r="E19" s="234" cm="1">
        <f t="array" ref="E19">IFERROR(INDEX('Cash Flow Entry'!$G$3:$G$500,MATCH(1,INDEX((NE!$C$7='Cash Flow Entry'!$B$3:$B$500)*(VALUE(NE!E$7)='Cash Flow Entry'!$C$3:$C$500),0,1),0)),"")</f>
        <v>59205.04</v>
      </c>
      <c r="F19" s="269" cm="1">
        <f t="array" ref="F19">IFERROR(INDEX('Cash Flow Entry'!$G$3:$G$500,MATCH(1,INDEX((NE!$C$7='Cash Flow Entry'!$B$3:$B$500)*(VALUE(NE!F$7)='Cash Flow Entry'!$C$3:$C$500),0,1),0)),"")</f>
        <v>53961.66</v>
      </c>
      <c r="G19" s="268" cm="1">
        <f t="array" ref="G19">IFERROR(INDEX('Cash Flow Entry'!$G$3:$G$500,MATCH(1,INDEX((NE!$C$7='Cash Flow Entry'!$B$3:$B$500)*(VALUE(NE!G$7)='Cash Flow Entry'!$C$3:$C$500),0,1),0)),"")</f>
        <v>55298.81</v>
      </c>
      <c r="H19" s="234" cm="1">
        <f t="array" ref="H19">IFERROR(INDEX('Cash Flow Entry'!$G$3:$G$500,MATCH(1,INDEX((NE!$C$7='Cash Flow Entry'!$B$3:$B$500)*(VALUE(NE!H$7)='Cash Flow Entry'!$C$3:$C$500),0,1),0)),"")</f>
        <v>71637.59</v>
      </c>
      <c r="I19" s="269" cm="1">
        <f t="array" ref="I19">IFERROR(INDEX('Cash Flow Entry'!$G$3:$G$500,MATCH(1,INDEX((NE!$C$7='Cash Flow Entry'!$B$3:$B$500)*(VALUE(NE!I$7)='Cash Flow Entry'!$C$3:$C$500),0,1),0)),"")</f>
        <v>64719.16</v>
      </c>
      <c r="J19" s="234" cm="1">
        <f t="array" ref="J19">IFERROR(INDEX('Cash Flow Entry'!$G$3:$G$500,MATCH(1,INDEX((NE!$C$7='Cash Flow Entry'!$B$3:$B$500)*(VALUE(NE!J$7)='Cash Flow Entry'!$C$3:$C$500),0,1),0)),"")</f>
        <v>66981.75</v>
      </c>
      <c r="K19" s="234" cm="1">
        <f t="array" ref="K19">IFERROR(INDEX('Cash Flow Entry'!$G$3:$G$500,MATCH(1,INDEX((NE!$C$7='Cash Flow Entry'!$B$3:$B$500)*(VALUE(NE!K$7)='Cash Flow Entry'!$C$3:$C$500),0,1),0)),"")</f>
        <v>69603.259999999995</v>
      </c>
      <c r="L19" s="234" t="str" cm="1">
        <f t="array" ref="L19">IFERROR(INDEX('Cash Flow Entry'!$G$3:$G$500,MATCH(1,INDEX((NE!$C$7='Cash Flow Entry'!$B$3:$B$500)*(VALUE(NE!L$7)='Cash Flow Entry'!$C$3:$C$500),0,1),0)),"")</f>
        <v/>
      </c>
      <c r="M19" s="268" t="str" cm="1">
        <f t="array" ref="M19">IFERROR(INDEX('Cash Flow Entry'!$G$3:$G$500,MATCH(1,INDEX((NE!$C$7='Cash Flow Entry'!$B$3:$B$500)*(VALUE(NE!M$7)='Cash Flow Entry'!$C$3:$C$500),0,1),0)),"")</f>
        <v/>
      </c>
      <c r="N19" s="234" t="str" cm="1">
        <f t="array" ref="N19">IFERROR(INDEX('Cash Flow Entry'!$G$3:$G$500,MATCH(1,INDEX((NE!$C$7='Cash Flow Entry'!$B$3:$B$500)*(VALUE(NE!N$7)='Cash Flow Entry'!$C$3:$C$500),0,1),0)),"")</f>
        <v/>
      </c>
      <c r="O19" s="270" t="str" cm="1">
        <f t="array" ref="O19">IFERROR(INDEX('Cash Flow Entry'!$G$3:$G$500,MATCH(1,INDEX((NE!$C$7='Cash Flow Entry'!$B$3:$B$500)*(VALUE(NE!O$7)='Cash Flow Entry'!$C$3:$C$500),0,1),0)),"")</f>
        <v/>
      </c>
      <c r="P19" s="234">
        <f>SUM(D19:O19)</f>
        <v>486718.61</v>
      </c>
      <c r="Q19" s="533">
        <v>210.83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ht="18.5" x14ac:dyDescent="0.45">
      <c r="B21" s="219">
        <f>INDEX('HCC Summary'!$I$9:$I$27,MATCH(NE!C7,'HCC Summary'!B9:B27, 0))</f>
        <v>277621.23</v>
      </c>
      <c r="C21" s="282" t="s">
        <v>225</v>
      </c>
      <c r="D21" s="283">
        <v>0</v>
      </c>
      <c r="E21" s="284">
        <v>0</v>
      </c>
      <c r="F21" s="285">
        <v>0</v>
      </c>
      <c r="G21" s="283">
        <v>0</v>
      </c>
      <c r="H21" s="284">
        <v>75918.100000000006</v>
      </c>
      <c r="I21" s="285">
        <v>83280.72</v>
      </c>
      <c r="J21" s="284">
        <v>214560.99</v>
      </c>
      <c r="K21" s="284">
        <v>277621.23</v>
      </c>
      <c r="L21" s="284"/>
      <c r="M21" s="283"/>
      <c r="N21" s="284"/>
      <c r="O21" s="286"/>
      <c r="P21" s="641">
        <f>SUM(D22:O22)</f>
        <v>-277621.23</v>
      </c>
      <c r="Q21" s="533"/>
    </row>
    <row r="22" spans="2:17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0</v>
      </c>
      <c r="F22" s="269">
        <f t="shared" si="5"/>
        <v>0</v>
      </c>
      <c r="G22" s="268">
        <f t="shared" si="5"/>
        <v>0</v>
      </c>
      <c r="H22" s="234">
        <f t="shared" si="5"/>
        <v>-75918.100000000006</v>
      </c>
      <c r="I22" s="269">
        <f t="shared" si="5"/>
        <v>-7362.6199999999953</v>
      </c>
      <c r="J22" s="234">
        <f t="shared" si="5"/>
        <v>-131280.26999999999</v>
      </c>
      <c r="K22" s="234">
        <f t="shared" si="5"/>
        <v>-63060.239999999991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7" ht="18.5" x14ac:dyDescent="0.45">
      <c r="C23" s="267" t="s">
        <v>363</v>
      </c>
      <c r="D23" s="268">
        <f>IF(D$8="","",$U68)</f>
        <v>0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0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0</v>
      </c>
      <c r="Q23" s="533"/>
    </row>
    <row r="24" spans="2:17" ht="18.5" x14ac:dyDescent="0.45">
      <c r="C24" s="267" t="s">
        <v>25</v>
      </c>
      <c r="D24" s="268">
        <f t="shared" ref="D24:O24" si="7">IF(D$8="","",D$8*$Q$24)</f>
        <v>-17270</v>
      </c>
      <c r="E24" s="234">
        <f t="shared" si="7"/>
        <v>-17490</v>
      </c>
      <c r="F24" s="269">
        <f t="shared" si="7"/>
        <v>-17600</v>
      </c>
      <c r="G24" s="268">
        <f t="shared" si="7"/>
        <v>-17710</v>
      </c>
      <c r="H24" s="234">
        <f t="shared" si="7"/>
        <v>-17820</v>
      </c>
      <c r="I24" s="269">
        <f t="shared" si="7"/>
        <v>-17820</v>
      </c>
      <c r="J24" s="234">
        <f t="shared" si="7"/>
        <v>-17820</v>
      </c>
      <c r="K24" s="234">
        <f t="shared" si="7"/>
        <v>-17820</v>
      </c>
      <c r="L24" s="234" t="str">
        <f t="shared" si="7"/>
        <v/>
      </c>
      <c r="M24" s="268" t="str">
        <f t="shared" si="7"/>
        <v/>
      </c>
      <c r="N24" s="234" t="str">
        <f t="shared" si="7"/>
        <v/>
      </c>
      <c r="O24" s="270" t="str">
        <f t="shared" si="7"/>
        <v/>
      </c>
      <c r="P24" s="234">
        <f t="shared" si="6"/>
        <v>-141350</v>
      </c>
      <c r="Q24" s="533">
        <v>-110</v>
      </c>
    </row>
    <row r="25" spans="2:17" ht="18.5" x14ac:dyDescent="0.45">
      <c r="B25" s="213"/>
      <c r="C25" s="267" t="s">
        <v>199</v>
      </c>
      <c r="D25" s="268">
        <f>IF(D$8="","",SUM($L68:$R68))</f>
        <v>889.87</v>
      </c>
      <c r="E25" s="234">
        <f>IF(E$8="","",SUM($L69:$R69))</f>
        <v>2962.13</v>
      </c>
      <c r="F25" s="269">
        <f>IF(F$8="","",SUM($L70:$R70))</f>
        <v>1288.5999999999999</v>
      </c>
      <c r="G25" s="268">
        <f>IF(G$8="","",SUM($L71:$R71))</f>
        <v>17175.999999999996</v>
      </c>
      <c r="H25" s="234">
        <f>IF(H$8="","",SUM($L72:$R72))</f>
        <v>2859.8199999999997</v>
      </c>
      <c r="I25" s="269">
        <f>IF(I$8="","",SUM($L73:$R73))</f>
        <v>3611.3</v>
      </c>
      <c r="J25" s="234">
        <f>IF(J$8="","",SUM($L74:$R74))</f>
        <v>2296.09</v>
      </c>
      <c r="K25" s="234">
        <f>IF(K$8="","",SUM($L75:$S75))</f>
        <v>-19298.75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11785.059999999998</v>
      </c>
      <c r="Q25" s="533"/>
    </row>
    <row r="26" spans="2:17" ht="18.5" x14ac:dyDescent="0.45">
      <c r="C26" s="272" t="s">
        <v>200</v>
      </c>
      <c r="D26" s="273">
        <f>IF(D8="","",SUM(D18:D20,D22:D25))</f>
        <v>149903.97999999998</v>
      </c>
      <c r="E26" s="274">
        <f t="shared" ref="E26:L26" si="8">IF(E8="","",SUM(E18:E20,E22:E25))</f>
        <v>192263.02000000002</v>
      </c>
      <c r="F26" s="275">
        <f t="shared" si="8"/>
        <v>126064.42000000001</v>
      </c>
      <c r="G26" s="273">
        <f t="shared" si="8"/>
        <v>163999.22999999998</v>
      </c>
      <c r="H26" s="274">
        <f t="shared" si="8"/>
        <v>287828.37999999995</v>
      </c>
      <c r="I26" s="275">
        <f t="shared" si="8"/>
        <v>142094.70000000001</v>
      </c>
      <c r="J26" s="273">
        <f t="shared" si="8"/>
        <v>318973.67</v>
      </c>
      <c r="K26" s="274">
        <f t="shared" si="8"/>
        <v>121503.03999999998</v>
      </c>
      <c r="L26" s="275" t="str">
        <f t="shared" si="8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9">IF(O8="","",SUM(O18:O19,O22:O25))</f>
        <v/>
      </c>
      <c r="P26" s="274">
        <f>SUM(P18:P25)</f>
        <v>1502630.44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ht="18.5" x14ac:dyDescent="0.45">
      <c r="C28" s="267" t="s">
        <v>223</v>
      </c>
      <c r="D28" s="268">
        <f>IF(D$8="","",D$8*$Q28)</f>
        <v>6301.9800000000005</v>
      </c>
      <c r="E28" s="234">
        <f t="shared" ref="E28:O35" si="10">IF(E$8="","",E$8*$Q28)</f>
        <v>6382.26</v>
      </c>
      <c r="F28" s="269">
        <f t="shared" si="10"/>
        <v>6422.4</v>
      </c>
      <c r="G28" s="268">
        <f t="shared" si="10"/>
        <v>6462.54</v>
      </c>
      <c r="H28" s="234">
        <f t="shared" si="10"/>
        <v>6502.68</v>
      </c>
      <c r="I28" s="269">
        <f t="shared" si="10"/>
        <v>6502.68</v>
      </c>
      <c r="J28" s="234">
        <f t="shared" si="10"/>
        <v>6502.68</v>
      </c>
      <c r="K28" s="234">
        <f t="shared" si="10"/>
        <v>6502.68</v>
      </c>
      <c r="L28" s="234" t="str">
        <f t="shared" si="10"/>
        <v/>
      </c>
      <c r="M28" s="268" t="str">
        <f t="shared" si="10"/>
        <v/>
      </c>
      <c r="N28" s="234" t="str">
        <f t="shared" si="10"/>
        <v/>
      </c>
      <c r="O28" s="270" t="str">
        <f t="shared" si="10"/>
        <v/>
      </c>
      <c r="P28" s="234">
        <f>SUM(D28:O28)</f>
        <v>51579.9</v>
      </c>
      <c r="Q28" s="533">
        <v>40.14</v>
      </c>
    </row>
    <row r="29" spans="2:17" ht="18.5" x14ac:dyDescent="0.45">
      <c r="C29" s="267" t="s">
        <v>224</v>
      </c>
      <c r="D29" s="268">
        <f t="shared" ref="D29:O35" si="11">IF(D$8="","",D$8*$Q29)</f>
        <v>628</v>
      </c>
      <c r="E29" s="234">
        <f t="shared" si="10"/>
        <v>636</v>
      </c>
      <c r="F29" s="269">
        <f t="shared" si="10"/>
        <v>640</v>
      </c>
      <c r="G29" s="268">
        <f t="shared" si="10"/>
        <v>644</v>
      </c>
      <c r="H29" s="234">
        <f t="shared" si="10"/>
        <v>648</v>
      </c>
      <c r="I29" s="269">
        <f t="shared" si="10"/>
        <v>648</v>
      </c>
      <c r="J29" s="234">
        <f t="shared" si="10"/>
        <v>648</v>
      </c>
      <c r="K29" s="234">
        <f t="shared" si="10"/>
        <v>648</v>
      </c>
      <c r="L29" s="234" t="str">
        <f t="shared" si="10"/>
        <v/>
      </c>
      <c r="M29" s="268" t="str">
        <f t="shared" si="10"/>
        <v/>
      </c>
      <c r="N29" s="234" t="str">
        <f t="shared" si="10"/>
        <v/>
      </c>
      <c r="O29" s="270" t="str">
        <f t="shared" si="10"/>
        <v/>
      </c>
      <c r="P29" s="234">
        <f t="shared" ref="P29:P35" si="12">SUM(D29:O29)</f>
        <v>5140</v>
      </c>
      <c r="Q29" s="533">
        <v>4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10"/>
        <v>0</v>
      </c>
      <c r="F30" s="234">
        <f t="shared" si="10"/>
        <v>0</v>
      </c>
      <c r="G30" s="268">
        <f t="shared" si="10"/>
        <v>0</v>
      </c>
      <c r="H30" s="234">
        <f t="shared" si="10"/>
        <v>0</v>
      </c>
      <c r="I30" s="234">
        <f t="shared" si="10"/>
        <v>0</v>
      </c>
      <c r="J30" s="268">
        <f t="shared" si="10"/>
        <v>0</v>
      </c>
      <c r="K30" s="234">
        <f t="shared" si="10"/>
        <v>0</v>
      </c>
      <c r="L30" s="234" t="str">
        <f t="shared" si="10"/>
        <v/>
      </c>
      <c r="M30" s="268" t="str">
        <f t="shared" si="10"/>
        <v/>
      </c>
      <c r="N30" s="234" t="str">
        <f t="shared" si="10"/>
        <v/>
      </c>
      <c r="O30" s="270" t="str">
        <f t="shared" si="10"/>
        <v/>
      </c>
      <c r="P30" s="234">
        <f t="shared" si="12"/>
        <v>0</v>
      </c>
      <c r="Q30" s="533">
        <v>0</v>
      </c>
    </row>
    <row r="31" spans="2:17" ht="18.5" x14ac:dyDescent="0.45">
      <c r="C31" s="267" t="s">
        <v>325</v>
      </c>
      <c r="D31" s="268">
        <f t="shared" si="11"/>
        <v>0</v>
      </c>
      <c r="E31" s="234">
        <f t="shared" si="11"/>
        <v>0</v>
      </c>
      <c r="F31" s="234">
        <f t="shared" si="11"/>
        <v>0</v>
      </c>
      <c r="G31" s="268">
        <f t="shared" si="11"/>
        <v>0</v>
      </c>
      <c r="H31" s="234">
        <f t="shared" si="11"/>
        <v>0</v>
      </c>
      <c r="I31" s="234">
        <f t="shared" si="11"/>
        <v>0</v>
      </c>
      <c r="J31" s="268">
        <f t="shared" si="11"/>
        <v>0</v>
      </c>
      <c r="K31" s="234">
        <f t="shared" si="11"/>
        <v>0</v>
      </c>
      <c r="L31" s="234" t="str">
        <f t="shared" si="11"/>
        <v/>
      </c>
      <c r="M31" s="268" t="str">
        <f t="shared" si="11"/>
        <v/>
      </c>
      <c r="N31" s="234" t="str">
        <f t="shared" si="11"/>
        <v/>
      </c>
      <c r="O31" s="270" t="str">
        <f t="shared" si="11"/>
        <v/>
      </c>
      <c r="P31" s="234">
        <f t="shared" si="12"/>
        <v>0</v>
      </c>
      <c r="Q31" s="533">
        <v>0</v>
      </c>
    </row>
    <row r="32" spans="2:17" ht="18.5" x14ac:dyDescent="0.45">
      <c r="C32" s="267" t="s">
        <v>247</v>
      </c>
      <c r="D32" s="268">
        <f t="shared" si="11"/>
        <v>0</v>
      </c>
      <c r="E32" s="234">
        <f t="shared" si="11"/>
        <v>0</v>
      </c>
      <c r="F32" s="269">
        <f t="shared" si="11"/>
        <v>0</v>
      </c>
      <c r="G32" s="268">
        <f t="shared" si="11"/>
        <v>0</v>
      </c>
      <c r="H32" s="234">
        <f t="shared" si="11"/>
        <v>0</v>
      </c>
      <c r="I32" s="269">
        <f t="shared" si="11"/>
        <v>0</v>
      </c>
      <c r="J32" s="234">
        <f t="shared" si="11"/>
        <v>0</v>
      </c>
      <c r="K32" s="234">
        <f t="shared" si="11"/>
        <v>0</v>
      </c>
      <c r="L32" s="234" t="str">
        <f t="shared" si="11"/>
        <v/>
      </c>
      <c r="M32" s="268" t="str">
        <f t="shared" si="11"/>
        <v/>
      </c>
      <c r="N32" s="234" t="str">
        <f t="shared" si="11"/>
        <v/>
      </c>
      <c r="O32" s="270" t="str">
        <f t="shared" si="11"/>
        <v/>
      </c>
      <c r="P32" s="234">
        <f t="shared" si="12"/>
        <v>0</v>
      </c>
      <c r="Q32" s="533">
        <v>0</v>
      </c>
    </row>
    <row r="33" spans="2:18" ht="18.5" x14ac:dyDescent="0.45">
      <c r="C33" s="267" t="s">
        <v>227</v>
      </c>
      <c r="D33" s="268">
        <f t="shared" si="11"/>
        <v>274.75</v>
      </c>
      <c r="E33" s="234">
        <f t="shared" si="10"/>
        <v>278.25</v>
      </c>
      <c r="F33" s="269">
        <f t="shared" si="10"/>
        <v>280</v>
      </c>
      <c r="G33" s="268">
        <f t="shared" si="10"/>
        <v>281.75</v>
      </c>
      <c r="H33" s="234">
        <f t="shared" si="10"/>
        <v>283.5</v>
      </c>
      <c r="I33" s="269">
        <f t="shared" si="10"/>
        <v>283.5</v>
      </c>
      <c r="J33" s="234">
        <f t="shared" si="10"/>
        <v>283.5</v>
      </c>
      <c r="K33" s="234">
        <f t="shared" si="10"/>
        <v>283.5</v>
      </c>
      <c r="L33" s="234" t="str">
        <f t="shared" si="10"/>
        <v/>
      </c>
      <c r="M33" s="268" t="str">
        <f t="shared" si="10"/>
        <v/>
      </c>
      <c r="N33" s="234" t="str">
        <f t="shared" si="10"/>
        <v/>
      </c>
      <c r="O33" s="270" t="str">
        <f t="shared" si="10"/>
        <v/>
      </c>
      <c r="P33" s="234">
        <f t="shared" si="12"/>
        <v>2248.75</v>
      </c>
      <c r="Q33" s="533">
        <v>1.75</v>
      </c>
    </row>
    <row r="34" spans="2:18" ht="18.5" x14ac:dyDescent="0.45">
      <c r="C34" s="267" t="s">
        <v>228</v>
      </c>
      <c r="D34" s="268">
        <f t="shared" si="11"/>
        <v>518.1</v>
      </c>
      <c r="E34" s="234">
        <f t="shared" si="10"/>
        <v>524.69999999999993</v>
      </c>
      <c r="F34" s="269">
        <f t="shared" si="10"/>
        <v>528</v>
      </c>
      <c r="G34" s="268">
        <f t="shared" si="10"/>
        <v>531.29999999999995</v>
      </c>
      <c r="H34" s="234">
        <f t="shared" si="10"/>
        <v>534.6</v>
      </c>
      <c r="I34" s="269">
        <f t="shared" si="10"/>
        <v>534.6</v>
      </c>
      <c r="J34" s="234">
        <f t="shared" si="10"/>
        <v>534.6</v>
      </c>
      <c r="K34" s="234">
        <f t="shared" si="10"/>
        <v>534.6</v>
      </c>
      <c r="L34" s="234" t="str">
        <f t="shared" si="10"/>
        <v/>
      </c>
      <c r="M34" s="268" t="str">
        <f t="shared" si="10"/>
        <v/>
      </c>
      <c r="N34" s="234" t="str">
        <f t="shared" si="10"/>
        <v/>
      </c>
      <c r="O34" s="270" t="str">
        <f t="shared" si="10"/>
        <v/>
      </c>
      <c r="P34" s="234">
        <f t="shared" si="12"/>
        <v>4240.5</v>
      </c>
      <c r="Q34" s="533">
        <v>3.3</v>
      </c>
    </row>
    <row r="35" spans="2:18" ht="18.5" x14ac:dyDescent="0.45">
      <c r="C35" s="267" t="s">
        <v>202</v>
      </c>
      <c r="D35" s="268">
        <f t="shared" si="11"/>
        <v>621.72</v>
      </c>
      <c r="E35" s="234">
        <f t="shared" si="10"/>
        <v>629.64</v>
      </c>
      <c r="F35" s="269">
        <f t="shared" si="10"/>
        <v>633.6</v>
      </c>
      <c r="G35" s="268">
        <f t="shared" si="10"/>
        <v>637.55999999999995</v>
      </c>
      <c r="H35" s="234">
        <f t="shared" si="10"/>
        <v>641.52</v>
      </c>
      <c r="I35" s="269">
        <f t="shared" si="10"/>
        <v>641.52</v>
      </c>
      <c r="J35" s="234">
        <f t="shared" si="10"/>
        <v>641.52</v>
      </c>
      <c r="K35" s="234">
        <f t="shared" si="10"/>
        <v>641.52</v>
      </c>
      <c r="L35" s="234" t="str">
        <f t="shared" si="10"/>
        <v/>
      </c>
      <c r="M35" s="268" t="str">
        <f t="shared" si="10"/>
        <v/>
      </c>
      <c r="N35" s="234" t="str">
        <f t="shared" si="10"/>
        <v/>
      </c>
      <c r="O35" s="270" t="str">
        <f t="shared" si="10"/>
        <v/>
      </c>
      <c r="P35" s="234">
        <f t="shared" si="12"/>
        <v>5088.6000000000004</v>
      </c>
      <c r="Q35" s="533">
        <v>3.96</v>
      </c>
    </row>
    <row r="36" spans="2:18" ht="18.5" x14ac:dyDescent="0.45">
      <c r="C36" s="272" t="s">
        <v>203</v>
      </c>
      <c r="D36" s="273">
        <f t="shared" ref="D36:P36" si="13">IF(D$8="","",SUM(D28:D35))</f>
        <v>8344.5500000000011</v>
      </c>
      <c r="E36" s="274">
        <f t="shared" si="13"/>
        <v>8450.85</v>
      </c>
      <c r="F36" s="275">
        <f t="shared" si="13"/>
        <v>8504</v>
      </c>
      <c r="G36" s="273">
        <f t="shared" si="13"/>
        <v>8557.15</v>
      </c>
      <c r="H36" s="274">
        <f t="shared" si="13"/>
        <v>8610.3000000000011</v>
      </c>
      <c r="I36" s="275">
        <f t="shared" si="13"/>
        <v>8610.3000000000011</v>
      </c>
      <c r="J36" s="274">
        <f t="shared" si="13"/>
        <v>8610.3000000000011</v>
      </c>
      <c r="K36" s="274">
        <f t="shared" si="13"/>
        <v>8610.3000000000011</v>
      </c>
      <c r="L36" s="274" t="str">
        <f t="shared" si="13"/>
        <v/>
      </c>
      <c r="M36" s="273" t="str">
        <f t="shared" si="13"/>
        <v/>
      </c>
      <c r="N36" s="274" t="str">
        <f t="shared" si="13"/>
        <v/>
      </c>
      <c r="O36" s="276" t="str">
        <f t="shared" si="13"/>
        <v/>
      </c>
      <c r="P36" s="274">
        <f t="shared" si="13"/>
        <v>68297.75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15506.89</v>
      </c>
      <c r="E38" s="234">
        <f t="shared" ref="E38:O41" si="14">IF(E$8="","",E$8*$Q38)</f>
        <v>15704.429999999998</v>
      </c>
      <c r="F38" s="269">
        <f t="shared" si="14"/>
        <v>15803.199999999999</v>
      </c>
      <c r="G38" s="268">
        <f t="shared" si="14"/>
        <v>15901.97</v>
      </c>
      <c r="H38" s="234">
        <f t="shared" si="14"/>
        <v>16000.74</v>
      </c>
      <c r="I38" s="269">
        <f t="shared" si="14"/>
        <v>16000.74</v>
      </c>
      <c r="J38" s="234">
        <f t="shared" si="14"/>
        <v>16000.74</v>
      </c>
      <c r="K38" s="234">
        <f t="shared" si="14"/>
        <v>16000.74</v>
      </c>
      <c r="L38" s="234" t="str">
        <f t="shared" si="14"/>
        <v/>
      </c>
      <c r="M38" s="268" t="str">
        <f t="shared" si="14"/>
        <v/>
      </c>
      <c r="N38" s="234" t="str">
        <f t="shared" si="14"/>
        <v/>
      </c>
      <c r="O38" s="270" t="str">
        <f t="shared" si="14"/>
        <v/>
      </c>
      <c r="P38" s="234">
        <f>SUM(D38:O38)</f>
        <v>126919.45000000001</v>
      </c>
      <c r="Q38" s="533">
        <v>98.77</v>
      </c>
    </row>
    <row r="39" spans="2:18" ht="18.5" x14ac:dyDescent="0.45">
      <c r="C39" s="267" t="s">
        <v>205</v>
      </c>
      <c r="D39" s="268">
        <f t="shared" ref="D39:D41" si="15">IF(D$8="","",D$8*$Q39)</f>
        <v>57524.799999999996</v>
      </c>
      <c r="E39" s="234">
        <f t="shared" si="14"/>
        <v>58257.599999999999</v>
      </c>
      <c r="F39" s="269">
        <f t="shared" si="14"/>
        <v>58624</v>
      </c>
      <c r="G39" s="268">
        <f t="shared" si="14"/>
        <v>58990.399999999994</v>
      </c>
      <c r="H39" s="234">
        <f t="shared" si="14"/>
        <v>59356.799999999996</v>
      </c>
      <c r="I39" s="269">
        <f t="shared" ref="I39:O39" si="16">IF(I$8="","",I$8*$R39)</f>
        <v>26956.799999999996</v>
      </c>
      <c r="J39" s="234">
        <f t="shared" si="16"/>
        <v>26956.799999999996</v>
      </c>
      <c r="K39" s="234">
        <f t="shared" si="16"/>
        <v>26956.799999999996</v>
      </c>
      <c r="L39" s="234" t="str">
        <f t="shared" si="16"/>
        <v/>
      </c>
      <c r="M39" s="268" t="str">
        <f t="shared" si="16"/>
        <v/>
      </c>
      <c r="N39" s="234" t="str">
        <f t="shared" si="16"/>
        <v/>
      </c>
      <c r="O39" s="270" t="str">
        <f t="shared" si="16"/>
        <v/>
      </c>
      <c r="P39" s="234">
        <f t="shared" ref="P39:P41" si="17">SUM(D39:O39)</f>
        <v>373623.99999999994</v>
      </c>
      <c r="Q39" s="533">
        <v>366.4</v>
      </c>
      <c r="R39" s="11">
        <f>Q39-200</f>
        <v>166.39999999999998</v>
      </c>
    </row>
    <row r="40" spans="2:18" ht="18.5" x14ac:dyDescent="0.45">
      <c r="C40" s="267" t="s">
        <v>322</v>
      </c>
      <c r="D40" s="268">
        <f t="shared" ref="D40:O40" si="18">IF(D$8="","",D$8*$Q40)</f>
        <v>628</v>
      </c>
      <c r="E40" s="234">
        <f t="shared" si="18"/>
        <v>636</v>
      </c>
      <c r="F40" s="269">
        <f t="shared" si="18"/>
        <v>640</v>
      </c>
      <c r="G40" s="234">
        <f t="shared" si="18"/>
        <v>644</v>
      </c>
      <c r="H40" s="234">
        <f t="shared" si="18"/>
        <v>648</v>
      </c>
      <c r="I40" s="269">
        <f t="shared" si="18"/>
        <v>648</v>
      </c>
      <c r="J40" s="234">
        <f t="shared" si="18"/>
        <v>648</v>
      </c>
      <c r="K40" s="234">
        <f t="shared" si="18"/>
        <v>648</v>
      </c>
      <c r="L40" s="234" t="str">
        <f t="shared" si="18"/>
        <v/>
      </c>
      <c r="M40" s="268" t="str">
        <f t="shared" si="18"/>
        <v/>
      </c>
      <c r="N40" s="234" t="str">
        <f t="shared" si="18"/>
        <v/>
      </c>
      <c r="O40" s="270" t="str">
        <f t="shared" si="18"/>
        <v/>
      </c>
      <c r="P40" s="234">
        <f>SUM(D40:O40)</f>
        <v>5140</v>
      </c>
      <c r="Q40" s="533">
        <v>4</v>
      </c>
    </row>
    <row r="41" spans="2:18" ht="18.5" x14ac:dyDescent="0.45">
      <c r="C41" s="267" t="s">
        <v>206</v>
      </c>
      <c r="D41" s="268">
        <f t="shared" si="15"/>
        <v>452.15999999999997</v>
      </c>
      <c r="E41" s="234">
        <f t="shared" si="14"/>
        <v>457.91999999999996</v>
      </c>
      <c r="F41" s="269">
        <f t="shared" si="14"/>
        <v>460.79999999999995</v>
      </c>
      <c r="G41" s="268">
        <f t="shared" si="14"/>
        <v>463.68</v>
      </c>
      <c r="H41" s="234">
        <f t="shared" si="14"/>
        <v>466.56</v>
      </c>
      <c r="I41" s="269">
        <f t="shared" si="14"/>
        <v>466.56</v>
      </c>
      <c r="J41" s="234">
        <f t="shared" si="14"/>
        <v>466.56</v>
      </c>
      <c r="K41" s="234">
        <f t="shared" si="14"/>
        <v>466.56</v>
      </c>
      <c r="L41" s="234" t="str">
        <f t="shared" si="14"/>
        <v/>
      </c>
      <c r="M41" s="268" t="str">
        <f t="shared" si="14"/>
        <v/>
      </c>
      <c r="N41" s="234" t="str">
        <f t="shared" si="14"/>
        <v/>
      </c>
      <c r="O41" s="270" t="str">
        <f t="shared" si="14"/>
        <v/>
      </c>
      <c r="P41" s="234">
        <f t="shared" si="17"/>
        <v>3700.7999999999997</v>
      </c>
      <c r="Q41" s="533">
        <v>2.88</v>
      </c>
    </row>
    <row r="42" spans="2:18" ht="18.5" x14ac:dyDescent="0.45">
      <c r="C42" s="272" t="s">
        <v>207</v>
      </c>
      <c r="D42" s="273">
        <f t="shared" ref="D42:P42" si="19">IF(D$8="","",SUM(D38:D41))</f>
        <v>74111.850000000006</v>
      </c>
      <c r="E42" s="274">
        <f t="shared" si="19"/>
        <v>75055.95</v>
      </c>
      <c r="F42" s="275">
        <f t="shared" si="19"/>
        <v>75528</v>
      </c>
      <c r="G42" s="273">
        <f t="shared" si="19"/>
        <v>76000.049999999988</v>
      </c>
      <c r="H42" s="274">
        <f t="shared" si="19"/>
        <v>76472.099999999991</v>
      </c>
      <c r="I42" s="275">
        <f t="shared" si="19"/>
        <v>44072.099999999991</v>
      </c>
      <c r="J42" s="274">
        <f t="shared" si="19"/>
        <v>44072.099999999991</v>
      </c>
      <c r="K42" s="274">
        <f t="shared" si="19"/>
        <v>44072.099999999991</v>
      </c>
      <c r="L42" s="274" t="str">
        <f t="shared" si="19"/>
        <v/>
      </c>
      <c r="M42" s="273" t="str">
        <f t="shared" si="19"/>
        <v/>
      </c>
      <c r="N42" s="274" t="str">
        <f t="shared" si="19"/>
        <v/>
      </c>
      <c r="O42" s="276" t="str">
        <f t="shared" si="19"/>
        <v/>
      </c>
      <c r="P42" s="274">
        <f t="shared" si="19"/>
        <v>509384.24999999994</v>
      </c>
      <c r="Q42" s="53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535"/>
    </row>
    <row r="44" spans="2:18" ht="18.5" x14ac:dyDescent="0.45">
      <c r="B44" s="213" t="s">
        <v>191</v>
      </c>
      <c r="C44" s="267" t="s">
        <v>209</v>
      </c>
      <c r="D44" s="268">
        <f t="shared" ref="D44:O48" si="20">IF(D$8="","",0)</f>
        <v>0</v>
      </c>
      <c r="E44" s="234">
        <f t="shared" si="20"/>
        <v>0</v>
      </c>
      <c r="F44" s="234">
        <f t="shared" si="20"/>
        <v>0</v>
      </c>
      <c r="G44" s="268">
        <f>416.5/19</f>
        <v>21.921052631578949</v>
      </c>
      <c r="H44" s="234">
        <f t="shared" si="20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20"/>
        <v/>
      </c>
      <c r="M44" s="268" t="str">
        <f t="shared" si="20"/>
        <v/>
      </c>
      <c r="N44" s="234" t="str">
        <f t="shared" si="20"/>
        <v/>
      </c>
      <c r="O44" s="234" t="str">
        <f t="shared" si="20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20"/>
        <v>0</v>
      </c>
      <c r="E45" s="234">
        <f t="shared" si="20"/>
        <v>0</v>
      </c>
      <c r="F45" s="269">
        <f t="shared" si="20"/>
        <v>0</v>
      </c>
      <c r="G45" s="268">
        <f t="shared" si="20"/>
        <v>0</v>
      </c>
      <c r="H45" s="234">
        <f>15600/19</f>
        <v>821.0526315789474</v>
      </c>
      <c r="I45" s="234">
        <f t="shared" si="20"/>
        <v>0</v>
      </c>
      <c r="J45" s="268">
        <f t="shared" si="20"/>
        <v>0</v>
      </c>
      <c r="K45" s="234">
        <f t="shared" si="20"/>
        <v>0</v>
      </c>
      <c r="L45" s="234" t="str">
        <f t="shared" si="20"/>
        <v/>
      </c>
      <c r="M45" s="268" t="str">
        <f t="shared" si="20"/>
        <v/>
      </c>
      <c r="N45" s="234" t="str">
        <f t="shared" si="20"/>
        <v/>
      </c>
      <c r="O45" s="234" t="str">
        <f t="shared" si="20"/>
        <v/>
      </c>
      <c r="P45" s="474">
        <f t="shared" ref="P45:P48" si="21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20"/>
        <v>0</v>
      </c>
      <c r="E46" s="234">
        <f t="shared" si="20"/>
        <v>0</v>
      </c>
      <c r="F46" s="269">
        <f t="shared" si="20"/>
        <v>0</v>
      </c>
      <c r="G46" s="268">
        <f t="shared" si="20"/>
        <v>0</v>
      </c>
      <c r="H46" s="234">
        <f t="shared" si="20"/>
        <v>0</v>
      </c>
      <c r="I46" s="234">
        <f t="shared" si="20"/>
        <v>0</v>
      </c>
      <c r="J46" s="268">
        <f t="shared" si="20"/>
        <v>0</v>
      </c>
      <c r="K46" s="234">
        <f t="shared" si="20"/>
        <v>0</v>
      </c>
      <c r="L46" s="234" t="str">
        <f t="shared" si="20"/>
        <v/>
      </c>
      <c r="M46" s="268" t="str">
        <f t="shared" si="20"/>
        <v/>
      </c>
      <c r="N46" s="234" t="str">
        <f t="shared" si="20"/>
        <v/>
      </c>
      <c r="O46" s="234" t="str">
        <f t="shared" si="20"/>
        <v/>
      </c>
      <c r="P46" s="474">
        <f t="shared" si="21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20"/>
        <v>0</v>
      </c>
      <c r="E47" s="234">
        <f t="shared" si="20"/>
        <v>0</v>
      </c>
      <c r="F47" s="234">
        <f t="shared" si="20"/>
        <v>0</v>
      </c>
      <c r="G47" s="268">
        <f t="shared" si="20"/>
        <v>0</v>
      </c>
      <c r="H47" s="234">
        <f t="shared" si="20"/>
        <v>0</v>
      </c>
      <c r="I47" s="234">
        <f t="shared" si="20"/>
        <v>0</v>
      </c>
      <c r="J47" s="268">
        <f t="shared" si="20"/>
        <v>0</v>
      </c>
      <c r="K47" s="234">
        <f t="shared" si="20"/>
        <v>0</v>
      </c>
      <c r="L47" s="234" t="str">
        <f t="shared" si="20"/>
        <v/>
      </c>
      <c r="M47" s="268" t="str">
        <f t="shared" si="20"/>
        <v/>
      </c>
      <c r="N47" s="234" t="str">
        <f t="shared" si="20"/>
        <v/>
      </c>
      <c r="O47" s="270" t="str">
        <f t="shared" si="20"/>
        <v/>
      </c>
      <c r="P47" s="234">
        <f t="shared" si="21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20"/>
        <v>0</v>
      </c>
      <c r="F48" s="456">
        <f t="shared" si="20"/>
        <v>0</v>
      </c>
      <c r="G48" s="458">
        <f t="shared" si="20"/>
        <v>0</v>
      </c>
      <c r="H48" s="234">
        <f t="shared" si="20"/>
        <v>0</v>
      </c>
      <c r="I48" s="456">
        <f t="shared" si="20"/>
        <v>0</v>
      </c>
      <c r="J48" s="268">
        <f t="shared" si="20"/>
        <v>0</v>
      </c>
      <c r="K48" s="457">
        <f t="shared" si="20"/>
        <v>0</v>
      </c>
      <c r="L48" s="456" t="str">
        <f t="shared" si="20"/>
        <v/>
      </c>
      <c r="M48" s="458" t="str">
        <f t="shared" si="20"/>
        <v/>
      </c>
      <c r="N48" s="234" t="str">
        <f t="shared" si="20"/>
        <v/>
      </c>
      <c r="O48" s="525" t="str">
        <f t="shared" si="20"/>
        <v/>
      </c>
      <c r="P48" s="475">
        <f t="shared" si="21"/>
        <v>0</v>
      </c>
      <c r="Q48" s="244"/>
    </row>
    <row r="49" spans="2:17" ht="18.5" x14ac:dyDescent="0.45">
      <c r="C49" s="272" t="s">
        <v>229</v>
      </c>
      <c r="D49" s="273">
        <f t="shared" ref="D49:P49" si="22">IF(D$8="","",SUM(D44:D48))</f>
        <v>0</v>
      </c>
      <c r="E49" s="274">
        <f t="shared" si="22"/>
        <v>0</v>
      </c>
      <c r="F49" s="275">
        <f t="shared" si="22"/>
        <v>0</v>
      </c>
      <c r="G49" s="273">
        <f t="shared" si="22"/>
        <v>21.921052631578949</v>
      </c>
      <c r="H49" s="274">
        <f t="shared" si="22"/>
        <v>821.0526315789474</v>
      </c>
      <c r="I49" s="275">
        <f t="shared" si="22"/>
        <v>12.102631578947367</v>
      </c>
      <c r="J49" s="274">
        <f t="shared" si="22"/>
        <v>31.315789473684209</v>
      </c>
      <c r="K49" s="274">
        <f t="shared" si="22"/>
        <v>56.368421052631582</v>
      </c>
      <c r="L49" s="274" t="str">
        <f t="shared" si="22"/>
        <v/>
      </c>
      <c r="M49" s="273" t="str">
        <f t="shared" si="22"/>
        <v/>
      </c>
      <c r="N49" s="274" t="str">
        <f t="shared" si="22"/>
        <v/>
      </c>
      <c r="O49" s="276" t="str">
        <f t="shared" si="22"/>
        <v/>
      </c>
      <c r="P49" s="557">
        <f t="shared" si="22"/>
        <v>942.76052631578955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8615.9400000000314</v>
      </c>
      <c r="E51" s="289">
        <f>IF(E8="","",E14-SUM(E26,E36,E42,E49))</f>
        <v>-33248.78</v>
      </c>
      <c r="F51" s="290">
        <f>IF(F8="","",F14-SUM(F26,F36,F42,F49))</f>
        <v>46327.099999999977</v>
      </c>
      <c r="G51" s="288">
        <f>IF(G8="","",G14-SUM(G26,G36,G42,G49))</f>
        <v>312.84894736847491</v>
      </c>
      <c r="H51" s="289">
        <f>IF(H8="","",H14-SUM(H26,H36,H42,H49))</f>
        <v>-121729.49263157885</v>
      </c>
      <c r="I51" s="290">
        <f>IF(I8="","",I14-SUM(I26,I36,I42,I49))</f>
        <v>57213.13736842107</v>
      </c>
      <c r="J51" s="289">
        <f>IF(J8="","",J14-SUM(J26,J36,J42,J49))</f>
        <v>-119685.04578947366</v>
      </c>
      <c r="K51" s="289">
        <f>IF(K8="","",K14-SUM(K26,K36,K42,K49))</f>
        <v>79316.101578947389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-82878.190526315477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693009.46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610131.26947368449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0</v>
      </c>
      <c r="E56" s="234">
        <f>IF(E12="","",-E12)</f>
        <v>0</v>
      </c>
      <c r="F56" s="269">
        <f>IF(F12="","",-F12)</f>
        <v>0</v>
      </c>
      <c r="G56" s="268">
        <f>IF(G12="","",-G12)</f>
        <v>0</v>
      </c>
      <c r="H56" s="234">
        <f>IF(H12="","",-H12)</f>
        <v>0</v>
      </c>
      <c r="I56" s="269">
        <f>IF(I12="","",-I12)</f>
        <v>0</v>
      </c>
      <c r="J56" s="234">
        <f>IF(J12="","",-J12)</f>
        <v>0</v>
      </c>
      <c r="K56" s="234">
        <f>IF(K12="","",-K12)</f>
        <v>0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0</v>
      </c>
      <c r="Q56" s="244"/>
    </row>
    <row r="57" spans="2:17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3">IF(E$8="","",0)</f>
        <v>0</v>
      </c>
      <c r="F57" s="269">
        <f t="shared" si="23"/>
        <v>0</v>
      </c>
      <c r="G57" s="268">
        <f t="shared" si="23"/>
        <v>0</v>
      </c>
      <c r="H57" s="234">
        <f t="shared" si="23"/>
        <v>0</v>
      </c>
      <c r="I57" s="269">
        <f t="shared" si="23"/>
        <v>0</v>
      </c>
      <c r="J57" s="234">
        <f t="shared" si="23"/>
        <v>0</v>
      </c>
      <c r="K57" s="234">
        <f t="shared" si="23"/>
        <v>0</v>
      </c>
      <c r="L57" s="234" t="str">
        <f t="shared" si="23"/>
        <v/>
      </c>
      <c r="M57" s="268" t="str">
        <f t="shared" si="23"/>
        <v/>
      </c>
      <c r="N57" s="234" t="str">
        <f t="shared" si="23"/>
        <v/>
      </c>
      <c r="O57" s="270" t="str">
        <f t="shared" si="23"/>
        <v/>
      </c>
      <c r="P57" s="234">
        <f>SUM(D57:O57)</f>
        <v>0</v>
      </c>
      <c r="Q57" s="244"/>
    </row>
    <row r="58" spans="2:17" ht="18.5" x14ac:dyDescent="0.45">
      <c r="C58" s="296" t="s">
        <v>234</v>
      </c>
      <c r="D58" s="297">
        <f>IF(D$8="","",SUM(D56:D57))</f>
        <v>0</v>
      </c>
      <c r="E58" s="298">
        <f t="shared" ref="E58:O58" si="24">IF(E$8="","",SUM(E56:E57))</f>
        <v>0</v>
      </c>
      <c r="F58" s="299">
        <f t="shared" si="24"/>
        <v>0</v>
      </c>
      <c r="G58" s="297">
        <f t="shared" si="24"/>
        <v>0</v>
      </c>
      <c r="H58" s="298">
        <f t="shared" si="24"/>
        <v>0</v>
      </c>
      <c r="I58" s="299">
        <f t="shared" si="24"/>
        <v>0</v>
      </c>
      <c r="J58" s="298">
        <f t="shared" si="24"/>
        <v>0</v>
      </c>
      <c r="K58" s="298">
        <f t="shared" si="24"/>
        <v>0</v>
      </c>
      <c r="L58" s="298" t="str">
        <f t="shared" si="24"/>
        <v/>
      </c>
      <c r="M58" s="297" t="str">
        <f t="shared" si="24"/>
        <v/>
      </c>
      <c r="N58" s="298" t="str">
        <f t="shared" si="24"/>
        <v/>
      </c>
      <c r="O58" s="300" t="str">
        <f t="shared" si="24"/>
        <v/>
      </c>
      <c r="P58" s="298">
        <f>SUM(P56:P57)</f>
        <v>0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0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0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34242.49</v>
      </c>
      <c r="E68" s="246">
        <v>30896.959999999999</v>
      </c>
      <c r="F68" s="246">
        <v>29160.02</v>
      </c>
      <c r="G68" s="246">
        <v>71338.559999999998</v>
      </c>
      <c r="H68" s="246">
        <v>0</v>
      </c>
      <c r="I68" s="308">
        <v>-9555.02</v>
      </c>
      <c r="J68" s="309">
        <f>SUM(D68:I68)</f>
        <v>156083.01</v>
      </c>
      <c r="K68" s="310">
        <v>157</v>
      </c>
      <c r="L68" s="307">
        <f>35.54+9.22+117.27</f>
        <v>162.03</v>
      </c>
      <c r="M68" s="246">
        <v>0</v>
      </c>
      <c r="N68" s="246">
        <f>61.6</f>
        <v>61.6</v>
      </c>
      <c r="O68" s="246">
        <f>100+550</f>
        <v>650</v>
      </c>
      <c r="P68" s="246">
        <v>0</v>
      </c>
      <c r="Q68" s="246">
        <f>6.6+9.64</f>
        <v>16.240000000000002</v>
      </c>
      <c r="R68" s="246">
        <v>0</v>
      </c>
      <c r="S68" s="246">
        <v>0</v>
      </c>
      <c r="T68" s="246">
        <v>0</v>
      </c>
      <c r="U68" s="323">
        <v>0</v>
      </c>
    </row>
    <row r="69" spans="3:21" ht="18.5" x14ac:dyDescent="0.45">
      <c r="C69" s="306" t="str">
        <f>Addendum!E11</f>
        <v>August</v>
      </c>
      <c r="D69" s="307">
        <v>31221.67</v>
      </c>
      <c r="E69" s="246">
        <v>31797.26</v>
      </c>
      <c r="F69" s="246">
        <v>29447.599999999999</v>
      </c>
      <c r="G69" s="246">
        <v>36782.79</v>
      </c>
      <c r="H69" s="246">
        <v>75445.22</v>
      </c>
      <c r="I69" s="308">
        <v>-10102.76</v>
      </c>
      <c r="J69" s="309">
        <f t="shared" ref="J69:J79" si="25">SUM(D69:I69)</f>
        <v>194591.78</v>
      </c>
      <c r="K69" s="311">
        <v>166</v>
      </c>
      <c r="L69" s="307">
        <f>-91.74+564.48+129.77+446.66</f>
        <v>1049.17</v>
      </c>
      <c r="M69" s="246">
        <v>0</v>
      </c>
      <c r="N69" s="246">
        <f>61.6</f>
        <v>61.6</v>
      </c>
      <c r="O69" s="246">
        <f>160+110+1650</f>
        <v>1920</v>
      </c>
      <c r="P69" s="246">
        <v>0</v>
      </c>
      <c r="Q69" s="246">
        <f>6.9+32.26+42.62+8.32+18.13-176.87</f>
        <v>-68.640000000000015</v>
      </c>
      <c r="R69" s="246">
        <v>0</v>
      </c>
      <c r="S69" s="246">
        <v>0</v>
      </c>
      <c r="T69" s="246">
        <v>0</v>
      </c>
      <c r="U69" s="323">
        <v>0</v>
      </c>
    </row>
    <row r="70" spans="3:21" ht="18.5" x14ac:dyDescent="0.45">
      <c r="C70" s="306" t="str">
        <f>Addendum!E12</f>
        <v>September</v>
      </c>
      <c r="D70" s="307">
        <v>15440.24</v>
      </c>
      <c r="E70" s="246">
        <v>52924.23</v>
      </c>
      <c r="F70" s="246">
        <v>33235.839999999997</v>
      </c>
      <c r="G70" s="246">
        <v>39709.980000000003</v>
      </c>
      <c r="H70" s="246">
        <v>0</v>
      </c>
      <c r="I70" s="308">
        <v>-9737.6</v>
      </c>
      <c r="J70" s="309">
        <f>SUM(D70:I70)</f>
        <v>131572.69</v>
      </c>
      <c r="K70" s="311">
        <v>160</v>
      </c>
      <c r="L70" s="307">
        <f>82.5-14.26+17.32</f>
        <v>85.56</v>
      </c>
      <c r="M70" s="246">
        <v>0</v>
      </c>
      <c r="N70" s="246">
        <f>50.37+65.38</f>
        <v>115.75</v>
      </c>
      <c r="O70" s="246">
        <f>200+880</f>
        <v>1080</v>
      </c>
      <c r="P70" s="246">
        <v>0</v>
      </c>
      <c r="Q70" s="246">
        <f>5.31+1.98</f>
        <v>7.2899999999999991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34503.760000000002</v>
      </c>
      <c r="E71" s="246">
        <v>27435.05</v>
      </c>
      <c r="F71" s="246">
        <v>62388.92</v>
      </c>
      <c r="G71" s="246">
        <v>38660.300000000003</v>
      </c>
      <c r="H71" s="246">
        <v>0</v>
      </c>
      <c r="I71" s="308">
        <v>-9859.32</v>
      </c>
      <c r="J71" s="309">
        <f t="shared" si="25"/>
        <v>153128.71</v>
      </c>
      <c r="K71" s="311">
        <v>162</v>
      </c>
      <c r="L71" s="307">
        <f>-132.91+11.79+31.71+15484.22</f>
        <v>15394.81</v>
      </c>
      <c r="M71" s="246">
        <v>0</v>
      </c>
      <c r="N71" s="246">
        <f>65.38+25.12</f>
        <v>90.5</v>
      </c>
      <c r="O71" s="246">
        <f>110+180+1320</f>
        <v>1610</v>
      </c>
      <c r="P71" s="246">
        <v>0</v>
      </c>
      <c r="Q71" s="246">
        <f>22.69+34.92+3.34+19.74</f>
        <v>80.69</v>
      </c>
      <c r="R71" s="246">
        <v>0</v>
      </c>
      <c r="S71" s="246">
        <v>0</v>
      </c>
      <c r="T71" s="246">
        <v>0</v>
      </c>
      <c r="U71" s="323">
        <v>0</v>
      </c>
    </row>
    <row r="72" spans="3:21" ht="18.5" x14ac:dyDescent="0.45">
      <c r="C72" s="306" t="str">
        <f>Addendum!E14</f>
        <v>November</v>
      </c>
      <c r="D72" s="307">
        <v>64203.74</v>
      </c>
      <c r="E72" s="246">
        <v>178444.94</v>
      </c>
      <c r="F72" s="246">
        <v>60108.29</v>
      </c>
      <c r="G72" s="246">
        <v>36854.14</v>
      </c>
      <c r="H72" s="246">
        <v>38106.78</v>
      </c>
      <c r="I72" s="308">
        <v>-9859.32</v>
      </c>
      <c r="J72" s="309">
        <f t="shared" si="25"/>
        <v>367858.57</v>
      </c>
      <c r="K72" s="311">
        <v>162</v>
      </c>
      <c r="L72" s="307">
        <f>80.52+8.58-606.78-11.79+1414.92</f>
        <v>885.45000000000016</v>
      </c>
      <c r="M72" s="246">
        <v>0</v>
      </c>
      <c r="N72" s="246">
        <f>65.38</f>
        <v>65.38</v>
      </c>
      <c r="O72" s="246">
        <f>80+1650</f>
        <v>1730</v>
      </c>
      <c r="P72" s="246">
        <v>0</v>
      </c>
      <c r="Q72" s="246">
        <f>4.81+5.31+19.74+149.13</f>
        <v>178.99</v>
      </c>
      <c r="R72" s="246">
        <v>0</v>
      </c>
      <c r="S72" s="246">
        <v>0</v>
      </c>
      <c r="T72" s="246">
        <v>0</v>
      </c>
      <c r="U72" s="323">
        <v>0</v>
      </c>
    </row>
    <row r="73" spans="3:21" ht="18.5" x14ac:dyDescent="0.45">
      <c r="C73" s="306" t="str">
        <f>Addendum!E15</f>
        <v>December</v>
      </c>
      <c r="D73" s="307">
        <v>47969.68</v>
      </c>
      <c r="E73" s="246">
        <v>44169.36</v>
      </c>
      <c r="F73" s="246">
        <v>41709.71</v>
      </c>
      <c r="G73" s="246">
        <v>36819.449999999997</v>
      </c>
      <c r="H73" s="246">
        <v>0</v>
      </c>
      <c r="I73" s="308">
        <v>-9859.32</v>
      </c>
      <c r="J73" s="309">
        <f t="shared" si="25"/>
        <v>160808.88</v>
      </c>
      <c r="K73" s="311">
        <v>162</v>
      </c>
      <c r="L73" s="307">
        <f>1387.02+58.86+450.14-2.98</f>
        <v>1893.04</v>
      </c>
      <c r="M73" s="246">
        <v>0</v>
      </c>
      <c r="N73" s="246">
        <v>65.38</v>
      </c>
      <c r="O73" s="246">
        <f>120+990</f>
        <v>1110</v>
      </c>
      <c r="P73" s="246">
        <f>504.15</f>
        <v>504.15</v>
      </c>
      <c r="Q73" s="246">
        <f>21.72+17.01</f>
        <v>38.730000000000004</v>
      </c>
      <c r="R73" s="246">
        <v>0</v>
      </c>
      <c r="S73" s="246">
        <v>0</v>
      </c>
      <c r="T73" s="246">
        <v>0</v>
      </c>
      <c r="U73" s="323">
        <v>0</v>
      </c>
    </row>
    <row r="74" spans="3:21" ht="18.5" x14ac:dyDescent="0.45">
      <c r="C74" s="306" t="str">
        <f>Addendum!E16</f>
        <v>January 2025</v>
      </c>
      <c r="D74" s="307">
        <v>36234.89</v>
      </c>
      <c r="E74" s="246">
        <v>50924.69</v>
      </c>
      <c r="F74" s="246">
        <v>42850.79</v>
      </c>
      <c r="G74" s="246">
        <v>82234.649999999994</v>
      </c>
      <c r="H74" s="246">
        <v>252400.97</v>
      </c>
      <c r="I74" s="308">
        <v>-9920.18</v>
      </c>
      <c r="J74" s="309">
        <f t="shared" si="25"/>
        <v>454725.81</v>
      </c>
      <c r="K74" s="311">
        <v>163</v>
      </c>
      <c r="L74" s="307">
        <f>11.21-28.44+62.32-900.28</f>
        <v>-855.18999999999994</v>
      </c>
      <c r="M74" s="246">
        <v>-29.09</v>
      </c>
      <c r="N74" s="246">
        <f>52.55+65.38</f>
        <v>117.92999999999999</v>
      </c>
      <c r="O74" s="246">
        <f>260+110+1320</f>
        <v>1690</v>
      </c>
      <c r="P74" s="246">
        <f>43.91+1898.96</f>
        <v>1942.8700000000001</v>
      </c>
      <c r="Q74" s="246">
        <f>141.96+35.5-776.07+28.18</f>
        <v>-570.43000000000006</v>
      </c>
      <c r="R74" s="246">
        <v>0</v>
      </c>
      <c r="S74" s="246">
        <v>0</v>
      </c>
      <c r="T74" s="246">
        <v>0</v>
      </c>
      <c r="U74" s="323">
        <v>0</v>
      </c>
    </row>
    <row r="75" spans="3:21" ht="18.5" x14ac:dyDescent="0.45">
      <c r="C75" s="306" t="str">
        <f>Addendum!E17</f>
        <v>February</v>
      </c>
      <c r="D75" s="307">
        <v>44390.13</v>
      </c>
      <c r="E75" s="246">
        <v>33968.559999999998</v>
      </c>
      <c r="F75" s="246">
        <v>65559.77</v>
      </c>
      <c r="G75" s="246">
        <v>76455.199999999997</v>
      </c>
      <c r="H75" s="246">
        <v>0</v>
      </c>
      <c r="I75" s="308">
        <v>-9981.0400000000009</v>
      </c>
      <c r="J75" s="309">
        <f t="shared" si="25"/>
        <v>210392.62000000002</v>
      </c>
      <c r="K75" s="311">
        <v>164</v>
      </c>
      <c r="L75" s="307">
        <f>14.39+43.6+66.33</f>
        <v>124.32</v>
      </c>
      <c r="M75" s="246">
        <v>0</v>
      </c>
      <c r="N75" s="246">
        <f>66.45</f>
        <v>66.45</v>
      </c>
      <c r="O75" s="246">
        <f>60+550</f>
        <v>610</v>
      </c>
      <c r="P75" s="246">
        <f>26.08</f>
        <v>26.08</v>
      </c>
      <c r="Q75" s="246">
        <f>7.46+11.21+0.73</f>
        <v>19.400000000000002</v>
      </c>
      <c r="R75" s="246">
        <v>0</v>
      </c>
      <c r="S75" s="246">
        <v>-20145</v>
      </c>
      <c r="T75" s="246">
        <v>0</v>
      </c>
      <c r="U75" s="323">
        <v>0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5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5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5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5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308206.59999999998</v>
      </c>
      <c r="E80" s="314">
        <f t="shared" ref="E80:J80" si="26">SUM(E68:E79)</f>
        <v>450561.05</v>
      </c>
      <c r="F80" s="314">
        <f t="shared" si="26"/>
        <v>364460.94</v>
      </c>
      <c r="G80" s="314">
        <f t="shared" si="26"/>
        <v>418855.07</v>
      </c>
      <c r="H80" s="314">
        <f t="shared" si="26"/>
        <v>365952.97</v>
      </c>
      <c r="I80" s="315">
        <f t="shared" si="26"/>
        <v>-78874.559999999998</v>
      </c>
      <c r="J80" s="316">
        <f t="shared" si="26"/>
        <v>1829162.0700000003</v>
      </c>
      <c r="K80" s="317">
        <f>SUM(K68:K79)</f>
        <v>1296</v>
      </c>
      <c r="L80" s="313">
        <f>SUM(L68:L79)</f>
        <v>18739.190000000002</v>
      </c>
      <c r="M80" s="314">
        <f t="shared" ref="M80:U80" si="27">SUM(M68:M79)</f>
        <v>-29.09</v>
      </c>
      <c r="N80" s="314">
        <f t="shared" si="27"/>
        <v>644.59</v>
      </c>
      <c r="O80" s="314">
        <f t="shared" si="27"/>
        <v>10400</v>
      </c>
      <c r="P80" s="314">
        <f t="shared" si="27"/>
        <v>2473.1</v>
      </c>
      <c r="Q80" s="314">
        <f t="shared" si="27"/>
        <v>-297.73000000000008</v>
      </c>
      <c r="R80" s="314">
        <f t="shared" si="27"/>
        <v>0</v>
      </c>
      <c r="S80" s="314">
        <f t="shared" si="27"/>
        <v>-20145</v>
      </c>
      <c r="T80" s="314">
        <f t="shared" si="27"/>
        <v>0</v>
      </c>
      <c r="U80" s="322">
        <f t="shared" si="27"/>
        <v>0</v>
      </c>
    </row>
  </sheetData>
  <mergeCells count="21"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N15:O15"/>
    <mergeCell ref="D66:H66"/>
    <mergeCell ref="I66:I67"/>
    <mergeCell ref="J66:J67"/>
    <mergeCell ref="K66:K67"/>
    <mergeCell ref="L66:U66"/>
  </mergeCells>
  <conditionalFormatting sqref="D51:P51">
    <cfRule type="cellIs" dxfId="8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5E042-795F-41E9-BBE6-412FC05679E8}">
  <sheetPr codeName="Sheet21">
    <tabColor theme="6" tint="0.39997558519241921"/>
    <pageSetUpPr fitToPage="1"/>
  </sheetPr>
  <dimension ref="B1:AA121"/>
  <sheetViews>
    <sheetView view="pageBreakPreview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5" width="20.7265625" customWidth="1"/>
    <col min="16" max="16" width="34.4531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  <col min="22" max="22" width="15.54296875" customWidth="1"/>
    <col min="23" max="23" width="16.26953125" customWidth="1"/>
    <col min="24" max="24" width="14.54296875" customWidth="1"/>
    <col min="25" max="25" width="16.7265625" customWidth="1"/>
    <col min="26" max="26" width="15.81640625" customWidth="1"/>
    <col min="27" max="27" width="18.1796875" customWidth="1"/>
  </cols>
  <sheetData>
    <row r="1" spans="2:27" ht="5.25" customHeight="1" x14ac:dyDescent="0.35"/>
    <row r="2" spans="2:27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7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7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7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7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7" ht="25.5" customHeight="1" x14ac:dyDescent="0.35">
      <c r="B7" s="222"/>
      <c r="C7" s="226" t="s">
        <v>176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7" ht="18.5" x14ac:dyDescent="0.45">
      <c r="B8" s="221"/>
      <c r="C8" s="254" t="s">
        <v>192</v>
      </c>
      <c r="D8" s="255" cm="1">
        <f t="array" ref="D8">IFERROR(INDEX('Cash Flow Entry'!$D$3:$D$500,MATCH(1,INDEX((NW!$C$7='Cash Flow Entry'!$B$3:$B$500)*(VALUE(NW!D$7)='Cash Flow Entry'!$C$3:$C$500),0,1),0)),"")</f>
        <v>147</v>
      </c>
      <c r="E8" s="256" cm="1">
        <f t="array" ref="E8">IFERROR(INDEX('Cash Flow Entry'!$D$3:$D$500,MATCH(1,INDEX((NW!$C$7='Cash Flow Entry'!$B$3:$B$500)*(VALUE(NW!E$7)='Cash Flow Entry'!$C$3:$C$500),0,1),0)),"")</f>
        <v>147</v>
      </c>
      <c r="F8" s="257" cm="1">
        <f t="array" ref="F8">IFERROR(INDEX('Cash Flow Entry'!$D$3:$D$500,MATCH(1,INDEX((NW!$C$7='Cash Flow Entry'!$B$3:$B$500)*(VALUE(NW!F$7)='Cash Flow Entry'!$C$3:$C$500),0,1),0)),"")</f>
        <v>146</v>
      </c>
      <c r="G8" s="255" cm="1">
        <f t="array" ref="G8">IFERROR(INDEX('Cash Flow Entry'!$D$3:$D$500,MATCH(1,INDEX((NW!$C$7='Cash Flow Entry'!$B$3:$B$500)*(VALUE(NW!G$7)='Cash Flow Entry'!$C$3:$C$500),0,1),0)),"")</f>
        <v>146</v>
      </c>
      <c r="H8" s="256" cm="1">
        <f t="array" ref="H8">IFERROR(INDEX('Cash Flow Entry'!$D$3:$D$500,MATCH(1,INDEX((NW!$C$7='Cash Flow Entry'!$B$3:$B$500)*(VALUE(NW!H$7)='Cash Flow Entry'!$C$3:$C$500),0,1),0)),"")</f>
        <v>146</v>
      </c>
      <c r="I8" s="257" cm="1">
        <f t="array" ref="I8">IFERROR(INDEX('Cash Flow Entry'!$D$3:$D$500,MATCH(1,INDEX((NW!$C$7='Cash Flow Entry'!$B$3:$B$500)*(VALUE(NW!I$7)='Cash Flow Entry'!$C$3:$C$500),0,1),0)),"")</f>
        <v>146</v>
      </c>
      <c r="J8" s="256" cm="1">
        <f t="array" ref="J8">IFERROR(INDEX('Cash Flow Entry'!$D$3:$D$500,MATCH(1,INDEX((NW!$C$7='Cash Flow Entry'!$B$3:$B$500)*(VALUE(NW!J$7)='Cash Flow Entry'!$C$3:$C$500),0,1),0)),"")</f>
        <v>147</v>
      </c>
      <c r="K8" s="256" cm="1">
        <f t="array" ref="K8">IFERROR(INDEX('Cash Flow Entry'!$D$3:$D$500,MATCH(1,INDEX((NW!$C$7='Cash Flow Entry'!$B$3:$B$500)*(VALUE(NW!K$7)='Cash Flow Entry'!$C$3:$C$500),0,1),0)),"")</f>
        <v>147</v>
      </c>
      <c r="L8" s="256" t="str" cm="1">
        <f t="array" ref="L8">IFERROR(INDEX('Cash Flow Entry'!$D$3:$D$500,MATCH(1,INDEX((NW!$C$7='Cash Flow Entry'!$B$3:$B$500)*(VALUE(NW!L$7)='Cash Flow Entry'!$C$3:$C$500),0,1),0)),"")</f>
        <v/>
      </c>
      <c r="M8" s="255" t="str" cm="1">
        <f t="array" ref="M8">IFERROR(INDEX('Cash Flow Entry'!$D$3:$D$500,MATCH(1,INDEX((NW!$C$7='Cash Flow Entry'!$B$3:$B$500)*(VALUE(NW!M$7)='Cash Flow Entry'!$C$3:$C$500),0,1),0)),"")</f>
        <v/>
      </c>
      <c r="N8" s="256" t="str" cm="1">
        <f t="array" ref="N8">IFERROR(INDEX('Cash Flow Entry'!$D$3:$D$500,MATCH(1,INDEX((NW!$C$7='Cash Flow Entry'!$B$3:$B$500)*(VALUE(NW!N$7)='Cash Flow Entry'!$C$3:$C$500),0,1),0)),"")</f>
        <v/>
      </c>
      <c r="O8" s="258" t="str" cm="1">
        <f t="array" ref="O8">IFERROR(INDEX('Cash Flow Entry'!$D$3:$D$500,MATCH(1,INDEX((NW!$C$7='Cash Flow Entry'!$B$3:$B$500)*(VALUE(NW!O$7)='Cash Flow Entry'!$C$3:$C$500),0,1),0)),"")</f>
        <v/>
      </c>
      <c r="P8" s="259">
        <f>SUM(D8:O8)</f>
        <v>1172</v>
      </c>
      <c r="Q8" s="260"/>
      <c r="R8" s="221"/>
      <c r="S8" s="221"/>
    </row>
    <row r="9" spans="2:27" ht="18.5" x14ac:dyDescent="0.45">
      <c r="B9" s="221"/>
      <c r="C9" s="254" t="s">
        <v>238</v>
      </c>
      <c r="D9" s="255" cm="1">
        <f t="array" ref="D9">IFERROR(INDEX('Cash Flow Entry'!$E$3:$E$500,MATCH(1,INDEX((NW!$C$7='Cash Flow Entry'!$B$3:$B$500)*(VALUE(NW!D$7)='Cash Flow Entry'!$C$3:$C$500),0,1),0)),"")</f>
        <v>455</v>
      </c>
      <c r="E9" s="256" cm="1">
        <f t="array" ref="E9">IFERROR(INDEX('Cash Flow Entry'!$E$3:$E$500,MATCH(1,INDEX((NW!$C$7='Cash Flow Entry'!$B$3:$B$500)*(VALUE(NW!E$7)='Cash Flow Entry'!$C$3:$C$500),0,1),0)),"")</f>
        <v>455</v>
      </c>
      <c r="F9" s="257" cm="1">
        <f t="array" ref="F9">IFERROR(INDEX('Cash Flow Entry'!$E$3:$E$500,MATCH(1,INDEX((NW!$C$7='Cash Flow Entry'!$B$3:$B$500)*(VALUE(NW!F$7)='Cash Flow Entry'!$C$3:$C$500),0,1),0)),"")</f>
        <v>446</v>
      </c>
      <c r="G9" s="255" cm="1">
        <f t="array" ref="G9">IFERROR(INDEX('Cash Flow Entry'!$E$3:$E$500,MATCH(1,INDEX((NW!$C$7='Cash Flow Entry'!$B$3:$B$500)*(VALUE(NW!G$7)='Cash Flow Entry'!$C$3:$C$500),0,1),0)),"")</f>
        <v>446</v>
      </c>
      <c r="H9" s="256" cm="1">
        <f t="array" ref="H9">IFERROR(INDEX('Cash Flow Entry'!$E$3:$E$500,MATCH(1,INDEX((NW!$C$7='Cash Flow Entry'!$B$3:$B$500)*(VALUE(NW!H$7)='Cash Flow Entry'!$C$3:$C$500),0,1),0)),"")</f>
        <v>445</v>
      </c>
      <c r="I9" s="257" cm="1">
        <f t="array" ref="I9">IFERROR(INDEX('Cash Flow Entry'!$E$3:$E$500,MATCH(1,INDEX((NW!$C$7='Cash Flow Entry'!$B$3:$B$500)*(VALUE(NW!I$7)='Cash Flow Entry'!$C$3:$C$500),0,1),0)),"")</f>
        <v>444</v>
      </c>
      <c r="J9" s="256" cm="1">
        <f t="array" ref="J9">IFERROR(INDEX('Cash Flow Entry'!$E$3:$E$500,MATCH(1,INDEX((NW!$C$7='Cash Flow Entry'!$B$3:$B$500)*(VALUE(NW!J$7)='Cash Flow Entry'!$C$3:$C$500),0,1),0)),"")</f>
        <v>446</v>
      </c>
      <c r="K9" s="256" cm="1">
        <f t="array" ref="K9">IFERROR(INDEX('Cash Flow Entry'!$E$3:$E$500,MATCH(1,INDEX((NW!$C$7='Cash Flow Entry'!$B$3:$B$500)*(VALUE(NW!K$7)='Cash Flow Entry'!$C$3:$C$500),0,1),0)),"")</f>
        <v>441</v>
      </c>
      <c r="L9" s="256" t="str" cm="1">
        <f t="array" ref="L9">IFERROR(INDEX('Cash Flow Entry'!$E$3:$E$500,MATCH(1,INDEX((NW!$C$7='Cash Flow Entry'!$B$3:$B$500)*(VALUE(NW!L$7)='Cash Flow Entry'!$C$3:$C$500),0,1),0)),"")</f>
        <v/>
      </c>
      <c r="M9" s="255" t="str" cm="1">
        <f t="array" ref="M9">IFERROR(INDEX('Cash Flow Entry'!$E$3:$E$500,MATCH(1,INDEX((NW!$C$7='Cash Flow Entry'!$B$3:$B$500)*(VALUE(NW!M$7)='Cash Flow Entry'!$C$3:$C$500),0,1),0)),"")</f>
        <v/>
      </c>
      <c r="N9" s="256" t="str" cm="1">
        <f t="array" ref="N9">IFERROR(INDEX('Cash Flow Entry'!$E$3:$E$500,MATCH(1,INDEX((NW!$C$7='Cash Flow Entry'!$B$3:$B$500)*(VALUE(NW!N$7)='Cash Flow Entry'!$C$3:$C$500),0,1),0)),"")</f>
        <v/>
      </c>
      <c r="O9" s="258" t="str" cm="1">
        <f t="array" ref="O9">IFERROR(INDEX('Cash Flow Entry'!$E$3:$E$500,MATCH(1,INDEX((NW!$C$7='Cash Flow Entry'!$B$3:$B$500)*(VALUE(NW!O$7)='Cash Flow Entry'!$C$3:$C$500),0,1),0)),"")</f>
        <v/>
      </c>
      <c r="P9" s="259">
        <f>SUM(D9:O9)</f>
        <v>3578</v>
      </c>
      <c r="Q9" s="260"/>
      <c r="R9" s="221"/>
      <c r="S9" s="221"/>
    </row>
    <row r="10" spans="2:27" s="13" customFormat="1" ht="25" customHeight="1" x14ac:dyDescent="0.35">
      <c r="C10" s="261" t="s">
        <v>193</v>
      </c>
      <c r="D10" s="644" t="str">
        <f>"Projected Funding Rate: "&amp;DOLLAR(Q10,0)</f>
        <v>Projected Funding Rate: $1,783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$1,744.30</v>
      </c>
      <c r="N10" s="645"/>
      <c r="O10" s="647"/>
      <c r="P10" s="265">
        <f>P14</f>
        <v>2044318.39</v>
      </c>
      <c r="Q10" s="534">
        <v>1782.88</v>
      </c>
      <c r="R10" s="305">
        <f>Q10*P8</f>
        <v>2089535.36</v>
      </c>
      <c r="S10" s="305"/>
    </row>
    <row r="11" spans="2:27" ht="18.5" x14ac:dyDescent="0.45">
      <c r="B11" s="213" t="s">
        <v>191</v>
      </c>
      <c r="C11" s="267" t="s">
        <v>194</v>
      </c>
      <c r="D11" s="268">
        <v>247605.33</v>
      </c>
      <c r="E11" s="234">
        <v>247605.33</v>
      </c>
      <c r="F11" s="234">
        <v>247605.33</v>
      </c>
      <c r="G11" s="268">
        <v>260300.48</v>
      </c>
      <c r="H11" s="234">
        <v>260300.48</v>
      </c>
      <c r="I11" s="269">
        <v>260300.48</v>
      </c>
      <c r="J11" s="234">
        <v>260300.48</v>
      </c>
      <c r="K11" s="234">
        <v>260300.48</v>
      </c>
      <c r="L11" s="234"/>
      <c r="M11" s="268"/>
      <c r="N11" s="234"/>
      <c r="O11" s="270"/>
      <c r="P11" s="234">
        <f>SUM(D11:O11)</f>
        <v>2044318.39</v>
      </c>
      <c r="Q11" s="302"/>
    </row>
    <row r="12" spans="2:27" ht="18.5" x14ac:dyDescent="0.45">
      <c r="C12" s="267" t="s">
        <v>195</v>
      </c>
      <c r="D12" s="268">
        <f>IF(D$8="","",IF(D$11=0,0,D$8*$Q12))</f>
        <v>0</v>
      </c>
      <c r="E12" s="234">
        <f t="shared" ref="E12:O12" si="0">IF(E$8="","",IF(E$11=0,0,E$8*$Q12))</f>
        <v>0</v>
      </c>
      <c r="F12" s="269">
        <f t="shared" si="0"/>
        <v>0</v>
      </c>
      <c r="G12" s="268">
        <f t="shared" si="0"/>
        <v>0</v>
      </c>
      <c r="H12" s="234">
        <f t="shared" si="0"/>
        <v>0</v>
      </c>
      <c r="I12" s="269">
        <f t="shared" si="0"/>
        <v>0</v>
      </c>
      <c r="J12" s="234">
        <f t="shared" si="0"/>
        <v>0</v>
      </c>
      <c r="K12" s="234">
        <f t="shared" si="0"/>
        <v>0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0</v>
      </c>
      <c r="Q12" s="533">
        <v>0</v>
      </c>
    </row>
    <row r="13" spans="2:27" ht="18.5" x14ac:dyDescent="0.45">
      <c r="B13" s="213" t="s">
        <v>191</v>
      </c>
      <c r="C13" s="267" t="s">
        <v>196</v>
      </c>
      <c r="D13" s="458">
        <f t="shared" ref="D13:O13" si="2">IF(D$8="","",0)</f>
        <v>0</v>
      </c>
      <c r="E13" s="457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7" ht="18.5" x14ac:dyDescent="0.45">
      <c r="C14" s="272" t="s">
        <v>197</v>
      </c>
      <c r="D14" s="273">
        <f>IF(D8="","",SUM(D11:D13))</f>
        <v>247605.33</v>
      </c>
      <c r="E14" s="274">
        <f t="shared" ref="E14:O14" si="3">IF(E8="","",SUM(E11:E13))</f>
        <v>247605.33</v>
      </c>
      <c r="F14" s="275">
        <f t="shared" si="3"/>
        <v>247605.33</v>
      </c>
      <c r="G14" s="273">
        <f t="shared" si="3"/>
        <v>260300.48</v>
      </c>
      <c r="H14" s="274">
        <f t="shared" si="3"/>
        <v>260300.48</v>
      </c>
      <c r="I14" s="275">
        <f t="shared" si="3"/>
        <v>260300.48</v>
      </c>
      <c r="J14" s="274">
        <f t="shared" si="3"/>
        <v>260300.48</v>
      </c>
      <c r="K14" s="274">
        <f t="shared" si="3"/>
        <v>260300.48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2044318.39</v>
      </c>
      <c r="Q14" s="533"/>
      <c r="V14" s="677"/>
      <c r="W14" s="677"/>
      <c r="X14" s="677"/>
      <c r="Y14" s="677"/>
      <c r="Z14" s="677"/>
      <c r="AA14" s="677"/>
    </row>
    <row r="15" spans="2:27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  <c r="V15" s="58"/>
      <c r="W15" s="58"/>
      <c r="X15" s="58"/>
      <c r="Y15" s="58"/>
      <c r="Z15" s="58"/>
      <c r="AA15" s="58"/>
    </row>
    <row r="16" spans="2:27" s="13" customFormat="1" ht="25" customHeight="1" x14ac:dyDescent="0.35">
      <c r="C16" s="261" t="s">
        <v>198</v>
      </c>
      <c r="D16" s="644" t="str">
        <f>"Net Claims PEPM: "&amp;DOLLAR($P26/$P$8,0)</f>
        <v>Net Claims PEPM: $1,697</v>
      </c>
      <c r="E16" s="645"/>
      <c r="F16" s="646"/>
      <c r="G16" s="644" t="str">
        <f>"Admin, Reinsurance, &amp; Misc. PEPM: "&amp;DOLLAR(SUM($P36,$P42,$P49)/$P$8,0)</f>
        <v>Admin, Reinsurance, &amp; Misc. PEPM: $479</v>
      </c>
      <c r="H16" s="645"/>
      <c r="I16" s="646"/>
      <c r="J16" s="644" t="str">
        <f>"Total Expenses PEPM: "&amp;DOLLAR($P16/$P$8,0)</f>
        <v>Total Expenses PEPM: $2,176</v>
      </c>
      <c r="K16" s="645"/>
      <c r="L16" s="646"/>
      <c r="M16" s="644" t="str">
        <f>"Projection Variance: "&amp;TEXT(($P$16/$P$8)/$Q$10-1,"0.00%")</f>
        <v>Projection Variance: 22.03%</v>
      </c>
      <c r="N16" s="645"/>
      <c r="O16" s="647"/>
      <c r="P16" s="265">
        <f>SUM(P26,P36,P42,P49)</f>
        <v>2549846.8405263158</v>
      </c>
      <c r="Q16" s="534"/>
      <c r="U16" s="459"/>
      <c r="V16" s="461"/>
      <c r="W16" s="461"/>
      <c r="X16" s="461"/>
      <c r="Y16" s="461"/>
      <c r="Z16" s="461"/>
      <c r="AA16" s="461"/>
    </row>
    <row r="17" spans="2:2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  <c r="U17" s="5"/>
      <c r="V17" s="461"/>
      <c r="W17" s="461"/>
      <c r="X17" s="461"/>
      <c r="Y17" s="461"/>
      <c r="Z17" s="461"/>
      <c r="AA17" s="461"/>
    </row>
    <row r="18" spans="2:27" ht="18.5" x14ac:dyDescent="0.45">
      <c r="B18" s="213"/>
      <c r="C18" s="267" t="s">
        <v>91</v>
      </c>
      <c r="D18" s="268" cm="1">
        <f t="array" ref="D18">IFERROR(IFERROR(IFERROR(INDEX('Cash Flow Entry'!$F$3:$F$500,MATCH(1,INDEX((NW!$C$7='Cash Flow Entry'!$B$3:$B$500)*(VALUE(NW!D$7)='Cash Flow Entry'!$C$3:$C$500),0,1),0)),"")+IFERROR(INDEX('Cash Flow Entry'!$H$3:$H$500,MATCH(1,INDEX((NW!$C$7='Cash Flow Entry'!$B$3:$B$500)*(VALUE(NW!D$7)='Cash Flow Entry'!$C$3:$C$500),0,1),0)),""),"")-D20,"")</f>
        <v>408926.18000000005</v>
      </c>
      <c r="E18" s="234" cm="1">
        <f t="array" ref="E18">IFERROR(IFERROR(IFERROR(INDEX('Cash Flow Entry'!$F$3:$F$500,MATCH(1,INDEX((NW!$C$7='Cash Flow Entry'!$B$3:$B$500)*(VALUE(NW!E$7)='Cash Flow Entry'!$C$3:$C$500),0,1),0)),"")+IFERROR(INDEX('Cash Flow Entry'!$H$3:$H$500,MATCH(1,INDEX((NW!$C$7='Cash Flow Entry'!$B$3:$B$500)*(VALUE(NW!E$7)='Cash Flow Entry'!$C$3:$C$500),0,1),0)),""),"")-E20,"")</f>
        <v>301636.33</v>
      </c>
      <c r="F18" s="269" cm="1">
        <f t="array" ref="F18">IFERROR(IFERROR(IFERROR(INDEX('Cash Flow Entry'!$F$3:$F$500,MATCH(1,INDEX((NW!$C$7='Cash Flow Entry'!$B$3:$B$500)*(VALUE(NW!F$7)='Cash Flow Entry'!$C$3:$C$500),0,1),0)),"")+IFERROR(INDEX('Cash Flow Entry'!$H$3:$H$500,MATCH(1,INDEX((NW!$C$7='Cash Flow Entry'!$B$3:$B$500)*(VALUE(NW!F$7)='Cash Flow Entry'!$C$3:$C$500),0,1),0)),""),"")-F20,"")</f>
        <v>390541.56</v>
      </c>
      <c r="G18" s="268" cm="1">
        <f t="array" ref="G18">IFERROR(IFERROR(IFERROR(INDEX('Cash Flow Entry'!$F$3:$F$500,MATCH(1,INDEX((NW!$C$7='Cash Flow Entry'!$B$3:$B$500)*(VALUE(NW!G$7)='Cash Flow Entry'!$C$3:$C$500),0,1),0)),"")+IFERROR(INDEX('Cash Flow Entry'!$H$3:$H$500,MATCH(1,INDEX((NW!$C$7='Cash Flow Entry'!$B$3:$B$500)*(VALUE(NW!G$7)='Cash Flow Entry'!$C$3:$C$500),0,1),0)),""),"")-G20,"")</f>
        <v>213107.66999999998</v>
      </c>
      <c r="H18" s="234" cm="1">
        <f t="array" ref="H18">IFERROR(IFERROR(IFERROR(INDEX('Cash Flow Entry'!$F$3:$F$500,MATCH(1,INDEX((NW!$C$7='Cash Flow Entry'!$B$3:$B$500)*(VALUE(NW!H$7)='Cash Flow Entry'!$C$3:$C$500),0,1),0)),"")+IFERROR(INDEX('Cash Flow Entry'!$H$3:$H$500,MATCH(1,INDEX((NW!$C$7='Cash Flow Entry'!$B$3:$B$500)*(VALUE(NW!H$7)='Cash Flow Entry'!$C$3:$C$500),0,1),0)),""),"")-H20,"")</f>
        <v>426183.16</v>
      </c>
      <c r="I18" s="269" cm="1">
        <f t="array" ref="I18">IFERROR(IFERROR(IFERROR(INDEX('Cash Flow Entry'!$F$3:$F$500,MATCH(1,INDEX((NW!$C$7='Cash Flow Entry'!$B$3:$B$500)*(VALUE(NW!I$7)='Cash Flow Entry'!$C$3:$C$500),0,1),0)),"")+IFERROR(INDEX('Cash Flow Entry'!$H$3:$H$500,MATCH(1,INDEX((NW!$C$7='Cash Flow Entry'!$B$3:$B$500)*(VALUE(NW!I$7)='Cash Flow Entry'!$C$3:$C$500),0,1),0)),""),"")-I20,"")</f>
        <v>307840.66000000003</v>
      </c>
      <c r="J18" s="268" cm="1">
        <f t="array" ref="J18">IFERROR(IFERROR(IFERROR(INDEX('Cash Flow Entry'!$F$3:$F$500,MATCH(1,INDEX((NW!$C$7='Cash Flow Entry'!$B$3:$B$500)*(VALUE(NW!J$7)='Cash Flow Entry'!$C$3:$C$500),0,1),0)),"")+IFERROR(INDEX('Cash Flow Entry'!$H$3:$H$500,MATCH(1,INDEX((NW!$C$7='Cash Flow Entry'!$B$3:$B$500)*(VALUE(NW!J$7)='Cash Flow Entry'!$C$3:$C$500),0,1),0)),""),"")-J20,"")</f>
        <v>444655.81999999995</v>
      </c>
      <c r="K18" s="234" cm="1">
        <f t="array" ref="K18">IFERROR(IFERROR(IFERROR(INDEX('Cash Flow Entry'!$F$3:$F$500,MATCH(1,INDEX((NW!$C$7='Cash Flow Entry'!$B$3:$B$500)*(VALUE(NW!K$7)='Cash Flow Entry'!$C$3:$C$500),0,1),0)),"")+IFERROR(INDEX('Cash Flow Entry'!$H$3:$H$500,MATCH(1,INDEX((NW!$C$7='Cash Flow Entry'!$B$3:$B$500)*(VALUE(NW!K$7)='Cash Flow Entry'!$C$3:$C$500),0,1),0)),""),"")-K20,"")</f>
        <v>205236.94</v>
      </c>
      <c r="L18" s="269" t="str" cm="1">
        <f t="array" ref="L18">IFERROR(IFERROR(IFERROR(INDEX('Cash Flow Entry'!$F$3:$F$500,MATCH(1,INDEX((NW!$C$7='Cash Flow Entry'!$B$3:$B$500)*(VALUE(NW!L$7)='Cash Flow Entry'!$C$3:$C$500),0,1),0)),"")+IFERROR(INDEX('Cash Flow Entry'!$H$3:$H$500,MATCH(1,INDEX((NW!$C$7='Cash Flow Entry'!$B$3:$B$500)*(VALUE(NW!L$7)='Cash Flow Entry'!$C$3:$C$500),0,1),0)),""),"")-L20,"")</f>
        <v/>
      </c>
      <c r="M18" s="268" t="str" cm="1">
        <f t="array" ref="M18">IFERROR(IFERROR(IFERROR(INDEX('Cash Flow Entry'!$F$3:$F$500,MATCH(1,INDEX((NW!$C$7='Cash Flow Entry'!$B$3:$B$500)*(VALUE(NW!M$7)='Cash Flow Entry'!$C$3:$C$500),0,1),0)),"")+IFERROR(INDEX('Cash Flow Entry'!$H$3:$H$500,MATCH(1,INDEX((NW!$C$7='Cash Flow Entry'!$B$3:$B$500)*(VALUE(NW!M$7)='Cash Flow Entry'!$C$3:$C$500),0,1),0)),""),"")-M20,"")</f>
        <v/>
      </c>
      <c r="N18" s="234" t="str" cm="1">
        <f t="array" ref="N18">IFERROR(IFERROR(IFERROR(INDEX('Cash Flow Entry'!$F$3:$F$500,MATCH(1,INDEX((NW!$C$7='Cash Flow Entry'!$B$3:$B$500)*(VALUE(NW!N$7)='Cash Flow Entry'!$C$3:$C$500),0,1),0)),"")+IFERROR(INDEX('Cash Flow Entry'!$H$3:$H$500,MATCH(1,INDEX((NW!$C$7='Cash Flow Entry'!$B$3:$B$500)*(VALUE(NW!N$7)='Cash Flow Entry'!$C$3:$C$500),0,1),0)),""),"")-N20,"")</f>
        <v/>
      </c>
      <c r="O18" s="270" t="str" cm="1">
        <f t="array" ref="O18">IFERROR(IFERROR(IFERROR(INDEX('Cash Flow Entry'!$F$3:$F$500,MATCH(1,INDEX((NW!$C$7='Cash Flow Entry'!$B$3:$B$500)*(VALUE(NW!O$7)='Cash Flow Entry'!$C$3:$C$500),0,1),0)),"")+IFERROR(INDEX('Cash Flow Entry'!$H$3:$H$500,MATCH(1,INDEX((NW!$C$7='Cash Flow Entry'!$B$3:$B$500)*(VALUE(NW!O$7)='Cash Flow Entry'!$C$3:$C$500),0,1),0)),""),"")-O20,"")</f>
        <v/>
      </c>
      <c r="P18" s="234">
        <f>SUM(D18:O18)</f>
        <v>2698128.32</v>
      </c>
      <c r="Q18" s="533">
        <v>840.76</v>
      </c>
      <c r="U18" s="5"/>
      <c r="V18" s="461"/>
      <c r="W18" s="461"/>
      <c r="X18" s="461"/>
      <c r="Y18" s="461"/>
      <c r="Z18" s="461"/>
      <c r="AA18" s="461"/>
    </row>
    <row r="19" spans="2:27" ht="18.5" x14ac:dyDescent="0.45">
      <c r="B19" s="213"/>
      <c r="C19" s="267" t="s">
        <v>93</v>
      </c>
      <c r="D19" s="268" cm="1">
        <f t="array" ref="D19">IFERROR(INDEX('Cash Flow Entry'!$G$3:$G$500,MATCH(1,INDEX((NW!$C$7='Cash Flow Entry'!$B$3:$B$500)*(VALUE(NW!D$7)='Cash Flow Entry'!$C$3:$C$500),0,1),0)),"")</f>
        <v>108765.38</v>
      </c>
      <c r="E19" s="234" cm="1">
        <f t="array" ref="E19">IFERROR(INDEX('Cash Flow Entry'!$G$3:$G$500,MATCH(1,INDEX((NW!$C$7='Cash Flow Entry'!$B$3:$B$500)*(VALUE(NW!E$7)='Cash Flow Entry'!$C$3:$C$500),0,1),0)),"")</f>
        <v>117720.81</v>
      </c>
      <c r="F19" s="269" cm="1">
        <f t="array" ref="F19">IFERROR(INDEX('Cash Flow Entry'!$G$3:$G$500,MATCH(1,INDEX((NW!$C$7='Cash Flow Entry'!$B$3:$B$500)*(VALUE(NW!F$7)='Cash Flow Entry'!$C$3:$C$500),0,1),0)),"")</f>
        <v>101557.59</v>
      </c>
      <c r="G19" s="268" cm="1">
        <f t="array" ref="G19">IFERROR(INDEX('Cash Flow Entry'!$G$3:$G$500,MATCH(1,INDEX((NW!$C$7='Cash Flow Entry'!$B$3:$B$500)*(VALUE(NW!G$7)='Cash Flow Entry'!$C$3:$C$500),0,1),0)),"")</f>
        <v>48701.65</v>
      </c>
      <c r="H19" s="234" cm="1">
        <f t="array" ref="H19">IFERROR(INDEX('Cash Flow Entry'!$G$3:$G$500,MATCH(1,INDEX((NW!$C$7='Cash Flow Entry'!$B$3:$B$500)*(VALUE(NW!H$7)='Cash Flow Entry'!$C$3:$C$500),0,1),0)),"")</f>
        <v>86865.09</v>
      </c>
      <c r="I19" s="269" cm="1">
        <f t="array" ref="I19">IFERROR(INDEX('Cash Flow Entry'!$G$3:$G$500,MATCH(1,INDEX((NW!$C$7='Cash Flow Entry'!$B$3:$B$500)*(VALUE(NW!I$7)='Cash Flow Entry'!$C$3:$C$500),0,1),0)),"")</f>
        <v>81545.23</v>
      </c>
      <c r="J19" s="234" cm="1">
        <f t="array" ref="J19">IFERROR(INDEX('Cash Flow Entry'!$G$3:$G$500,MATCH(1,INDEX((NW!$C$7='Cash Flow Entry'!$B$3:$B$500)*(VALUE(NW!J$7)='Cash Flow Entry'!$C$3:$C$500),0,1),0)),"")</f>
        <v>72893.009999999995</v>
      </c>
      <c r="K19" s="234" cm="1">
        <f t="array" ref="K19">IFERROR(INDEX('Cash Flow Entry'!$G$3:$G$500,MATCH(1,INDEX((NW!$C$7='Cash Flow Entry'!$B$3:$B$500)*(VALUE(NW!K$7)='Cash Flow Entry'!$C$3:$C$500),0,1),0)),"")</f>
        <v>90772.13</v>
      </c>
      <c r="L19" s="234" t="str" cm="1">
        <f t="array" ref="L19">IFERROR(INDEX('Cash Flow Entry'!$G$3:$G$500,MATCH(1,INDEX((NW!$C$7='Cash Flow Entry'!$B$3:$B$500)*(VALUE(NW!L$7)='Cash Flow Entry'!$C$3:$C$500),0,1),0)),"")</f>
        <v/>
      </c>
      <c r="M19" s="268" t="str" cm="1">
        <f t="array" ref="M19">IFERROR(INDEX('Cash Flow Entry'!$G$3:$G$500,MATCH(1,INDEX((NW!$C$7='Cash Flow Entry'!$B$3:$B$500)*(VALUE(NW!M$7)='Cash Flow Entry'!$C$3:$C$500),0,1),0)),"")</f>
        <v/>
      </c>
      <c r="N19" s="234" t="str" cm="1">
        <f t="array" ref="N19">IFERROR(INDEX('Cash Flow Entry'!$G$3:$G$500,MATCH(1,INDEX((NW!$C$7='Cash Flow Entry'!$B$3:$B$500)*(VALUE(NW!N$7)='Cash Flow Entry'!$C$3:$C$500),0,1),0)),"")</f>
        <v/>
      </c>
      <c r="O19" s="270" t="str" cm="1">
        <f t="array" ref="O19">IFERROR(INDEX('Cash Flow Entry'!$G$3:$G$500,MATCH(1,INDEX((NW!$C$7='Cash Flow Entry'!$B$3:$B$500)*(VALUE(NW!O$7)='Cash Flow Entry'!$C$3:$C$500),0,1),0)),"")</f>
        <v/>
      </c>
      <c r="P19" s="234">
        <f>SUM(D19:O19)</f>
        <v>708820.89</v>
      </c>
      <c r="Q19" s="533">
        <v>431.35</v>
      </c>
      <c r="U19" s="5"/>
      <c r="V19" s="461"/>
      <c r="W19" s="461"/>
      <c r="X19" s="461"/>
      <c r="Y19" s="462"/>
      <c r="Z19" s="462"/>
      <c r="AA19" s="461"/>
    </row>
    <row r="20" spans="2:27" ht="18.5" x14ac:dyDescent="0.45">
      <c r="B20" s="213"/>
      <c r="C20" s="267" t="s">
        <v>321</v>
      </c>
      <c r="D20" s="268">
        <f>IF(D8="","",SUM($D85:$H85))</f>
        <v>885</v>
      </c>
      <c r="E20" s="234">
        <f>IF(E8="","",SUM($D86:$H86))</f>
        <v>1743</v>
      </c>
      <c r="F20" s="234">
        <f>IF(F8="","",SUM($D87:$H87))</f>
        <v>735</v>
      </c>
      <c r="G20" s="268">
        <f>IF(G8="","",SUM($D88:$H88))</f>
        <v>750</v>
      </c>
      <c r="H20" s="234">
        <f>IF(H8="","",SUM($D89:$H89))</f>
        <v>200</v>
      </c>
      <c r="I20" s="234">
        <f>IF(I8="","",SUM($D90:$H90))</f>
        <v>1095</v>
      </c>
      <c r="J20" s="268">
        <f>IF(J8="","",SUM($D91:$H91))</f>
        <v>1105</v>
      </c>
      <c r="K20" s="234">
        <f>IF(K8="","",SUM($D92:$H92))</f>
        <v>730</v>
      </c>
      <c r="L20" s="234" t="str">
        <f>IF(L8="","",SUM($D93:$H93))</f>
        <v/>
      </c>
      <c r="M20" s="268" t="str">
        <f>IF(M8="","",SUM($D94:$H94))</f>
        <v/>
      </c>
      <c r="N20" s="234" t="str">
        <f>IF(N8="","",SUM($D95:$H95))</f>
        <v/>
      </c>
      <c r="O20" s="270" t="str">
        <f>IF(O8="","",SUM($D96:$H96))</f>
        <v/>
      </c>
      <c r="P20" s="234">
        <f>SUM(D20:O20)</f>
        <v>7243</v>
      </c>
      <c r="Q20" s="533"/>
      <c r="U20" s="5"/>
      <c r="V20" s="461"/>
      <c r="W20" s="461"/>
      <c r="X20" s="461"/>
      <c r="Y20" s="461"/>
      <c r="Z20" s="461"/>
      <c r="AA20" s="461"/>
    </row>
    <row r="21" spans="2:27" ht="18.5" x14ac:dyDescent="0.45">
      <c r="B21" s="219">
        <f>INDEX('HCC Summary'!$I$9:$I$27,MATCH(NW!C7,'HCC Summary'!B9:B27, 0))</f>
        <v>1011197.94</v>
      </c>
      <c r="C21" s="282" t="s">
        <v>225</v>
      </c>
      <c r="D21" s="283">
        <v>61458.6</v>
      </c>
      <c r="E21" s="284">
        <v>171740.06</v>
      </c>
      <c r="F21" s="285">
        <v>426273.48</v>
      </c>
      <c r="G21" s="283">
        <v>497474.07</v>
      </c>
      <c r="H21" s="284">
        <v>727688.6</v>
      </c>
      <c r="I21" s="285">
        <v>955633.17</v>
      </c>
      <c r="J21" s="284">
        <v>959946.36</v>
      </c>
      <c r="K21" s="284">
        <v>1011197.94</v>
      </c>
      <c r="L21" s="284"/>
      <c r="M21" s="283"/>
      <c r="N21" s="284"/>
      <c r="O21" s="286"/>
      <c r="P21" s="641">
        <f>SUM(D22:O22)</f>
        <v>-1011197.94</v>
      </c>
      <c r="Q21" s="533"/>
      <c r="U21" s="5"/>
      <c r="V21" s="461"/>
      <c r="W21" s="461"/>
      <c r="X21" s="461"/>
      <c r="Y21" s="461"/>
      <c r="Z21" s="461"/>
      <c r="AA21" s="461"/>
    </row>
    <row r="22" spans="2:27" ht="18.5" x14ac:dyDescent="0.45">
      <c r="C22" s="267" t="s">
        <v>226</v>
      </c>
      <c r="D22" s="268">
        <f>IF(D8="","",-D21)</f>
        <v>-61458.6</v>
      </c>
      <c r="E22" s="234">
        <f t="shared" ref="E22:O22" si="4">IF(E8="","",-(E21-D21))</f>
        <v>-110281.45999999999</v>
      </c>
      <c r="F22" s="269">
        <f t="shared" si="4"/>
        <v>-254533.41999999998</v>
      </c>
      <c r="G22" s="268">
        <f t="shared" si="4"/>
        <v>-71200.590000000026</v>
      </c>
      <c r="H22" s="234">
        <f t="shared" si="4"/>
        <v>-230214.52999999997</v>
      </c>
      <c r="I22" s="269">
        <f t="shared" si="4"/>
        <v>-227944.57000000007</v>
      </c>
      <c r="J22" s="234">
        <f t="shared" si="4"/>
        <v>-4313.1899999999441</v>
      </c>
      <c r="K22" s="234">
        <f t="shared" si="4"/>
        <v>-51251.579999999958</v>
      </c>
      <c r="L22" s="234" t="str">
        <f t="shared" si="4"/>
        <v/>
      </c>
      <c r="M22" s="268" t="str">
        <f t="shared" si="4"/>
        <v/>
      </c>
      <c r="N22" s="234" t="str">
        <f t="shared" si="4"/>
        <v/>
      </c>
      <c r="O22" s="270" t="str">
        <f t="shared" si="4"/>
        <v/>
      </c>
      <c r="P22" s="641"/>
      <c r="Q22" s="533"/>
      <c r="U22" s="459"/>
      <c r="V22" s="461"/>
      <c r="W22" s="461"/>
      <c r="X22" s="461"/>
      <c r="Y22" s="461"/>
      <c r="Z22" s="461"/>
      <c r="AA22" s="461"/>
    </row>
    <row r="23" spans="2:27" ht="18.5" x14ac:dyDescent="0.45">
      <c r="C23" s="267" t="s">
        <v>363</v>
      </c>
      <c r="D23" s="268">
        <f>IF(D$8="","",$U68)</f>
        <v>-150</v>
      </c>
      <c r="E23" s="234">
        <f>IF(E$8="","",$U69)</f>
        <v>-29576.51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-33097.629999999997</v>
      </c>
      <c r="J23" s="234">
        <f>IF(J$8="","",$U74)</f>
        <v>-33105.730000000003</v>
      </c>
      <c r="K23" s="234">
        <f>IF(K$8="","",$U75)</f>
        <v>-197754.55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5">SUM(D23:O23)</f>
        <v>-293684.42</v>
      </c>
      <c r="Q23" s="533"/>
      <c r="U23" s="5"/>
      <c r="V23" s="461"/>
      <c r="W23" s="461"/>
      <c r="X23" s="461"/>
      <c r="Y23" s="461"/>
      <c r="Z23" s="461"/>
      <c r="AA23" s="461"/>
    </row>
    <row r="24" spans="2:27" ht="18.5" x14ac:dyDescent="0.45">
      <c r="C24" s="267" t="s">
        <v>25</v>
      </c>
      <c r="D24" s="268">
        <f t="shared" ref="D24:O24" si="6">IF(D$8="","",D$8*$Q$24)</f>
        <v>-16170</v>
      </c>
      <c r="E24" s="234">
        <f t="shared" si="6"/>
        <v>-16170</v>
      </c>
      <c r="F24" s="269">
        <f t="shared" si="6"/>
        <v>-16060</v>
      </c>
      <c r="G24" s="268">
        <f t="shared" si="6"/>
        <v>-16060</v>
      </c>
      <c r="H24" s="234">
        <f t="shared" si="6"/>
        <v>-16060</v>
      </c>
      <c r="I24" s="269">
        <f t="shared" si="6"/>
        <v>-16060</v>
      </c>
      <c r="J24" s="234">
        <f t="shared" si="6"/>
        <v>-16170</v>
      </c>
      <c r="K24" s="234">
        <f t="shared" si="6"/>
        <v>-16170</v>
      </c>
      <c r="L24" s="234" t="str">
        <f t="shared" si="6"/>
        <v/>
      </c>
      <c r="M24" s="268" t="str">
        <f t="shared" si="6"/>
        <v/>
      </c>
      <c r="N24" s="234" t="str">
        <f t="shared" si="6"/>
        <v/>
      </c>
      <c r="O24" s="270" t="str">
        <f t="shared" si="6"/>
        <v/>
      </c>
      <c r="P24" s="234">
        <f t="shared" si="5"/>
        <v>-128920</v>
      </c>
      <c r="Q24" s="533">
        <v>-110</v>
      </c>
      <c r="U24" s="5"/>
      <c r="V24" s="461"/>
      <c r="W24" s="461"/>
      <c r="X24" s="461"/>
      <c r="Y24" s="461"/>
      <c r="Z24" s="461"/>
      <c r="AA24" s="461"/>
    </row>
    <row r="25" spans="2:27" ht="18.5" x14ac:dyDescent="0.45">
      <c r="B25" s="213"/>
      <c r="C25" s="267" t="s">
        <v>199</v>
      </c>
      <c r="D25" s="268">
        <f>IF(D$8="","",SUM($L68:$R68))</f>
        <v>3848.46</v>
      </c>
      <c r="E25" s="234">
        <f>IF(E$8="","",SUM($L69:$R69))</f>
        <v>3670.1099999999997</v>
      </c>
      <c r="F25" s="269">
        <f>IF(F$8="","",SUM($L70:$R70))</f>
        <v>3821.36</v>
      </c>
      <c r="G25" s="268">
        <f>IF(G$8="","",SUM($L71:$R71))</f>
        <v>2439.2600000000002</v>
      </c>
      <c r="H25" s="234">
        <f>IF(H$8="","",SUM($L72:$R72))</f>
        <v>3845.25</v>
      </c>
      <c r="I25" s="269">
        <f>IF(I$8="","",SUM($L73:$R73))</f>
        <v>3394.96</v>
      </c>
      <c r="J25" s="234">
        <f>IF(J$8="","",SUM($L74:$R74))</f>
        <v>2796.27</v>
      </c>
      <c r="K25" s="234">
        <f>IF(K$8="","",SUM($L75:$S75))</f>
        <v>-15339.4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5"/>
        <v>8476.2700000000023</v>
      </c>
      <c r="Q25" s="533"/>
      <c r="U25" s="5"/>
      <c r="V25" s="461"/>
      <c r="W25" s="461"/>
      <c r="X25" s="461"/>
      <c r="Y25" s="461"/>
      <c r="Z25" s="461"/>
      <c r="AA25" s="461"/>
    </row>
    <row r="26" spans="2:27" ht="18.5" x14ac:dyDescent="0.45">
      <c r="C26" s="272" t="s">
        <v>200</v>
      </c>
      <c r="D26" s="273">
        <f>IF(D8="","",SUM(D18:D20,D22:D25))</f>
        <v>444646.4200000001</v>
      </c>
      <c r="E26" s="274">
        <f t="shared" ref="E26:L26" si="7">IF(E8="","",SUM(E18:E20,E22:E25))</f>
        <v>268742.28000000003</v>
      </c>
      <c r="F26" s="275">
        <f t="shared" si="7"/>
        <v>226062.09000000003</v>
      </c>
      <c r="G26" s="273">
        <f t="shared" si="7"/>
        <v>177737.98999999993</v>
      </c>
      <c r="H26" s="274">
        <f t="shared" si="7"/>
        <v>270818.97000000003</v>
      </c>
      <c r="I26" s="275">
        <f t="shared" si="7"/>
        <v>116773.64999999995</v>
      </c>
      <c r="J26" s="273">
        <f t="shared" si="7"/>
        <v>467861.18000000005</v>
      </c>
      <c r="K26" s="274">
        <f t="shared" si="7"/>
        <v>16223.540000000061</v>
      </c>
      <c r="L26" s="275" t="str">
        <f t="shared" si="7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8">IF(O8="","",SUM(O18:O19,O22:O25))</f>
        <v/>
      </c>
      <c r="P26" s="274">
        <f>SUM(P18:P25)</f>
        <v>1988866.12</v>
      </c>
      <c r="Q26" s="533"/>
      <c r="U26" s="5"/>
      <c r="V26" s="461"/>
      <c r="W26" s="461"/>
      <c r="X26" s="461"/>
      <c r="Y26" s="461"/>
      <c r="Z26" s="461"/>
      <c r="AA26" s="461"/>
    </row>
    <row r="27" spans="2:2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  <c r="U27" s="5"/>
      <c r="V27" s="461"/>
      <c r="W27" s="461"/>
      <c r="X27" s="461"/>
      <c r="Y27" s="461"/>
      <c r="Z27" s="461"/>
      <c r="AA27" s="461"/>
    </row>
    <row r="28" spans="2:27" ht="18.5" x14ac:dyDescent="0.45">
      <c r="C28" s="267" t="s">
        <v>223</v>
      </c>
      <c r="D28" s="268">
        <f>IF(D$8="","",D$8*$Q28)</f>
        <v>5900.58</v>
      </c>
      <c r="E28" s="234">
        <f t="shared" ref="E28:O35" si="9">IF(E$8="","",E$8*$Q28)</f>
        <v>5900.58</v>
      </c>
      <c r="F28" s="269">
        <f t="shared" si="9"/>
        <v>5860.4400000000005</v>
      </c>
      <c r="G28" s="268">
        <f t="shared" si="9"/>
        <v>5860.4400000000005</v>
      </c>
      <c r="H28" s="234">
        <f t="shared" si="9"/>
        <v>5860.4400000000005</v>
      </c>
      <c r="I28" s="269">
        <f t="shared" si="9"/>
        <v>5860.4400000000005</v>
      </c>
      <c r="J28" s="234">
        <f t="shared" si="9"/>
        <v>5900.58</v>
      </c>
      <c r="K28" s="234">
        <f t="shared" si="9"/>
        <v>5900.58</v>
      </c>
      <c r="L28" s="234" t="str">
        <f t="shared" si="9"/>
        <v/>
      </c>
      <c r="M28" s="268" t="str">
        <f t="shared" si="9"/>
        <v/>
      </c>
      <c r="N28" s="234" t="str">
        <f t="shared" si="9"/>
        <v/>
      </c>
      <c r="O28" s="270" t="str">
        <f t="shared" si="9"/>
        <v/>
      </c>
      <c r="P28" s="234">
        <f>SUM(D28:O28)</f>
        <v>47044.080000000009</v>
      </c>
      <c r="Q28" s="533">
        <v>40.14</v>
      </c>
      <c r="U28" s="467"/>
      <c r="V28" s="461"/>
      <c r="W28" s="461"/>
      <c r="X28" s="461"/>
      <c r="Y28" s="461"/>
      <c r="Z28" s="461"/>
      <c r="AA28" s="461"/>
    </row>
    <row r="29" spans="2:27" ht="18.5" x14ac:dyDescent="0.45">
      <c r="C29" s="267" t="s">
        <v>224</v>
      </c>
      <c r="D29" s="268">
        <f t="shared" ref="D29:O35" si="10">IF(D$8="","",D$8*$Q29)</f>
        <v>588</v>
      </c>
      <c r="E29" s="234">
        <f t="shared" si="9"/>
        <v>588</v>
      </c>
      <c r="F29" s="269">
        <f t="shared" si="9"/>
        <v>584</v>
      </c>
      <c r="G29" s="268">
        <f t="shared" si="9"/>
        <v>584</v>
      </c>
      <c r="H29" s="234">
        <f t="shared" si="9"/>
        <v>584</v>
      </c>
      <c r="I29" s="269">
        <f t="shared" si="9"/>
        <v>584</v>
      </c>
      <c r="J29" s="234">
        <f t="shared" si="9"/>
        <v>588</v>
      </c>
      <c r="K29" s="234">
        <f t="shared" si="9"/>
        <v>588</v>
      </c>
      <c r="L29" s="234" t="str">
        <f t="shared" si="9"/>
        <v/>
      </c>
      <c r="M29" s="268" t="str">
        <f t="shared" si="9"/>
        <v/>
      </c>
      <c r="N29" s="234" t="str">
        <f t="shared" si="9"/>
        <v/>
      </c>
      <c r="O29" s="270" t="str">
        <f t="shared" si="9"/>
        <v/>
      </c>
      <c r="P29" s="234">
        <f t="shared" ref="P29:P35" si="11">SUM(D29:O29)</f>
        <v>4688</v>
      </c>
      <c r="Q29" s="533">
        <v>4</v>
      </c>
      <c r="U29" s="5"/>
      <c r="V29" s="461"/>
      <c r="W29" s="461"/>
      <c r="X29" s="461"/>
      <c r="Y29" s="461"/>
      <c r="Z29" s="461"/>
      <c r="AA29" s="461"/>
    </row>
    <row r="30" spans="2:27" ht="18.5" x14ac:dyDescent="0.45">
      <c r="C30" s="267" t="s">
        <v>324</v>
      </c>
      <c r="D30" s="268">
        <f>IF(D$8="","",$K85*$Q30)</f>
        <v>236.16</v>
      </c>
      <c r="E30" s="234">
        <f>IF(E$8="","",$K86*$Q30)</f>
        <v>237.6</v>
      </c>
      <c r="F30" s="234">
        <f>IF(F$8="","",$K87*$Q30)</f>
        <v>233.28</v>
      </c>
      <c r="G30" s="268">
        <f>IF(G$8="","",$K88*$Q30)</f>
        <v>233.28</v>
      </c>
      <c r="H30" s="234">
        <f>IF(H$8="","",$K89*$Q30)</f>
        <v>233.28</v>
      </c>
      <c r="I30" s="234">
        <f>IF(I$8="","",$K90*$Q30)</f>
        <v>233.28</v>
      </c>
      <c r="J30" s="268">
        <f>IF(J$8="","",$K91*$Q30)</f>
        <v>234.72</v>
      </c>
      <c r="K30" s="234">
        <f>IF(K$8="","",$K92*$Q30)</f>
        <v>237.6</v>
      </c>
      <c r="L30" s="234" t="str">
        <f>IF(L$8="","",$K93*$Q30)</f>
        <v/>
      </c>
      <c r="M30" s="268" t="str">
        <f>IF(M$8="","",$K94*$Q30)</f>
        <v/>
      </c>
      <c r="N30" s="234" t="str">
        <f>IF(N$8="","",$K95*$Q30)</f>
        <v/>
      </c>
      <c r="O30" s="234" t="str">
        <f>IF(O$8="","",$K96*$Q30)</f>
        <v/>
      </c>
      <c r="P30" s="474">
        <f t="shared" si="11"/>
        <v>1879.1999999999998</v>
      </c>
      <c r="Q30" s="533">
        <v>1.44</v>
      </c>
      <c r="U30" s="5"/>
      <c r="V30" s="461"/>
      <c r="W30" s="461"/>
      <c r="X30" s="461"/>
      <c r="Y30" s="461"/>
      <c r="Z30" s="461"/>
      <c r="AA30" s="461"/>
    </row>
    <row r="31" spans="2:27" ht="18.5" x14ac:dyDescent="0.45">
      <c r="C31" s="267" t="s">
        <v>325</v>
      </c>
      <c r="D31" s="268">
        <f t="shared" si="10"/>
        <v>0</v>
      </c>
      <c r="E31" s="234">
        <f t="shared" si="10"/>
        <v>0</v>
      </c>
      <c r="F31" s="234">
        <f t="shared" si="10"/>
        <v>0</v>
      </c>
      <c r="G31" s="268">
        <f t="shared" si="10"/>
        <v>0</v>
      </c>
      <c r="H31" s="234">
        <f t="shared" si="10"/>
        <v>0</v>
      </c>
      <c r="I31" s="234">
        <f t="shared" si="10"/>
        <v>0</v>
      </c>
      <c r="J31" s="268">
        <f t="shared" si="10"/>
        <v>0</v>
      </c>
      <c r="K31" s="234">
        <f t="shared" si="10"/>
        <v>0</v>
      </c>
      <c r="L31" s="234" t="str">
        <f t="shared" si="10"/>
        <v/>
      </c>
      <c r="M31" s="268" t="str">
        <f t="shared" si="10"/>
        <v/>
      </c>
      <c r="N31" s="234" t="str">
        <f t="shared" si="10"/>
        <v/>
      </c>
      <c r="O31" s="270" t="str">
        <f t="shared" si="10"/>
        <v/>
      </c>
      <c r="P31" s="234">
        <f t="shared" si="11"/>
        <v>0</v>
      </c>
      <c r="Q31" s="533">
        <v>0</v>
      </c>
      <c r="U31" s="5"/>
      <c r="V31" s="461"/>
      <c r="W31" s="461"/>
      <c r="X31" s="461"/>
      <c r="Y31" s="461"/>
      <c r="Z31" s="461"/>
      <c r="AA31" s="461"/>
    </row>
    <row r="32" spans="2:27" ht="18.5" x14ac:dyDescent="0.45">
      <c r="C32" s="267" t="s">
        <v>247</v>
      </c>
      <c r="D32" s="268">
        <f t="shared" si="10"/>
        <v>0</v>
      </c>
      <c r="E32" s="234">
        <f t="shared" si="10"/>
        <v>0</v>
      </c>
      <c r="F32" s="269">
        <f t="shared" si="10"/>
        <v>0</v>
      </c>
      <c r="G32" s="268">
        <f t="shared" si="10"/>
        <v>0</v>
      </c>
      <c r="H32" s="234">
        <f t="shared" si="10"/>
        <v>0</v>
      </c>
      <c r="I32" s="269">
        <f t="shared" si="10"/>
        <v>0</v>
      </c>
      <c r="J32" s="234">
        <f t="shared" si="10"/>
        <v>0</v>
      </c>
      <c r="K32" s="234">
        <f t="shared" si="10"/>
        <v>0</v>
      </c>
      <c r="L32" s="234" t="str">
        <f t="shared" si="10"/>
        <v/>
      </c>
      <c r="M32" s="268" t="str">
        <f t="shared" si="10"/>
        <v/>
      </c>
      <c r="N32" s="234" t="str">
        <f t="shared" si="10"/>
        <v/>
      </c>
      <c r="O32" s="270" t="str">
        <f t="shared" si="10"/>
        <v/>
      </c>
      <c r="P32" s="234">
        <f t="shared" si="11"/>
        <v>0</v>
      </c>
      <c r="Q32" s="533">
        <v>0</v>
      </c>
      <c r="U32" s="5"/>
      <c r="V32" s="461"/>
      <c r="W32" s="461"/>
      <c r="X32" s="461"/>
      <c r="Y32" s="461"/>
      <c r="Z32" s="461"/>
      <c r="AA32" s="461"/>
    </row>
    <row r="33" spans="2:27" ht="18.5" x14ac:dyDescent="0.45">
      <c r="C33" s="267" t="s">
        <v>227</v>
      </c>
      <c r="D33" s="268">
        <f t="shared" si="10"/>
        <v>257.25</v>
      </c>
      <c r="E33" s="234">
        <f t="shared" si="9"/>
        <v>257.25</v>
      </c>
      <c r="F33" s="269">
        <f t="shared" si="9"/>
        <v>255.5</v>
      </c>
      <c r="G33" s="268">
        <f t="shared" si="9"/>
        <v>255.5</v>
      </c>
      <c r="H33" s="234">
        <f t="shared" si="9"/>
        <v>255.5</v>
      </c>
      <c r="I33" s="269">
        <f t="shared" si="9"/>
        <v>255.5</v>
      </c>
      <c r="J33" s="234">
        <f t="shared" si="9"/>
        <v>257.25</v>
      </c>
      <c r="K33" s="234">
        <f t="shared" si="9"/>
        <v>257.25</v>
      </c>
      <c r="L33" s="234" t="str">
        <f t="shared" si="9"/>
        <v/>
      </c>
      <c r="M33" s="268" t="str">
        <f t="shared" si="9"/>
        <v/>
      </c>
      <c r="N33" s="234" t="str">
        <f t="shared" si="9"/>
        <v/>
      </c>
      <c r="O33" s="270" t="str">
        <f t="shared" si="9"/>
        <v/>
      </c>
      <c r="P33" s="234">
        <f t="shared" si="11"/>
        <v>2051</v>
      </c>
      <c r="Q33" s="533">
        <v>1.75</v>
      </c>
      <c r="U33" s="5"/>
      <c r="V33" s="461"/>
      <c r="W33" s="461"/>
      <c r="X33" s="461"/>
      <c r="Y33" s="461"/>
      <c r="Z33" s="461"/>
      <c r="AA33" s="461"/>
    </row>
    <row r="34" spans="2:27" ht="18.5" x14ac:dyDescent="0.45">
      <c r="C34" s="267" t="s">
        <v>228</v>
      </c>
      <c r="D34" s="268">
        <f t="shared" si="10"/>
        <v>485.09999999999997</v>
      </c>
      <c r="E34" s="234">
        <f t="shared" si="9"/>
        <v>485.09999999999997</v>
      </c>
      <c r="F34" s="269">
        <f t="shared" si="9"/>
        <v>481.79999999999995</v>
      </c>
      <c r="G34" s="268">
        <f t="shared" si="9"/>
        <v>481.79999999999995</v>
      </c>
      <c r="H34" s="234">
        <f t="shared" si="9"/>
        <v>481.79999999999995</v>
      </c>
      <c r="I34" s="269">
        <f t="shared" si="9"/>
        <v>481.79999999999995</v>
      </c>
      <c r="J34" s="234">
        <f t="shared" si="9"/>
        <v>485.09999999999997</v>
      </c>
      <c r="K34" s="234">
        <f t="shared" si="9"/>
        <v>485.09999999999997</v>
      </c>
      <c r="L34" s="234" t="str">
        <f t="shared" si="9"/>
        <v/>
      </c>
      <c r="M34" s="268" t="str">
        <f t="shared" si="9"/>
        <v/>
      </c>
      <c r="N34" s="234" t="str">
        <f t="shared" si="9"/>
        <v/>
      </c>
      <c r="O34" s="270" t="str">
        <f t="shared" si="9"/>
        <v/>
      </c>
      <c r="P34" s="234">
        <f t="shared" si="11"/>
        <v>3867.5999999999995</v>
      </c>
      <c r="Q34" s="533">
        <v>3.3</v>
      </c>
      <c r="U34" s="459"/>
      <c r="V34" s="461"/>
      <c r="W34" s="461"/>
      <c r="X34" s="461"/>
      <c r="Y34" s="461"/>
      <c r="Z34" s="461"/>
      <c r="AA34" s="461"/>
    </row>
    <row r="35" spans="2:27" ht="18.5" x14ac:dyDescent="0.45">
      <c r="C35" s="267" t="s">
        <v>202</v>
      </c>
      <c r="D35" s="268">
        <f t="shared" si="10"/>
        <v>582.12</v>
      </c>
      <c r="E35" s="234">
        <f t="shared" si="9"/>
        <v>582.12</v>
      </c>
      <c r="F35" s="269">
        <f t="shared" si="9"/>
        <v>578.16</v>
      </c>
      <c r="G35" s="268">
        <f t="shared" si="9"/>
        <v>578.16</v>
      </c>
      <c r="H35" s="234">
        <f t="shared" si="9"/>
        <v>578.16</v>
      </c>
      <c r="I35" s="269">
        <f t="shared" si="9"/>
        <v>578.16</v>
      </c>
      <c r="J35" s="234">
        <f t="shared" si="9"/>
        <v>582.12</v>
      </c>
      <c r="K35" s="234">
        <f t="shared" si="9"/>
        <v>582.12</v>
      </c>
      <c r="L35" s="234" t="str">
        <f t="shared" si="9"/>
        <v/>
      </c>
      <c r="M35" s="268" t="str">
        <f t="shared" si="9"/>
        <v/>
      </c>
      <c r="N35" s="234" t="str">
        <f t="shared" si="9"/>
        <v/>
      </c>
      <c r="O35" s="270" t="str">
        <f t="shared" si="9"/>
        <v/>
      </c>
      <c r="P35" s="234">
        <f t="shared" si="11"/>
        <v>4641.12</v>
      </c>
      <c r="Q35" s="533">
        <v>3.96</v>
      </c>
      <c r="U35" s="5"/>
      <c r="V35" s="461"/>
      <c r="W35" s="461"/>
      <c r="X35" s="461"/>
      <c r="Y35" s="461"/>
      <c r="Z35" s="461"/>
      <c r="AA35" s="461"/>
    </row>
    <row r="36" spans="2:27" ht="18.5" x14ac:dyDescent="0.45">
      <c r="C36" s="272" t="s">
        <v>203</v>
      </c>
      <c r="D36" s="273">
        <f t="shared" ref="D36:P36" si="12">IF(D$8="","",SUM(D28:D35))</f>
        <v>8049.21</v>
      </c>
      <c r="E36" s="274">
        <f t="shared" si="12"/>
        <v>8050.6500000000005</v>
      </c>
      <c r="F36" s="275">
        <f t="shared" si="12"/>
        <v>7993.18</v>
      </c>
      <c r="G36" s="273">
        <f t="shared" si="12"/>
        <v>7993.18</v>
      </c>
      <c r="H36" s="274">
        <f t="shared" si="12"/>
        <v>7993.18</v>
      </c>
      <c r="I36" s="275">
        <f t="shared" si="12"/>
        <v>7993.18</v>
      </c>
      <c r="J36" s="274">
        <f t="shared" si="12"/>
        <v>8047.77</v>
      </c>
      <c r="K36" s="274">
        <f t="shared" si="12"/>
        <v>8050.6500000000005</v>
      </c>
      <c r="L36" s="274" t="str">
        <f t="shared" si="12"/>
        <v/>
      </c>
      <c r="M36" s="273" t="str">
        <f t="shared" si="12"/>
        <v/>
      </c>
      <c r="N36" s="274" t="str">
        <f t="shared" si="12"/>
        <v/>
      </c>
      <c r="O36" s="276" t="str">
        <f t="shared" si="12"/>
        <v/>
      </c>
      <c r="P36" s="274">
        <f t="shared" si="12"/>
        <v>64171.000000000007</v>
      </c>
      <c r="Q36" s="533"/>
      <c r="U36" s="5"/>
      <c r="V36" s="461"/>
      <c r="W36" s="461"/>
      <c r="X36" s="461"/>
      <c r="Y36" s="461"/>
      <c r="Z36" s="461"/>
      <c r="AA36" s="461"/>
    </row>
    <row r="37" spans="2:27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  <c r="U37" s="5"/>
      <c r="V37" s="461"/>
      <c r="W37" s="461"/>
      <c r="X37" s="461"/>
      <c r="Y37" s="461"/>
      <c r="Z37" s="461"/>
      <c r="AA37" s="461"/>
    </row>
    <row r="38" spans="2:27" ht="18.5" x14ac:dyDescent="0.45">
      <c r="C38" s="267" t="s">
        <v>362</v>
      </c>
      <c r="D38" s="268">
        <f>IF(D$8="","",D$8*$Q38)</f>
        <v>14519.189999999999</v>
      </c>
      <c r="E38" s="234">
        <f t="shared" ref="E38:O41" si="13">IF(E$8="","",E$8*$Q38)</f>
        <v>14519.189999999999</v>
      </c>
      <c r="F38" s="269">
        <f t="shared" si="13"/>
        <v>14420.42</v>
      </c>
      <c r="G38" s="268">
        <f t="shared" si="13"/>
        <v>14420.42</v>
      </c>
      <c r="H38" s="234">
        <f t="shared" si="13"/>
        <v>14420.42</v>
      </c>
      <c r="I38" s="269">
        <f t="shared" si="13"/>
        <v>14420.42</v>
      </c>
      <c r="J38" s="234">
        <f t="shared" si="13"/>
        <v>14519.189999999999</v>
      </c>
      <c r="K38" s="234">
        <f t="shared" si="13"/>
        <v>14519.189999999999</v>
      </c>
      <c r="L38" s="234" t="str">
        <f t="shared" si="13"/>
        <v/>
      </c>
      <c r="M38" s="268" t="str">
        <f t="shared" si="13"/>
        <v/>
      </c>
      <c r="N38" s="234" t="str">
        <f t="shared" si="13"/>
        <v/>
      </c>
      <c r="O38" s="270" t="str">
        <f t="shared" si="13"/>
        <v/>
      </c>
      <c r="P38" s="234">
        <f>SUM(D38:O38)</f>
        <v>115758.44</v>
      </c>
      <c r="Q38" s="533">
        <v>98.77</v>
      </c>
      <c r="U38" s="5"/>
      <c r="V38" s="461"/>
      <c r="W38" s="461"/>
      <c r="X38" s="461"/>
      <c r="Y38" s="461"/>
      <c r="Z38" s="461"/>
      <c r="AA38" s="461"/>
    </row>
    <row r="39" spans="2:27" ht="18.5" x14ac:dyDescent="0.45">
      <c r="C39" s="267" t="s">
        <v>205</v>
      </c>
      <c r="D39" s="268">
        <f t="shared" ref="D39:D41" si="14">IF(D$8="","",D$8*$Q39)</f>
        <v>57701.909999999996</v>
      </c>
      <c r="E39" s="234">
        <f t="shared" si="13"/>
        <v>57701.909999999996</v>
      </c>
      <c r="F39" s="269">
        <f t="shared" si="13"/>
        <v>57309.38</v>
      </c>
      <c r="G39" s="268">
        <f t="shared" si="13"/>
        <v>57309.38</v>
      </c>
      <c r="H39" s="234">
        <f t="shared" si="13"/>
        <v>57309.38</v>
      </c>
      <c r="I39" s="269">
        <f t="shared" ref="I39:O39" si="15">IF(I$8="","",I$8*$R39)</f>
        <v>28109.379999999997</v>
      </c>
      <c r="J39" s="234">
        <f t="shared" si="15"/>
        <v>28301.909999999996</v>
      </c>
      <c r="K39" s="234">
        <f t="shared" si="15"/>
        <v>28301.909999999996</v>
      </c>
      <c r="L39" s="234" t="str">
        <f t="shared" si="15"/>
        <v/>
      </c>
      <c r="M39" s="268" t="str">
        <f t="shared" si="15"/>
        <v/>
      </c>
      <c r="N39" s="234" t="str">
        <f t="shared" si="15"/>
        <v/>
      </c>
      <c r="O39" s="270" t="str">
        <f t="shared" si="15"/>
        <v/>
      </c>
      <c r="P39" s="234">
        <f t="shared" ref="P39:P41" si="16">SUM(D39:O39)</f>
        <v>372045.15999999992</v>
      </c>
      <c r="Q39" s="533">
        <v>392.53</v>
      </c>
      <c r="R39" s="11">
        <f>Q39-200</f>
        <v>192.52999999999997</v>
      </c>
      <c r="U39" s="5"/>
      <c r="V39" s="461"/>
      <c r="W39" s="461"/>
      <c r="X39" s="461"/>
      <c r="Y39" s="461"/>
      <c r="Z39" s="461"/>
      <c r="AA39" s="461"/>
    </row>
    <row r="40" spans="2:27" ht="18.5" x14ac:dyDescent="0.45">
      <c r="C40" s="267" t="s">
        <v>322</v>
      </c>
      <c r="D40" s="268">
        <f t="shared" ref="D40:O40" si="17">IF(D$8="","",D$8*$Q40)</f>
        <v>588</v>
      </c>
      <c r="E40" s="234">
        <f t="shared" si="17"/>
        <v>588</v>
      </c>
      <c r="F40" s="269">
        <f t="shared" si="17"/>
        <v>584</v>
      </c>
      <c r="G40" s="234">
        <f t="shared" si="17"/>
        <v>584</v>
      </c>
      <c r="H40" s="234">
        <f t="shared" si="17"/>
        <v>584</v>
      </c>
      <c r="I40" s="269">
        <f t="shared" si="17"/>
        <v>584</v>
      </c>
      <c r="J40" s="234">
        <f t="shared" si="17"/>
        <v>588</v>
      </c>
      <c r="K40" s="234">
        <f t="shared" si="17"/>
        <v>588</v>
      </c>
      <c r="L40" s="234" t="str">
        <f t="shared" si="17"/>
        <v/>
      </c>
      <c r="M40" s="268" t="str">
        <f t="shared" si="17"/>
        <v/>
      </c>
      <c r="N40" s="234" t="str">
        <f t="shared" si="17"/>
        <v/>
      </c>
      <c r="O40" s="270" t="str">
        <f t="shared" si="17"/>
        <v/>
      </c>
      <c r="P40" s="234">
        <f>SUM(D40:O40)</f>
        <v>4688</v>
      </c>
      <c r="Q40" s="533">
        <v>4</v>
      </c>
      <c r="U40" s="13"/>
      <c r="V40" s="13"/>
      <c r="W40" s="13"/>
      <c r="X40" s="13"/>
      <c r="Y40" s="13"/>
      <c r="Z40" s="13"/>
      <c r="AA40" s="13"/>
    </row>
    <row r="41" spans="2:27" ht="18.5" x14ac:dyDescent="0.45">
      <c r="C41" s="267" t="s">
        <v>206</v>
      </c>
      <c r="D41" s="268">
        <f t="shared" si="14"/>
        <v>423.35999999999996</v>
      </c>
      <c r="E41" s="234">
        <f t="shared" si="13"/>
        <v>423.35999999999996</v>
      </c>
      <c r="F41" s="269">
        <f t="shared" si="13"/>
        <v>420.47999999999996</v>
      </c>
      <c r="G41" s="268">
        <f t="shared" si="13"/>
        <v>420.47999999999996</v>
      </c>
      <c r="H41" s="234">
        <f t="shared" si="13"/>
        <v>420.47999999999996</v>
      </c>
      <c r="I41" s="269">
        <f t="shared" si="13"/>
        <v>420.47999999999996</v>
      </c>
      <c r="J41" s="234">
        <f t="shared" si="13"/>
        <v>423.35999999999996</v>
      </c>
      <c r="K41" s="234">
        <f t="shared" si="13"/>
        <v>423.35999999999996</v>
      </c>
      <c r="L41" s="234" t="str">
        <f t="shared" si="13"/>
        <v/>
      </c>
      <c r="M41" s="268" t="str">
        <f t="shared" si="13"/>
        <v/>
      </c>
      <c r="N41" s="234" t="str">
        <f t="shared" si="13"/>
        <v/>
      </c>
      <c r="O41" s="270" t="str">
        <f t="shared" si="13"/>
        <v/>
      </c>
      <c r="P41" s="234">
        <f t="shared" si="16"/>
        <v>3375.36</v>
      </c>
      <c r="Q41" s="533">
        <v>2.88</v>
      </c>
    </row>
    <row r="42" spans="2:27" ht="18.5" x14ac:dyDescent="0.45">
      <c r="C42" s="272" t="s">
        <v>207</v>
      </c>
      <c r="D42" s="273">
        <f t="shared" ref="D42:P42" si="18">IF(D$8="","",SUM(D38:D41))</f>
        <v>73232.459999999992</v>
      </c>
      <c r="E42" s="274">
        <f t="shared" si="18"/>
        <v>73232.459999999992</v>
      </c>
      <c r="F42" s="275">
        <f t="shared" si="18"/>
        <v>72734.28</v>
      </c>
      <c r="G42" s="273">
        <f t="shared" si="18"/>
        <v>72734.28</v>
      </c>
      <c r="H42" s="274">
        <f t="shared" si="18"/>
        <v>72734.28</v>
      </c>
      <c r="I42" s="275">
        <f t="shared" si="18"/>
        <v>43534.28</v>
      </c>
      <c r="J42" s="274">
        <f t="shared" si="18"/>
        <v>43832.459999999992</v>
      </c>
      <c r="K42" s="274">
        <f t="shared" si="18"/>
        <v>43832.459999999992</v>
      </c>
      <c r="L42" s="274" t="str">
        <f t="shared" si="18"/>
        <v/>
      </c>
      <c r="M42" s="273" t="str">
        <f t="shared" si="18"/>
        <v/>
      </c>
      <c r="N42" s="274" t="str">
        <f t="shared" si="18"/>
        <v/>
      </c>
      <c r="O42" s="276" t="str">
        <f t="shared" si="18"/>
        <v/>
      </c>
      <c r="P42" s="274">
        <f t="shared" si="18"/>
        <v>495866.9599999999</v>
      </c>
      <c r="Q42" s="303"/>
    </row>
    <row r="43" spans="2:27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271"/>
    </row>
    <row r="44" spans="2:27" ht="18.5" x14ac:dyDescent="0.45">
      <c r="B44" s="213" t="s">
        <v>191</v>
      </c>
      <c r="C44" s="267" t="s">
        <v>209</v>
      </c>
      <c r="D44" s="268">
        <f t="shared" ref="D44:O48" si="19">IF(D$8="","",0)</f>
        <v>0</v>
      </c>
      <c r="E44" s="234">
        <f t="shared" si="19"/>
        <v>0</v>
      </c>
      <c r="F44" s="234">
        <f t="shared" si="19"/>
        <v>0</v>
      </c>
      <c r="G44" s="268">
        <f>416.5/19</f>
        <v>21.921052631578949</v>
      </c>
      <c r="H44" s="234">
        <f t="shared" si="19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19"/>
        <v/>
      </c>
      <c r="M44" s="268" t="str">
        <f t="shared" si="19"/>
        <v/>
      </c>
      <c r="N44" s="234" t="str">
        <f t="shared" si="19"/>
        <v/>
      </c>
      <c r="O44" s="234" t="str">
        <f t="shared" si="19"/>
        <v/>
      </c>
      <c r="P44" s="474">
        <f>SUM(D44:O44)</f>
        <v>121.70789473684209</v>
      </c>
      <c r="Q44" s="244"/>
    </row>
    <row r="45" spans="2:27" ht="18.5" x14ac:dyDescent="0.45">
      <c r="B45" s="213" t="s">
        <v>191</v>
      </c>
      <c r="C45" s="267" t="s">
        <v>210</v>
      </c>
      <c r="D45" s="268">
        <f t="shared" si="19"/>
        <v>0</v>
      </c>
      <c r="E45" s="234">
        <f t="shared" si="19"/>
        <v>0</v>
      </c>
      <c r="F45" s="269">
        <f t="shared" si="19"/>
        <v>0</v>
      </c>
      <c r="G45" s="268">
        <f t="shared" si="19"/>
        <v>0</v>
      </c>
      <c r="H45" s="234">
        <f>15600/19</f>
        <v>821.0526315789474</v>
      </c>
      <c r="I45" s="234">
        <f t="shared" si="19"/>
        <v>0</v>
      </c>
      <c r="J45" s="268">
        <f t="shared" si="19"/>
        <v>0</v>
      </c>
      <c r="K45" s="234">
        <f t="shared" si="19"/>
        <v>0</v>
      </c>
      <c r="L45" s="234" t="str">
        <f t="shared" si="19"/>
        <v/>
      </c>
      <c r="M45" s="268" t="str">
        <f t="shared" si="19"/>
        <v/>
      </c>
      <c r="N45" s="234" t="str">
        <f t="shared" si="19"/>
        <v/>
      </c>
      <c r="O45" s="234" t="str">
        <f t="shared" si="19"/>
        <v/>
      </c>
      <c r="P45" s="474">
        <f t="shared" ref="P45:P48" si="20">SUM(D45:O45)</f>
        <v>821.0526315789474</v>
      </c>
      <c r="Q45" s="246"/>
    </row>
    <row r="46" spans="2:27" ht="18.5" x14ac:dyDescent="0.45">
      <c r="B46" s="213" t="s">
        <v>191</v>
      </c>
      <c r="C46" s="267" t="s">
        <v>297</v>
      </c>
      <c r="D46" s="268">
        <f t="shared" si="19"/>
        <v>0</v>
      </c>
      <c r="E46" s="234">
        <f t="shared" si="19"/>
        <v>0</v>
      </c>
      <c r="F46" s="269">
        <f t="shared" si="19"/>
        <v>0</v>
      </c>
      <c r="G46" s="268">
        <f t="shared" si="19"/>
        <v>0</v>
      </c>
      <c r="H46" s="234">
        <f t="shared" si="19"/>
        <v>0</v>
      </c>
      <c r="I46" s="234">
        <f t="shared" si="19"/>
        <v>0</v>
      </c>
      <c r="J46" s="268">
        <f t="shared" si="19"/>
        <v>0</v>
      </c>
      <c r="K46" s="234">
        <f t="shared" si="19"/>
        <v>0</v>
      </c>
      <c r="L46" s="234" t="str">
        <f t="shared" si="19"/>
        <v/>
      </c>
      <c r="M46" s="268" t="str">
        <f t="shared" si="19"/>
        <v/>
      </c>
      <c r="N46" s="234" t="str">
        <f t="shared" si="19"/>
        <v/>
      </c>
      <c r="O46" s="234" t="str">
        <f t="shared" si="19"/>
        <v/>
      </c>
      <c r="P46" s="474">
        <f t="shared" si="20"/>
        <v>0</v>
      </c>
      <c r="Q46" s="244"/>
    </row>
    <row r="47" spans="2:27" ht="18.5" x14ac:dyDescent="0.45">
      <c r="B47" s="213" t="s">
        <v>191</v>
      </c>
      <c r="C47" s="267" t="s">
        <v>214</v>
      </c>
      <c r="D47" s="268">
        <f t="shared" si="19"/>
        <v>0</v>
      </c>
      <c r="E47" s="234">
        <f t="shared" si="19"/>
        <v>0</v>
      </c>
      <c r="F47" s="234">
        <f t="shared" si="19"/>
        <v>0</v>
      </c>
      <c r="G47" s="268">
        <f t="shared" si="19"/>
        <v>0</v>
      </c>
      <c r="H47" s="234">
        <f t="shared" si="19"/>
        <v>0</v>
      </c>
      <c r="I47" s="234">
        <f t="shared" si="19"/>
        <v>0</v>
      </c>
      <c r="J47" s="268">
        <f t="shared" si="19"/>
        <v>0</v>
      </c>
      <c r="K47" s="234">
        <f t="shared" si="19"/>
        <v>0</v>
      </c>
      <c r="L47" s="234" t="str">
        <f t="shared" si="19"/>
        <v/>
      </c>
      <c r="M47" s="268" t="str">
        <f t="shared" si="19"/>
        <v/>
      </c>
      <c r="N47" s="234" t="str">
        <f t="shared" si="19"/>
        <v/>
      </c>
      <c r="O47" s="270" t="str">
        <f t="shared" si="19"/>
        <v/>
      </c>
      <c r="P47" s="234">
        <f t="shared" si="20"/>
        <v>0</v>
      </c>
      <c r="Q47" s="244"/>
    </row>
    <row r="48" spans="2:27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19"/>
        <v>0</v>
      </c>
      <c r="F48" s="456">
        <f t="shared" si="19"/>
        <v>0</v>
      </c>
      <c r="G48" s="458">
        <f t="shared" si="19"/>
        <v>0</v>
      </c>
      <c r="H48" s="234">
        <f t="shared" si="19"/>
        <v>0</v>
      </c>
      <c r="I48" s="456">
        <f t="shared" si="19"/>
        <v>0</v>
      </c>
      <c r="J48" s="268">
        <f t="shared" si="19"/>
        <v>0</v>
      </c>
      <c r="K48" s="457">
        <f t="shared" si="19"/>
        <v>0</v>
      </c>
      <c r="L48" s="456" t="str">
        <f t="shared" si="19"/>
        <v/>
      </c>
      <c r="M48" s="458" t="str">
        <f t="shared" si="19"/>
        <v/>
      </c>
      <c r="N48" s="234" t="str">
        <f t="shared" si="19"/>
        <v/>
      </c>
      <c r="O48" s="525" t="str">
        <f t="shared" si="19"/>
        <v/>
      </c>
      <c r="P48" s="475">
        <f t="shared" si="20"/>
        <v>0</v>
      </c>
      <c r="Q48" s="244"/>
    </row>
    <row r="49" spans="2:27" ht="18.5" x14ac:dyDescent="0.45">
      <c r="C49" s="272" t="s">
        <v>229</v>
      </c>
      <c r="D49" s="273">
        <f t="shared" ref="D49:P49" si="21">IF(D$8="","",SUM(D44:D48))</f>
        <v>0</v>
      </c>
      <c r="E49" s="274">
        <f t="shared" si="21"/>
        <v>0</v>
      </c>
      <c r="F49" s="275">
        <f t="shared" si="21"/>
        <v>0</v>
      </c>
      <c r="G49" s="273">
        <f t="shared" si="21"/>
        <v>21.921052631578949</v>
      </c>
      <c r="H49" s="274">
        <f t="shared" si="21"/>
        <v>821.0526315789474</v>
      </c>
      <c r="I49" s="275">
        <f t="shared" si="21"/>
        <v>12.102631578947367</v>
      </c>
      <c r="J49" s="274">
        <f t="shared" si="21"/>
        <v>31.315789473684209</v>
      </c>
      <c r="K49" s="274">
        <f t="shared" si="21"/>
        <v>56.368421052631582</v>
      </c>
      <c r="L49" s="274" t="str">
        <f t="shared" si="21"/>
        <v/>
      </c>
      <c r="M49" s="273" t="str">
        <f t="shared" si="21"/>
        <v/>
      </c>
      <c r="N49" s="274" t="str">
        <f t="shared" si="21"/>
        <v/>
      </c>
      <c r="O49" s="276" t="str">
        <f t="shared" si="21"/>
        <v/>
      </c>
      <c r="P49" s="557">
        <f t="shared" si="21"/>
        <v>942.76052631578955</v>
      </c>
      <c r="Q49" s="244"/>
    </row>
    <row r="50" spans="2:27" ht="23.5" x14ac:dyDescent="0.55000000000000004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  <c r="U50" s="468"/>
    </row>
    <row r="51" spans="2:27" s="13" customFormat="1" ht="25" customHeight="1" x14ac:dyDescent="0.35">
      <c r="C51" s="287" t="s">
        <v>237</v>
      </c>
      <c r="D51" s="288">
        <f>IF(D8="","",D14-SUM(D26,D36,D42,D49))</f>
        <v>-278322.76000000013</v>
      </c>
      <c r="E51" s="289">
        <f>IF(E8="","",E14-SUM(E26,E36,E42,E49))</f>
        <v>-102420.06000000003</v>
      </c>
      <c r="F51" s="290">
        <f>IF(F8="","",F14-SUM(F26,F36,F42,F49))</f>
        <v>-59184.220000000059</v>
      </c>
      <c r="G51" s="288">
        <f>IF(G8="","",G14-SUM(G26,G36,G42,G49))</f>
        <v>1813.1089473685133</v>
      </c>
      <c r="H51" s="289">
        <f>IF(H8="","",H14-SUM(H26,H36,H42,H49))</f>
        <v>-92067.002631578973</v>
      </c>
      <c r="I51" s="290">
        <f>IF(I8="","",I14-SUM(I26,I36,I42,I49))</f>
        <v>91987.267368421104</v>
      </c>
      <c r="J51" s="289">
        <f>IF(J8="","",J14-SUM(J26,J36,J42,J49))</f>
        <v>-259472.24578947373</v>
      </c>
      <c r="K51" s="289">
        <f>IF(K8="","",K14-SUM(K26,K36,K42,K49))</f>
        <v>192137.46157894732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-505528.45052631595</v>
      </c>
      <c r="Q51" s="293"/>
      <c r="U51"/>
      <c r="V51"/>
      <c r="W51"/>
      <c r="X51"/>
      <c r="Y51"/>
      <c r="Z51"/>
      <c r="AA51"/>
    </row>
    <row r="52" spans="2:2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196441.51</v>
      </c>
      <c r="Q52" s="244"/>
      <c r="U52" s="13"/>
    </row>
    <row r="53" spans="2:2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-309086.94052631594</v>
      </c>
      <c r="Q53" s="244"/>
    </row>
    <row r="54" spans="2:2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2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  <c r="U55"/>
      <c r="V55"/>
      <c r="W55"/>
      <c r="X55"/>
      <c r="Y55"/>
      <c r="Z55"/>
      <c r="AA55"/>
    </row>
    <row r="56" spans="2:27" ht="18.5" x14ac:dyDescent="0.45">
      <c r="C56" s="267" t="s">
        <v>232</v>
      </c>
      <c r="D56" s="268">
        <f>IF(D12="","",-D12)</f>
        <v>0</v>
      </c>
      <c r="E56" s="234">
        <f>IF(E12="","",-E12)</f>
        <v>0</v>
      </c>
      <c r="F56" s="269">
        <f>IF(F12="","",-F12)</f>
        <v>0</v>
      </c>
      <c r="G56" s="268">
        <f>IF(G12="","",-G12)</f>
        <v>0</v>
      </c>
      <c r="H56" s="234">
        <f>IF(H12="","",-H12)</f>
        <v>0</v>
      </c>
      <c r="I56" s="269">
        <f>IF(I12="","",-I12)</f>
        <v>0</v>
      </c>
      <c r="J56" s="234">
        <f>IF(J12="","",-J12)</f>
        <v>0</v>
      </c>
      <c r="K56" s="234">
        <f>IF(K12="","",-K12)</f>
        <v>0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0</v>
      </c>
      <c r="Q56" s="244"/>
    </row>
    <row r="57" spans="2:27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2">IF(E$8="","",0)</f>
        <v>0</v>
      </c>
      <c r="F57" s="269">
        <f t="shared" si="22"/>
        <v>0</v>
      </c>
      <c r="G57" s="268">
        <f t="shared" si="22"/>
        <v>0</v>
      </c>
      <c r="H57" s="234">
        <f t="shared" si="22"/>
        <v>0</v>
      </c>
      <c r="I57" s="269">
        <f t="shared" si="22"/>
        <v>0</v>
      </c>
      <c r="J57" s="234">
        <f t="shared" si="22"/>
        <v>0</v>
      </c>
      <c r="K57" s="234">
        <f t="shared" si="22"/>
        <v>0</v>
      </c>
      <c r="L57" s="234" t="str">
        <f t="shared" si="22"/>
        <v/>
      </c>
      <c r="M57" s="268" t="str">
        <f t="shared" si="22"/>
        <v/>
      </c>
      <c r="N57" s="234" t="str">
        <f t="shared" si="22"/>
        <v/>
      </c>
      <c r="O57" s="270" t="str">
        <f t="shared" si="22"/>
        <v/>
      </c>
      <c r="P57" s="234">
        <f>SUM(D57:O57)</f>
        <v>0</v>
      </c>
      <c r="Q57" s="244"/>
    </row>
    <row r="58" spans="2:27" ht="18.5" x14ac:dyDescent="0.45">
      <c r="C58" s="296" t="s">
        <v>234</v>
      </c>
      <c r="D58" s="297">
        <f>IF(D$8="","",SUM(D56:D57))</f>
        <v>0</v>
      </c>
      <c r="E58" s="298">
        <f t="shared" ref="E58:O58" si="23">IF(E$8="","",SUM(E56:E57))</f>
        <v>0</v>
      </c>
      <c r="F58" s="299">
        <f t="shared" si="23"/>
        <v>0</v>
      </c>
      <c r="G58" s="297">
        <f t="shared" si="23"/>
        <v>0</v>
      </c>
      <c r="H58" s="298">
        <f t="shared" si="23"/>
        <v>0</v>
      </c>
      <c r="I58" s="299">
        <f t="shared" si="23"/>
        <v>0</v>
      </c>
      <c r="J58" s="298">
        <f t="shared" si="23"/>
        <v>0</v>
      </c>
      <c r="K58" s="298">
        <f t="shared" si="23"/>
        <v>0</v>
      </c>
      <c r="L58" s="298" t="str">
        <f t="shared" si="23"/>
        <v/>
      </c>
      <c r="M58" s="297" t="str">
        <f t="shared" si="23"/>
        <v/>
      </c>
      <c r="N58" s="298" t="str">
        <f t="shared" si="23"/>
        <v/>
      </c>
      <c r="O58" s="300" t="str">
        <f t="shared" si="23"/>
        <v/>
      </c>
      <c r="P58" s="298">
        <f>SUM(P56:P57)</f>
        <v>0</v>
      </c>
      <c r="Q58" s="244"/>
    </row>
    <row r="59" spans="2:2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0</v>
      </c>
      <c r="Q59" s="244"/>
    </row>
    <row r="60" spans="2:2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0</v>
      </c>
      <c r="Q60" s="244"/>
    </row>
    <row r="62" spans="2:27" x14ac:dyDescent="0.35">
      <c r="G62" t="s">
        <v>327</v>
      </c>
    </row>
    <row r="63" spans="2:27" x14ac:dyDescent="0.35">
      <c r="P63" s="524"/>
    </row>
    <row r="65" spans="3:21" ht="23.5" x14ac:dyDescent="0.55000000000000004">
      <c r="C65" s="244"/>
      <c r="D65" s="663" t="s">
        <v>338</v>
      </c>
      <c r="E65" s="663"/>
      <c r="F65" s="663"/>
      <c r="G65" s="463"/>
      <c r="H65" s="463"/>
      <c r="I65" s="463"/>
      <c r="J65" s="463"/>
      <c r="K65" s="463"/>
      <c r="L65" s="463"/>
      <c r="M65" s="463"/>
      <c r="N65" s="463"/>
      <c r="O65" s="463"/>
      <c r="P65" s="463"/>
      <c r="Q65" s="463"/>
      <c r="R65" s="463"/>
      <c r="S65" s="463"/>
      <c r="T65" s="463"/>
    </row>
    <row r="66" spans="3:21" ht="18.5" x14ac:dyDescent="0.45">
      <c r="C66" s="244"/>
      <c r="D66" s="651"/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464"/>
      <c r="M66" s="465"/>
      <c r="N66" s="465"/>
      <c r="O66" s="465"/>
      <c r="P66" s="465"/>
      <c r="Q66" s="465"/>
      <c r="R66" s="465"/>
      <c r="S66" s="465"/>
      <c r="T66" s="465"/>
      <c r="U66" s="466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168655.02</v>
      </c>
      <c r="E68" s="246">
        <v>151284.71</v>
      </c>
      <c r="F68" s="246">
        <v>127007.43</v>
      </c>
      <c r="G68" s="246">
        <v>71629.399999999994</v>
      </c>
      <c r="H68" s="246">
        <v>0</v>
      </c>
      <c r="I68" s="308">
        <v>-8703.7000000000007</v>
      </c>
      <c r="J68" s="309">
        <f>SUM(D68:I68)</f>
        <v>509872.85999999993</v>
      </c>
      <c r="K68" s="310">
        <v>147</v>
      </c>
      <c r="L68" s="307">
        <f>1.93+17.68+181.34</f>
        <v>200.95</v>
      </c>
      <c r="M68" s="246">
        <v>0</v>
      </c>
      <c r="N68" s="246">
        <v>0</v>
      </c>
      <c r="O68" s="246">
        <f>120+110+1540</f>
        <v>1770</v>
      </c>
      <c r="P68" s="246">
        <f>1877.51</f>
        <v>1877.51</v>
      </c>
      <c r="Q68" s="246">
        <v>0</v>
      </c>
      <c r="R68" s="246">
        <v>0</v>
      </c>
      <c r="S68" s="246">
        <v>0</v>
      </c>
      <c r="T68" s="246">
        <v>0</v>
      </c>
      <c r="U68" s="323">
        <v>-150</v>
      </c>
    </row>
    <row r="69" spans="3:21" ht="18.5" x14ac:dyDescent="0.45">
      <c r="C69" s="306" t="str">
        <f>Addendum!E11</f>
        <v>August</v>
      </c>
      <c r="D69" s="307">
        <v>44147.32</v>
      </c>
      <c r="E69" s="246">
        <v>72607.789999999994</v>
      </c>
      <c r="F69" s="246">
        <v>144728.53</v>
      </c>
      <c r="G69" s="246">
        <v>107234.17</v>
      </c>
      <c r="H69" s="246">
        <v>52382.33</v>
      </c>
      <c r="I69" s="308">
        <v>-8702.2199999999993</v>
      </c>
      <c r="J69" s="309">
        <f t="shared" ref="J69:J79" si="24">SUM(D69:I69)</f>
        <v>412397.92000000004</v>
      </c>
      <c r="K69" s="311">
        <v>147</v>
      </c>
      <c r="L69" s="307">
        <f>62.14+65.69+8.75+23.1+512.23</f>
        <v>671.91</v>
      </c>
      <c r="M69" s="246">
        <v>0</v>
      </c>
      <c r="N69" s="246">
        <v>0</v>
      </c>
      <c r="O69" s="246">
        <f>180+880+1210</f>
        <v>2270</v>
      </c>
      <c r="P69" s="246">
        <f>600</f>
        <v>600</v>
      </c>
      <c r="Q69" s="246">
        <f>128.2</f>
        <v>128.19999999999999</v>
      </c>
      <c r="R69" s="246">
        <v>0</v>
      </c>
      <c r="S69" s="246">
        <v>0</v>
      </c>
      <c r="T69" s="246">
        <v>0</v>
      </c>
      <c r="U69" s="323">
        <v>-29576.51</v>
      </c>
    </row>
    <row r="70" spans="3:21" ht="18.5" x14ac:dyDescent="0.45">
      <c r="C70" s="306" t="str">
        <f>Addendum!E12</f>
        <v>September</v>
      </c>
      <c r="D70" s="307">
        <v>69962.539999999994</v>
      </c>
      <c r="E70" s="246">
        <v>136387.06</v>
      </c>
      <c r="F70" s="246">
        <v>201126.33</v>
      </c>
      <c r="G70" s="246">
        <v>85358.22</v>
      </c>
      <c r="H70" s="246">
        <v>0</v>
      </c>
      <c r="I70" s="308">
        <v>-8645.7999999999993</v>
      </c>
      <c r="J70" s="309">
        <f>SUM(D70:I70)</f>
        <v>484188.34999999992</v>
      </c>
      <c r="K70" s="311">
        <v>146</v>
      </c>
      <c r="L70" s="307">
        <f>-10.25+1233.87+402.15</f>
        <v>1625.77</v>
      </c>
      <c r="M70" s="246">
        <v>0</v>
      </c>
      <c r="N70" s="246">
        <v>0</v>
      </c>
      <c r="O70" s="246">
        <f>120+220+1320</f>
        <v>1660</v>
      </c>
      <c r="P70" s="246">
        <f>535.59</f>
        <v>535.59</v>
      </c>
      <c r="Q70" s="246">
        <v>0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98490.18</v>
      </c>
      <c r="E71" s="246">
        <v>53336.97</v>
      </c>
      <c r="F71" s="246">
        <v>52759.93</v>
      </c>
      <c r="G71" s="246">
        <v>57972.24</v>
      </c>
      <c r="H71" s="246">
        <v>0</v>
      </c>
      <c r="I71" s="308">
        <v>-8645.7999999999993</v>
      </c>
      <c r="J71" s="309">
        <f t="shared" si="24"/>
        <v>253913.52000000002</v>
      </c>
      <c r="K71" s="311">
        <v>146</v>
      </c>
      <c r="L71" s="307">
        <f>11.31+338.24+33.61-368.17</f>
        <v>14.990000000000009</v>
      </c>
      <c r="M71" s="246">
        <f>417.49</f>
        <v>417.49</v>
      </c>
      <c r="N71" s="246">
        <v>0</v>
      </c>
      <c r="O71" s="246">
        <f>180+1210+440</f>
        <v>1830</v>
      </c>
      <c r="P71" s="246">
        <v>0</v>
      </c>
      <c r="Q71" s="246">
        <f>176.78</f>
        <v>176.78</v>
      </c>
      <c r="R71" s="246">
        <v>0</v>
      </c>
      <c r="S71" s="246">
        <v>0</v>
      </c>
      <c r="T71" s="246">
        <v>0</v>
      </c>
      <c r="U71" s="323">
        <v>0</v>
      </c>
    </row>
    <row r="72" spans="3:21" ht="18.5" x14ac:dyDescent="0.45">
      <c r="C72" s="306" t="str">
        <f>Addendum!E14</f>
        <v>November</v>
      </c>
      <c r="D72" s="307">
        <v>83424.2</v>
      </c>
      <c r="E72" s="246">
        <v>101317.87</v>
      </c>
      <c r="F72" s="246">
        <v>212838.25</v>
      </c>
      <c r="G72" s="246">
        <v>49957.5</v>
      </c>
      <c r="H72" s="246">
        <v>65710.429999999993</v>
      </c>
      <c r="I72" s="308">
        <v>-8645.7999999999993</v>
      </c>
      <c r="J72" s="309">
        <f t="shared" si="24"/>
        <v>504602.45</v>
      </c>
      <c r="K72" s="311">
        <v>146</v>
      </c>
      <c r="L72" s="307">
        <f>12.01+7.46-910.5-278.24+1.89</f>
        <v>-1167.3799999999999</v>
      </c>
      <c r="M72" s="246">
        <f>247.5</f>
        <v>247.5</v>
      </c>
      <c r="N72" s="246">
        <v>0</v>
      </c>
      <c r="O72" s="246">
        <f>100+1100+880</f>
        <v>2080</v>
      </c>
      <c r="P72" s="246">
        <f>2429.37</f>
        <v>2429.37</v>
      </c>
      <c r="Q72" s="246">
        <f>255.76</f>
        <v>255.76</v>
      </c>
      <c r="R72" s="246">
        <v>0</v>
      </c>
      <c r="S72" s="246">
        <v>0</v>
      </c>
      <c r="T72" s="246">
        <v>0</v>
      </c>
      <c r="U72" s="323">
        <v>0</v>
      </c>
    </row>
    <row r="73" spans="3:21" ht="18.5" x14ac:dyDescent="0.45">
      <c r="C73" s="306" t="str">
        <f>Addendum!E15</f>
        <v>December</v>
      </c>
      <c r="D73" s="307">
        <v>55658.06</v>
      </c>
      <c r="E73" s="246">
        <v>108710.28</v>
      </c>
      <c r="F73" s="246">
        <v>83565.75</v>
      </c>
      <c r="G73" s="246">
        <v>148761.47</v>
      </c>
      <c r="H73" s="246">
        <v>0</v>
      </c>
      <c r="I73" s="308">
        <v>-8645.7999999999993</v>
      </c>
      <c r="J73" s="309">
        <f t="shared" si="24"/>
        <v>388049.76</v>
      </c>
      <c r="K73" s="311">
        <v>146</v>
      </c>
      <c r="L73" s="307">
        <f>580.13+163.4-452.31+33.98</f>
        <v>325.2</v>
      </c>
      <c r="M73" s="246">
        <v>0</v>
      </c>
      <c r="N73" s="246">
        <v>0</v>
      </c>
      <c r="O73" s="246">
        <f>80+550+880</f>
        <v>1510</v>
      </c>
      <c r="P73" s="246">
        <f>600+959.76</f>
        <v>1559.76</v>
      </c>
      <c r="Q73" s="246">
        <v>0</v>
      </c>
      <c r="R73" s="246">
        <v>0</v>
      </c>
      <c r="S73" s="246">
        <v>0</v>
      </c>
      <c r="T73" s="246">
        <v>0</v>
      </c>
      <c r="U73" s="323">
        <v>-33097.629999999997</v>
      </c>
    </row>
    <row r="74" spans="3:21" ht="18.5" x14ac:dyDescent="0.45">
      <c r="C74" s="306" t="str">
        <f>Addendum!E16</f>
        <v>January 2025</v>
      </c>
      <c r="D74" s="307">
        <v>218782.01</v>
      </c>
      <c r="E74" s="246">
        <v>141443.94</v>
      </c>
      <c r="F74" s="246">
        <v>59840.3</v>
      </c>
      <c r="G74" s="246">
        <v>45485.57</v>
      </c>
      <c r="H74" s="246">
        <v>53102.01</v>
      </c>
      <c r="I74" s="308">
        <v>-8644.32</v>
      </c>
      <c r="J74" s="309">
        <f t="shared" si="24"/>
        <v>510009.51</v>
      </c>
      <c r="K74" s="311">
        <v>146</v>
      </c>
      <c r="L74" s="307">
        <f>1.58+389.72+25.16+63.45</f>
        <v>479.91</v>
      </c>
      <c r="M74" s="246">
        <v>0</v>
      </c>
      <c r="N74" s="246">
        <v>0</v>
      </c>
      <c r="O74" s="246">
        <f>140+330+1430</f>
        <v>1900</v>
      </c>
      <c r="P74" s="246">
        <f>218.08</f>
        <v>218.08</v>
      </c>
      <c r="Q74" s="246">
        <f>198.28</f>
        <v>198.28</v>
      </c>
      <c r="R74" s="246">
        <v>0</v>
      </c>
      <c r="S74" s="246">
        <v>0</v>
      </c>
      <c r="T74" s="246">
        <v>0</v>
      </c>
      <c r="U74" s="323">
        <v>-33105.730000000003</v>
      </c>
    </row>
    <row r="75" spans="3:21" ht="18.5" x14ac:dyDescent="0.45">
      <c r="C75" s="306" t="str">
        <f>Addendum!E17</f>
        <v>February</v>
      </c>
      <c r="D75" s="307">
        <v>48342.33</v>
      </c>
      <c r="E75" s="246">
        <v>87892.22</v>
      </c>
      <c r="F75" s="246">
        <v>65658.98</v>
      </c>
      <c r="G75" s="246">
        <v>91845.54</v>
      </c>
      <c r="H75" s="246">
        <v>0</v>
      </c>
      <c r="I75" s="308">
        <v>-8702.2199999999993</v>
      </c>
      <c r="J75" s="309">
        <f t="shared" si="24"/>
        <v>285036.84999999998</v>
      </c>
      <c r="K75" s="311">
        <v>147</v>
      </c>
      <c r="L75" s="307">
        <f>32.82+11.21</f>
        <v>44.03</v>
      </c>
      <c r="M75" s="246">
        <v>0</v>
      </c>
      <c r="N75" s="246">
        <v>0</v>
      </c>
      <c r="O75" s="246">
        <f>100+440+990</f>
        <v>1530</v>
      </c>
      <c r="P75" s="246">
        <f>58.03+440.15+560.75</f>
        <v>1058.9299999999998</v>
      </c>
      <c r="Q75" s="246">
        <f>183.64</f>
        <v>183.64</v>
      </c>
      <c r="R75" s="246">
        <v>0</v>
      </c>
      <c r="S75" s="246">
        <v>-18156</v>
      </c>
      <c r="T75" s="246">
        <v>0</v>
      </c>
      <c r="U75" s="323">
        <f>-86246.44-111508.11</f>
        <v>-197754.55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4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4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4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4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787461.66</v>
      </c>
      <c r="E80" s="314">
        <f t="shared" ref="E80:J80" si="25">SUM(E68:E79)</f>
        <v>852980.84000000008</v>
      </c>
      <c r="F80" s="314">
        <f t="shared" si="25"/>
        <v>947525.5</v>
      </c>
      <c r="G80" s="314">
        <f t="shared" si="25"/>
        <v>658244.11</v>
      </c>
      <c r="H80" s="314">
        <f t="shared" si="25"/>
        <v>171194.77</v>
      </c>
      <c r="I80" s="315">
        <f t="shared" si="25"/>
        <v>-69335.659999999989</v>
      </c>
      <c r="J80" s="316">
        <f t="shared" si="25"/>
        <v>3348071.22</v>
      </c>
      <c r="K80" s="317">
        <f>SUM(K68:K79)</f>
        <v>1171</v>
      </c>
      <c r="L80" s="313">
        <f>SUM(L68:L79)</f>
        <v>2195.38</v>
      </c>
      <c r="M80" s="314">
        <f t="shared" ref="M80:T80" si="26">SUM(M68:M79)</f>
        <v>664.99</v>
      </c>
      <c r="N80" s="314">
        <f t="shared" si="26"/>
        <v>0</v>
      </c>
      <c r="O80" s="314">
        <f t="shared" si="26"/>
        <v>14550</v>
      </c>
      <c r="P80" s="314">
        <f t="shared" si="26"/>
        <v>8279.24</v>
      </c>
      <c r="Q80" s="314">
        <f t="shared" si="26"/>
        <v>942.66</v>
      </c>
      <c r="R80" s="314">
        <f t="shared" si="26"/>
        <v>0</v>
      </c>
      <c r="S80" s="314">
        <f t="shared" si="26"/>
        <v>-18156</v>
      </c>
      <c r="T80" s="314">
        <f t="shared" si="26"/>
        <v>0</v>
      </c>
      <c r="U80" s="322">
        <f>SUM(U68:U79)</f>
        <v>-293684.42</v>
      </c>
    </row>
    <row r="82" spans="3:11" x14ac:dyDescent="0.35">
      <c r="D82" s="678" t="s">
        <v>337</v>
      </c>
      <c r="E82" s="678"/>
      <c r="F82" s="678"/>
      <c r="G82" s="678"/>
      <c r="H82" s="678"/>
      <c r="I82" s="678"/>
      <c r="J82" s="678"/>
      <c r="K82" s="678"/>
    </row>
    <row r="83" spans="3:11" ht="18.5" x14ac:dyDescent="0.45">
      <c r="C83" s="244"/>
      <c r="D83" s="651"/>
      <c r="E83" s="652"/>
      <c r="F83" s="652"/>
      <c r="G83" s="652"/>
      <c r="H83" s="652"/>
      <c r="I83" s="653" t="s">
        <v>18</v>
      </c>
      <c r="J83" s="655" t="s">
        <v>23</v>
      </c>
      <c r="K83" s="657" t="s">
        <v>127</v>
      </c>
    </row>
    <row r="84" spans="3:11" ht="18.5" x14ac:dyDescent="0.45">
      <c r="C84" s="244"/>
      <c r="D84" s="318" t="s">
        <v>13</v>
      </c>
      <c r="E84" s="319" t="s">
        <v>14</v>
      </c>
      <c r="F84" s="319" t="s">
        <v>15</v>
      </c>
      <c r="G84" s="319" t="s">
        <v>16</v>
      </c>
      <c r="H84" s="319" t="s">
        <v>17</v>
      </c>
      <c r="I84" s="654"/>
      <c r="J84" s="656"/>
      <c r="K84" s="658"/>
    </row>
    <row r="85" spans="3:11" ht="18.5" x14ac:dyDescent="0.45">
      <c r="C85" s="306" t="str">
        <f>Addendum!E10</f>
        <v>July   2024</v>
      </c>
      <c r="D85" s="307">
        <v>335</v>
      </c>
      <c r="E85" s="246">
        <v>75</v>
      </c>
      <c r="F85" s="246">
        <v>100</v>
      </c>
      <c r="G85" s="246">
        <v>375</v>
      </c>
      <c r="H85" s="246">
        <v>0</v>
      </c>
      <c r="I85" s="308">
        <v>242.72</v>
      </c>
      <c r="J85" s="309">
        <f>SUM(D85:I85)</f>
        <v>1127.72</v>
      </c>
      <c r="K85" s="310">
        <v>164</v>
      </c>
    </row>
    <row r="86" spans="3:11" ht="18.5" x14ac:dyDescent="0.45">
      <c r="C86" s="306" t="str">
        <f>Addendum!E11</f>
        <v>August</v>
      </c>
      <c r="D86" s="307">
        <v>200</v>
      </c>
      <c r="E86" s="246">
        <v>250</v>
      </c>
      <c r="F86" s="246">
        <v>100</v>
      </c>
      <c r="G86" s="246">
        <v>583</v>
      </c>
      <c r="H86" s="246">
        <v>610</v>
      </c>
      <c r="I86" s="308">
        <v>244.2</v>
      </c>
      <c r="J86" s="309">
        <f t="shared" ref="J86" si="27">SUM(D86:I86)</f>
        <v>1987.2</v>
      </c>
      <c r="K86" s="311">
        <v>165</v>
      </c>
    </row>
    <row r="87" spans="3:11" ht="18.5" x14ac:dyDescent="0.45">
      <c r="C87" s="306" t="str">
        <f>Addendum!E12</f>
        <v>September</v>
      </c>
      <c r="D87" s="307">
        <v>450</v>
      </c>
      <c r="E87" s="246">
        <v>110</v>
      </c>
      <c r="F87" s="246">
        <v>0</v>
      </c>
      <c r="G87" s="246">
        <v>175</v>
      </c>
      <c r="H87" s="246">
        <v>0</v>
      </c>
      <c r="I87" s="308">
        <v>239.76</v>
      </c>
      <c r="J87" s="309">
        <f>SUM(D87:I87)</f>
        <v>974.76</v>
      </c>
      <c r="K87" s="311">
        <v>162</v>
      </c>
    </row>
    <row r="88" spans="3:11" ht="18.5" x14ac:dyDescent="0.45">
      <c r="C88" s="306" t="str">
        <f>Addendum!E13</f>
        <v>October</v>
      </c>
      <c r="D88" s="307">
        <v>60</v>
      </c>
      <c r="E88" s="246">
        <v>530</v>
      </c>
      <c r="F88" s="246">
        <v>0</v>
      </c>
      <c r="G88" s="246">
        <v>160</v>
      </c>
      <c r="H88" s="246">
        <v>0</v>
      </c>
      <c r="I88" s="308">
        <v>239.76</v>
      </c>
      <c r="J88" s="309">
        <f t="shared" ref="J88:J96" si="28">SUM(D88:I88)</f>
        <v>989.76</v>
      </c>
      <c r="K88" s="311">
        <v>162</v>
      </c>
    </row>
    <row r="89" spans="3:11" ht="18.5" x14ac:dyDescent="0.45">
      <c r="C89" s="306" t="str">
        <f>Addendum!E14</f>
        <v>November</v>
      </c>
      <c r="D89" s="307">
        <v>-65</v>
      </c>
      <c r="E89" s="246">
        <v>0</v>
      </c>
      <c r="F89" s="246">
        <v>125</v>
      </c>
      <c r="G89" s="246">
        <v>140</v>
      </c>
      <c r="H89" s="246">
        <v>0</v>
      </c>
      <c r="I89" s="308">
        <v>239.76</v>
      </c>
      <c r="J89" s="309">
        <f t="shared" si="28"/>
        <v>439.76</v>
      </c>
      <c r="K89" s="311">
        <v>162</v>
      </c>
    </row>
    <row r="90" spans="3:11" ht="18.5" x14ac:dyDescent="0.45">
      <c r="C90" s="306" t="str">
        <f>Addendum!E15</f>
        <v>December</v>
      </c>
      <c r="D90" s="307">
        <v>215</v>
      </c>
      <c r="E90" s="246">
        <v>25</v>
      </c>
      <c r="F90" s="246">
        <v>495</v>
      </c>
      <c r="G90" s="246">
        <v>360</v>
      </c>
      <c r="H90" s="246">
        <v>0</v>
      </c>
      <c r="I90" s="308">
        <v>239.76</v>
      </c>
      <c r="J90" s="309">
        <f t="shared" si="28"/>
        <v>1334.76</v>
      </c>
      <c r="K90" s="311">
        <v>162</v>
      </c>
    </row>
    <row r="91" spans="3:11" ht="18.5" x14ac:dyDescent="0.45">
      <c r="C91" s="306" t="str">
        <f>Addendum!E16</f>
        <v>January 2025</v>
      </c>
      <c r="D91" s="307">
        <v>75</v>
      </c>
      <c r="E91" s="246">
        <v>280</v>
      </c>
      <c r="F91" s="246">
        <v>150</v>
      </c>
      <c r="G91" s="246">
        <v>200</v>
      </c>
      <c r="H91" s="246">
        <v>400</v>
      </c>
      <c r="I91" s="308">
        <v>241.24</v>
      </c>
      <c r="J91" s="309">
        <f t="shared" si="28"/>
        <v>1346.24</v>
      </c>
      <c r="K91" s="311">
        <v>163</v>
      </c>
    </row>
    <row r="92" spans="3:11" ht="18.5" x14ac:dyDescent="0.45">
      <c r="C92" s="306" t="str">
        <f>Addendum!E17</f>
        <v>February</v>
      </c>
      <c r="D92" s="307">
        <v>300</v>
      </c>
      <c r="E92" s="246">
        <v>50</v>
      </c>
      <c r="F92" s="246">
        <v>75</v>
      </c>
      <c r="G92" s="246">
        <v>305</v>
      </c>
      <c r="H92" s="246">
        <v>0</v>
      </c>
      <c r="I92" s="308">
        <v>244.2</v>
      </c>
      <c r="J92" s="309">
        <f t="shared" si="28"/>
        <v>974.2</v>
      </c>
      <c r="K92" s="311">
        <v>165</v>
      </c>
    </row>
    <row r="93" spans="3:11" ht="18.5" x14ac:dyDescent="0.45">
      <c r="C93" s="306" t="str">
        <f>Addendum!E18</f>
        <v>March</v>
      </c>
      <c r="D93" s="307"/>
      <c r="E93" s="246"/>
      <c r="F93" s="246"/>
      <c r="G93" s="246"/>
      <c r="H93" s="246"/>
      <c r="I93" s="308"/>
      <c r="J93" s="309">
        <f t="shared" si="28"/>
        <v>0</v>
      </c>
      <c r="K93" s="311"/>
    </row>
    <row r="94" spans="3:11" ht="18.5" x14ac:dyDescent="0.45">
      <c r="C94" s="306" t="str">
        <f>Addendum!E19</f>
        <v>April</v>
      </c>
      <c r="D94" s="307"/>
      <c r="E94" s="246"/>
      <c r="F94" s="246"/>
      <c r="G94" s="246"/>
      <c r="H94" s="246"/>
      <c r="I94" s="308"/>
      <c r="J94" s="309">
        <f t="shared" si="28"/>
        <v>0</v>
      </c>
      <c r="K94" s="311"/>
    </row>
    <row r="95" spans="3:11" ht="18.5" x14ac:dyDescent="0.45">
      <c r="C95" s="306" t="str">
        <f>Addendum!E20</f>
        <v>May</v>
      </c>
      <c r="D95" s="307"/>
      <c r="E95" s="246"/>
      <c r="F95" s="246"/>
      <c r="G95" s="246"/>
      <c r="H95" s="246"/>
      <c r="I95" s="308"/>
      <c r="J95" s="309">
        <f t="shared" si="28"/>
        <v>0</v>
      </c>
      <c r="K95" s="311"/>
    </row>
    <row r="96" spans="3:11" ht="19" thickBot="1" x14ac:dyDescent="0.5">
      <c r="C96" s="306" t="str">
        <f>Addendum!E21</f>
        <v>June</v>
      </c>
      <c r="D96" s="307"/>
      <c r="E96" s="246"/>
      <c r="F96" s="246"/>
      <c r="G96" s="246"/>
      <c r="H96" s="246"/>
      <c r="I96" s="308"/>
      <c r="J96" s="309">
        <f t="shared" si="28"/>
        <v>0</v>
      </c>
      <c r="K96" s="311"/>
    </row>
    <row r="97" spans="3:11" ht="19.5" thickTop="1" thickBot="1" x14ac:dyDescent="0.5">
      <c r="C97" s="312" t="s">
        <v>22</v>
      </c>
      <c r="D97" s="313">
        <f>SUM(D85:D96)</f>
        <v>1570</v>
      </c>
      <c r="E97" s="314">
        <f t="shared" ref="E97:J97" si="29">SUM(E85:E96)</f>
        <v>1320</v>
      </c>
      <c r="F97" s="314">
        <f t="shared" si="29"/>
        <v>1045</v>
      </c>
      <c r="G97" s="314">
        <f t="shared" si="29"/>
        <v>2298</v>
      </c>
      <c r="H97" s="314">
        <f t="shared" si="29"/>
        <v>1010</v>
      </c>
      <c r="I97" s="315">
        <f t="shared" si="29"/>
        <v>1931.3999999999999</v>
      </c>
      <c r="J97" s="316">
        <f t="shared" si="29"/>
        <v>9174.4000000000015</v>
      </c>
      <c r="K97" s="317">
        <f>SUM(K85:K96)</f>
        <v>1305</v>
      </c>
    </row>
    <row r="98" spans="3:11" x14ac:dyDescent="0.35">
      <c r="C98" s="459"/>
      <c r="D98" s="461"/>
      <c r="E98" s="461"/>
      <c r="F98" s="461"/>
      <c r="G98" s="461"/>
      <c r="H98" s="461"/>
      <c r="I98" s="461"/>
    </row>
    <row r="99" spans="3:11" x14ac:dyDescent="0.35">
      <c r="C99" s="5"/>
      <c r="D99" s="461"/>
      <c r="E99" s="461"/>
      <c r="F99" s="461"/>
      <c r="G99" s="461"/>
      <c r="H99" s="461"/>
      <c r="I99" s="461"/>
    </row>
    <row r="100" spans="3:11" x14ac:dyDescent="0.35">
      <c r="C100" s="5"/>
      <c r="D100" s="461"/>
      <c r="E100" s="461"/>
      <c r="F100" s="461"/>
      <c r="G100" s="461"/>
      <c r="H100" s="461"/>
      <c r="I100" s="461"/>
    </row>
    <row r="101" spans="3:11" x14ac:dyDescent="0.35">
      <c r="C101" s="5"/>
      <c r="D101" s="461"/>
      <c r="E101" s="461"/>
      <c r="F101" s="461"/>
      <c r="G101" s="462"/>
      <c r="H101" s="462"/>
      <c r="I101" s="461"/>
    </row>
    <row r="102" spans="3:11" x14ac:dyDescent="0.35">
      <c r="C102" s="5"/>
      <c r="D102" s="461"/>
      <c r="E102" s="461"/>
      <c r="F102" s="461"/>
      <c r="G102" s="461"/>
      <c r="H102" s="461"/>
      <c r="I102" s="461"/>
    </row>
    <row r="103" spans="3:11" x14ac:dyDescent="0.35">
      <c r="C103" s="5"/>
      <c r="D103" s="461"/>
      <c r="E103" s="461"/>
      <c r="F103" s="461"/>
      <c r="G103" s="461"/>
      <c r="H103" s="461"/>
      <c r="I103" s="461"/>
    </row>
    <row r="104" spans="3:11" x14ac:dyDescent="0.35">
      <c r="C104" s="459"/>
      <c r="D104" s="461"/>
      <c r="E104" s="461"/>
      <c r="F104" s="461"/>
      <c r="G104" s="461"/>
      <c r="H104" s="461"/>
      <c r="I104" s="461"/>
    </row>
    <row r="105" spans="3:11" x14ac:dyDescent="0.35">
      <c r="C105" s="5"/>
      <c r="D105" s="461"/>
      <c r="E105" s="461"/>
      <c r="F105" s="461"/>
      <c r="G105" s="461"/>
      <c r="H105" s="461"/>
      <c r="I105" s="461"/>
    </row>
    <row r="106" spans="3:11" x14ac:dyDescent="0.35">
      <c r="C106" s="5"/>
      <c r="D106" s="461"/>
      <c r="E106" s="461"/>
      <c r="F106" s="461"/>
      <c r="G106" s="461"/>
      <c r="H106" s="461"/>
      <c r="I106" s="461"/>
    </row>
    <row r="107" spans="3:11" x14ac:dyDescent="0.35">
      <c r="C107" s="5"/>
      <c r="D107" s="461"/>
      <c r="E107" s="461"/>
      <c r="F107" s="461"/>
      <c r="G107" s="461"/>
      <c r="H107" s="461"/>
      <c r="I107" s="461"/>
    </row>
    <row r="108" spans="3:11" x14ac:dyDescent="0.35">
      <c r="C108" s="5"/>
      <c r="D108" s="461"/>
      <c r="E108" s="461"/>
      <c r="F108" s="461"/>
      <c r="G108" s="461"/>
      <c r="H108" s="461"/>
      <c r="I108" s="461"/>
    </row>
    <row r="109" spans="3:11" x14ac:dyDescent="0.35">
      <c r="C109" s="5"/>
      <c r="D109" s="461"/>
      <c r="E109" s="461"/>
      <c r="F109" s="461"/>
      <c r="G109" s="461"/>
      <c r="H109" s="461"/>
      <c r="I109" s="461"/>
    </row>
    <row r="110" spans="3:11" x14ac:dyDescent="0.35">
      <c r="C110" s="467"/>
      <c r="D110" s="461"/>
      <c r="E110" s="461"/>
      <c r="F110" s="461"/>
      <c r="G110" s="461"/>
      <c r="H110" s="461"/>
      <c r="I110" s="461"/>
    </row>
    <row r="111" spans="3:11" x14ac:dyDescent="0.35">
      <c r="C111" s="5"/>
      <c r="D111" s="461"/>
      <c r="E111" s="461"/>
      <c r="F111" s="461"/>
      <c r="G111" s="461"/>
      <c r="H111" s="461"/>
      <c r="I111" s="461"/>
    </row>
    <row r="112" spans="3:11" x14ac:dyDescent="0.35">
      <c r="C112" s="5"/>
      <c r="D112" s="461"/>
      <c r="E112" s="461"/>
      <c r="F112" s="461"/>
      <c r="G112" s="461"/>
      <c r="H112" s="461"/>
      <c r="I112" s="461"/>
    </row>
    <row r="113" spans="3:9" x14ac:dyDescent="0.35">
      <c r="C113" s="5"/>
      <c r="D113" s="461"/>
      <c r="E113" s="461"/>
      <c r="F113" s="461"/>
      <c r="G113" s="461"/>
      <c r="H113" s="461"/>
      <c r="I113" s="461"/>
    </row>
    <row r="114" spans="3:9" x14ac:dyDescent="0.35">
      <c r="C114" s="5"/>
      <c r="D114" s="461"/>
      <c r="E114" s="461"/>
      <c r="F114" s="461"/>
      <c r="G114" s="461"/>
      <c r="H114" s="461"/>
      <c r="I114" s="461"/>
    </row>
    <row r="115" spans="3:9" x14ac:dyDescent="0.35">
      <c r="C115" s="5"/>
      <c r="D115" s="461"/>
      <c r="E115" s="461"/>
      <c r="F115" s="461"/>
      <c r="G115" s="461"/>
      <c r="H115" s="461"/>
      <c r="I115" s="461"/>
    </row>
    <row r="116" spans="3:9" x14ac:dyDescent="0.35">
      <c r="C116" s="459"/>
      <c r="D116" s="461"/>
      <c r="E116" s="461"/>
      <c r="F116" s="461"/>
      <c r="G116" s="461"/>
      <c r="H116" s="461"/>
      <c r="I116" s="461"/>
    </row>
    <row r="117" spans="3:9" x14ac:dyDescent="0.35">
      <c r="C117" s="5"/>
      <c r="D117" s="461"/>
      <c r="E117" s="461"/>
      <c r="F117" s="461"/>
      <c r="G117" s="461"/>
      <c r="H117" s="461"/>
      <c r="I117" s="461"/>
    </row>
    <row r="118" spans="3:9" x14ac:dyDescent="0.35">
      <c r="C118" s="5"/>
      <c r="D118" s="461"/>
      <c r="E118" s="461"/>
      <c r="F118" s="461"/>
      <c r="G118" s="461"/>
      <c r="H118" s="461"/>
      <c r="I118" s="461"/>
    </row>
    <row r="119" spans="3:9" x14ac:dyDescent="0.35">
      <c r="C119" s="5"/>
      <c r="D119" s="461"/>
      <c r="E119" s="461"/>
      <c r="F119" s="461"/>
      <c r="G119" s="461"/>
      <c r="H119" s="461"/>
      <c r="I119" s="461"/>
    </row>
    <row r="120" spans="3:9" x14ac:dyDescent="0.35">
      <c r="C120" s="5"/>
      <c r="D120" s="461"/>
      <c r="E120" s="461"/>
      <c r="F120" s="461"/>
      <c r="G120" s="461"/>
      <c r="H120" s="461"/>
      <c r="I120" s="461"/>
    </row>
    <row r="121" spans="3:9" x14ac:dyDescent="0.35">
      <c r="C121" s="5"/>
      <c r="D121" s="461"/>
      <c r="E121" s="461"/>
      <c r="F121" s="461"/>
      <c r="G121" s="461"/>
      <c r="H121" s="461"/>
      <c r="I121" s="461"/>
    </row>
  </sheetData>
  <mergeCells count="25">
    <mergeCell ref="I83:I84"/>
    <mergeCell ref="J83:J84"/>
    <mergeCell ref="K83:K84"/>
    <mergeCell ref="D65:F65"/>
    <mergeCell ref="C2:P2"/>
    <mergeCell ref="C3:P3"/>
    <mergeCell ref="C5:P5"/>
    <mergeCell ref="D10:F10"/>
    <mergeCell ref="M10:O10"/>
    <mergeCell ref="D83:H83"/>
    <mergeCell ref="D82:K82"/>
    <mergeCell ref="V14:AA14"/>
    <mergeCell ref="D66:H66"/>
    <mergeCell ref="I66:I67"/>
    <mergeCell ref="J66:J67"/>
    <mergeCell ref="K66:K67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</mergeCells>
  <conditionalFormatting sqref="D51:P51">
    <cfRule type="cellIs" dxfId="7" priority="1" operator="lessThan">
      <formula>0</formula>
    </cfRule>
  </conditionalFormatting>
  <printOptions horizontalCentered="1"/>
  <pageMargins left="0.25" right="0.25" top="0.75" bottom="0.75" header="0.3" footer="0.3"/>
  <pageSetup scale="3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CCF45-3C1C-4E37-B5A5-7F74E52ECC3B}">
  <sheetPr codeName="Sheet22">
    <tabColor theme="6" tint="0.39997558519241921"/>
    <pageSetUpPr fitToPage="1"/>
  </sheetPr>
  <dimension ref="B1:U97"/>
  <sheetViews>
    <sheetView view="pageBreakPreview" topLeftCell="A56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183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Entry'!$D$3:$D$500,MATCH(1,INDEX((NWIU5!$C$7='Cash Flow Entry'!$B$3:$B$500)*(VALUE(NWIU5!D$7)='Cash Flow Entry'!$C$3:$C$500),0,1),0)),"")</f>
        <v>264</v>
      </c>
      <c r="E8" s="256" cm="1">
        <f t="array" ref="E8">IFERROR(INDEX('Cash Flow Entry'!$D$3:$D$500,MATCH(1,INDEX((NWIU5!$C$7='Cash Flow Entry'!$B$3:$B$500)*(VALUE(NWIU5!E$7)='Cash Flow Entry'!$C$3:$C$500),0,1),0)),"")</f>
        <v>263</v>
      </c>
      <c r="F8" s="257" cm="1">
        <f t="array" ref="F8">IFERROR(INDEX('Cash Flow Entry'!$D$3:$D$500,MATCH(1,INDEX((NWIU5!$C$7='Cash Flow Entry'!$B$3:$B$500)*(VALUE(NWIU5!F$7)='Cash Flow Entry'!$C$3:$C$500),0,1),0)),"")</f>
        <v>265</v>
      </c>
      <c r="G8" s="255" cm="1">
        <f t="array" ref="G8">IFERROR(INDEX('Cash Flow Entry'!$D$3:$D$500,MATCH(1,INDEX((NWIU5!$C$7='Cash Flow Entry'!$B$3:$B$500)*(VALUE(NWIU5!G$7)='Cash Flow Entry'!$C$3:$C$500),0,1),0)),"")</f>
        <v>269</v>
      </c>
      <c r="H8" s="256" cm="1">
        <f t="array" ref="H8">IFERROR(INDEX('Cash Flow Entry'!$D$3:$D$500,MATCH(1,INDEX((NWIU5!$C$7='Cash Flow Entry'!$B$3:$B$500)*(VALUE(NWIU5!H$7)='Cash Flow Entry'!$C$3:$C$500),0,1),0)),"")</f>
        <v>270</v>
      </c>
      <c r="I8" s="257" cm="1">
        <f t="array" ref="I8">IFERROR(INDEX('Cash Flow Entry'!$D$3:$D$500,MATCH(1,INDEX((NWIU5!$C$7='Cash Flow Entry'!$B$3:$B$500)*(VALUE(NWIU5!I$7)='Cash Flow Entry'!$C$3:$C$500),0,1),0)),"")</f>
        <v>269</v>
      </c>
      <c r="J8" s="256" cm="1">
        <f t="array" ref="J8">IFERROR(INDEX('Cash Flow Entry'!$D$3:$D$500,MATCH(1,INDEX((NWIU5!$C$7='Cash Flow Entry'!$B$3:$B$500)*(VALUE(NWIU5!J$7)='Cash Flow Entry'!$C$3:$C$500),0,1),0)),"")</f>
        <v>269</v>
      </c>
      <c r="K8" s="256" cm="1">
        <f t="array" ref="K8">IFERROR(INDEX('Cash Flow Entry'!$D$3:$D$500,MATCH(1,INDEX((NWIU5!$C$7='Cash Flow Entry'!$B$3:$B$500)*(VALUE(NWIU5!K$7)='Cash Flow Entry'!$C$3:$C$500),0,1),0)),"")</f>
        <v>269</v>
      </c>
      <c r="L8" s="256" t="str" cm="1">
        <f t="array" ref="L8">IFERROR(INDEX('Cash Flow Entry'!$D$3:$D$500,MATCH(1,INDEX((NWIU5!$C$7='Cash Flow Entry'!$B$3:$B$500)*(VALUE(NWIU5!L$7)='Cash Flow Entry'!$C$3:$C$500),0,1),0)),"")</f>
        <v/>
      </c>
      <c r="M8" s="255" t="str" cm="1">
        <f t="array" ref="M8">IFERROR(INDEX('Cash Flow Entry'!$D$3:$D$500,MATCH(1,INDEX((NWIU5!$C$7='Cash Flow Entry'!$B$3:$B$500)*(VALUE(NWIU5!M$7)='Cash Flow Entry'!$C$3:$C$500),0,1),0)),"")</f>
        <v/>
      </c>
      <c r="N8" s="256" t="str" cm="1">
        <f t="array" ref="N8">IFERROR(INDEX('Cash Flow Entry'!$D$3:$D$500,MATCH(1,INDEX((NWIU5!$C$7='Cash Flow Entry'!$B$3:$B$500)*(VALUE(NWIU5!N$7)='Cash Flow Entry'!$C$3:$C$500),0,1),0)),"")</f>
        <v/>
      </c>
      <c r="O8" s="258" t="str" cm="1">
        <f t="array" ref="O8">IFERROR(INDEX('Cash Flow Entry'!$D$3:$D$500,MATCH(1,INDEX((NWIU5!$C$7='Cash Flow Entry'!$B$3:$B$500)*(VALUE(NWIU5!O$7)='Cash Flow Entry'!$C$3:$C$500),0,1),0)),"")</f>
        <v/>
      </c>
      <c r="P8" s="259">
        <f>SUM(D8:O8)</f>
        <v>2138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Entry'!$E$3:$E$500,MATCH(1,INDEX((NWIU5!$C$7='Cash Flow Entry'!$B$3:$B$500)*(VALUE(NWIU5!D$7)='Cash Flow Entry'!$C$3:$C$500),0,1),0)),"")</f>
        <v>748</v>
      </c>
      <c r="E9" s="256" cm="1">
        <f t="array" ref="E9">IFERROR(INDEX('Cash Flow Entry'!$E$3:$E$500,MATCH(1,INDEX((NWIU5!$C$7='Cash Flow Entry'!$B$3:$B$500)*(VALUE(NWIU5!E$7)='Cash Flow Entry'!$C$3:$C$500),0,1),0)),"")</f>
        <v>752</v>
      </c>
      <c r="F9" s="257" cm="1">
        <f t="array" ref="F9">IFERROR(INDEX('Cash Flow Entry'!$E$3:$E$500,MATCH(1,INDEX((NWIU5!$C$7='Cash Flow Entry'!$B$3:$B$500)*(VALUE(NWIU5!F$7)='Cash Flow Entry'!$C$3:$C$500),0,1),0)),"")</f>
        <v>756</v>
      </c>
      <c r="G9" s="255" cm="1">
        <f t="array" ref="G9">IFERROR(INDEX('Cash Flow Entry'!$E$3:$E$500,MATCH(1,INDEX((NWIU5!$C$7='Cash Flow Entry'!$B$3:$B$500)*(VALUE(NWIU5!G$7)='Cash Flow Entry'!$C$3:$C$500),0,1),0)),"")</f>
        <v>756</v>
      </c>
      <c r="H9" s="256" cm="1">
        <f t="array" ref="H9">IFERROR(INDEX('Cash Flow Entry'!$E$3:$E$500,MATCH(1,INDEX((NWIU5!$C$7='Cash Flow Entry'!$B$3:$B$500)*(VALUE(NWIU5!H$7)='Cash Flow Entry'!$C$3:$C$500),0,1),0)),"")</f>
        <v>749</v>
      </c>
      <c r="I9" s="257" cm="1">
        <f t="array" ref="I9">IFERROR(INDEX('Cash Flow Entry'!$E$3:$E$500,MATCH(1,INDEX((NWIU5!$C$7='Cash Flow Entry'!$B$3:$B$500)*(VALUE(NWIU5!I$7)='Cash Flow Entry'!$C$3:$C$500),0,1),0)),"")</f>
        <v>746</v>
      </c>
      <c r="J9" s="256" cm="1">
        <f t="array" ref="J9">IFERROR(INDEX('Cash Flow Entry'!$E$3:$E$500,MATCH(1,INDEX((NWIU5!$C$7='Cash Flow Entry'!$B$3:$B$500)*(VALUE(NWIU5!J$7)='Cash Flow Entry'!$C$3:$C$500),0,1),0)),"")</f>
        <v>755</v>
      </c>
      <c r="K9" s="256" cm="1">
        <f t="array" ref="K9">IFERROR(INDEX('Cash Flow Entry'!$E$3:$E$500,MATCH(1,INDEX((NWIU5!$C$7='Cash Flow Entry'!$B$3:$B$500)*(VALUE(NWIU5!K$7)='Cash Flow Entry'!$C$3:$C$500),0,1),0)),"")</f>
        <v>750</v>
      </c>
      <c r="L9" s="256" t="str" cm="1">
        <f t="array" ref="L9">IFERROR(INDEX('Cash Flow Entry'!$E$3:$E$500,MATCH(1,INDEX((NWIU5!$C$7='Cash Flow Entry'!$B$3:$B$500)*(VALUE(NWIU5!L$7)='Cash Flow Entry'!$C$3:$C$500),0,1),0)),"")</f>
        <v/>
      </c>
      <c r="M9" s="255" t="str" cm="1">
        <f t="array" ref="M9">IFERROR(INDEX('Cash Flow Entry'!$E$3:$E$500,MATCH(1,INDEX((NWIU5!$C$7='Cash Flow Entry'!$B$3:$B$500)*(VALUE(NWIU5!M$7)='Cash Flow Entry'!$C$3:$C$500),0,1),0)),"")</f>
        <v/>
      </c>
      <c r="N9" s="256" t="str" cm="1">
        <f t="array" ref="N9">IFERROR(INDEX('Cash Flow Entry'!$E$3:$E$500,MATCH(1,INDEX((NWIU5!$C$7='Cash Flow Entry'!$B$3:$B$500)*(VALUE(NWIU5!N$7)='Cash Flow Entry'!$C$3:$C$500),0,1),0)),"")</f>
        <v/>
      </c>
      <c r="O9" s="258" t="str" cm="1">
        <f t="array" ref="O9">IFERROR(INDEX('Cash Flow Entry'!$E$3:$E$500,MATCH(1,INDEX((NWIU5!$C$7='Cash Flow Entry'!$B$3:$B$500)*(VALUE(NWIU5!O$7)='Cash Flow Entry'!$C$3:$C$500),0,1),0)),"")</f>
        <v/>
      </c>
      <c r="P9" s="259">
        <f>SUM(D9:O9)</f>
        <v>6012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$1,783</v>
      </c>
      <c r="E10" s="645"/>
      <c r="F10" s="646"/>
      <c r="G10" s="421"/>
      <c r="H10" s="422"/>
      <c r="I10" s="423"/>
      <c r="J10" s="263"/>
      <c r="K10" s="263"/>
      <c r="L10" s="263"/>
      <c r="M10" s="644" t="str">
        <f>"Net Actual Funding Rate: "&amp;DOLLAR($P$14/$P$8,2)</f>
        <v>Net Actual Funding Rate: $1,742.85</v>
      </c>
      <c r="N10" s="645"/>
      <c r="O10" s="647"/>
      <c r="P10" s="265">
        <f>P14</f>
        <v>3726211</v>
      </c>
      <c r="Q10" s="534">
        <v>1782.88</v>
      </c>
      <c r="R10" s="305">
        <f>Q10*P8</f>
        <v>3811797.4400000004</v>
      </c>
      <c r="S10" s="305"/>
    </row>
    <row r="11" spans="2:20" ht="18.5" x14ac:dyDescent="0.45">
      <c r="B11" s="213" t="s">
        <v>191</v>
      </c>
      <c r="C11" s="267" t="s">
        <v>194</v>
      </c>
      <c r="D11" s="268">
        <v>460563.25</v>
      </c>
      <c r="E11" s="234">
        <v>469707</v>
      </c>
      <c r="F11" s="234">
        <v>460517</v>
      </c>
      <c r="G11" s="268">
        <v>468430.75</v>
      </c>
      <c r="H11" s="234">
        <v>465981.25</v>
      </c>
      <c r="I11" s="269">
        <v>465369.75</v>
      </c>
      <c r="J11" s="234">
        <v>467207.75</v>
      </c>
      <c r="K11" s="234">
        <v>468434.25</v>
      </c>
      <c r="L11" s="234"/>
      <c r="M11" s="268"/>
      <c r="N11" s="234"/>
      <c r="O11" s="270"/>
      <c r="P11" s="234">
        <f>SUM(D11:O11)</f>
        <v>3726211</v>
      </c>
      <c r="Q11" s="302"/>
    </row>
    <row r="12" spans="2:20" ht="18.5" x14ac:dyDescent="0.45">
      <c r="C12" s="267" t="s">
        <v>195</v>
      </c>
      <c r="D12" s="268">
        <f>IF(D$8="","",IF(D$11=0,0,D$8*$Q12))</f>
        <v>0</v>
      </c>
      <c r="E12" s="234">
        <f t="shared" ref="E12:O12" si="0">IF(E$8="","",IF(E$11=0,0,E$8*$Q12))</f>
        <v>0</v>
      </c>
      <c r="F12" s="269">
        <f t="shared" si="0"/>
        <v>0</v>
      </c>
      <c r="G12" s="268">
        <f t="shared" si="0"/>
        <v>0</v>
      </c>
      <c r="H12" s="234">
        <f t="shared" si="0"/>
        <v>0</v>
      </c>
      <c r="I12" s="269">
        <f t="shared" si="0"/>
        <v>0</v>
      </c>
      <c r="J12" s="234">
        <f t="shared" si="0"/>
        <v>0</v>
      </c>
      <c r="K12" s="234">
        <f t="shared" si="0"/>
        <v>0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0</v>
      </c>
      <c r="Q12" s="533">
        <v>0</v>
      </c>
    </row>
    <row r="13" spans="2:20" ht="18.5" x14ac:dyDescent="0.45">
      <c r="B13" s="213" t="s">
        <v>191</v>
      </c>
      <c r="C13" s="267" t="s">
        <v>196</v>
      </c>
      <c r="D13" s="458">
        <f t="shared" ref="D13:O13" si="2">IF(D$8="","",0)</f>
        <v>0</v>
      </c>
      <c r="E13" s="457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460563.25</v>
      </c>
      <c r="E14" s="274">
        <f t="shared" ref="E14:O14" si="3">IF(E8="","",SUM(E11:E13))</f>
        <v>469707</v>
      </c>
      <c r="F14" s="275">
        <f t="shared" si="3"/>
        <v>460517</v>
      </c>
      <c r="G14" s="273">
        <f t="shared" si="3"/>
        <v>468430.75</v>
      </c>
      <c r="H14" s="274">
        <f t="shared" si="3"/>
        <v>465981.25</v>
      </c>
      <c r="I14" s="275">
        <f t="shared" si="3"/>
        <v>465369.75</v>
      </c>
      <c r="J14" s="274">
        <f t="shared" si="3"/>
        <v>467207.75</v>
      </c>
      <c r="K14" s="274">
        <f t="shared" si="3"/>
        <v>468434.25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3726211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$1,250</v>
      </c>
      <c r="E16" s="645"/>
      <c r="F16" s="646"/>
      <c r="G16" s="644" t="str">
        <f>"Admin, Reinsurance, &amp; Misc. PEPM: "&amp;DOLLAR(SUM($P36,$P42,$P49)/$P$8,0)</f>
        <v>Admin, Reinsurance, &amp; Misc. PEPM: $449</v>
      </c>
      <c r="H16" s="645"/>
      <c r="I16" s="646"/>
      <c r="J16" s="644" t="str">
        <f>"Total Expenses PEPM: "&amp;DOLLAR($P16/$P$8,0)</f>
        <v>Total Expenses PEPM: $1,700</v>
      </c>
      <c r="K16" s="645"/>
      <c r="L16" s="646"/>
      <c r="M16" s="644" t="str">
        <f>"Projection Variance: "&amp;TEXT(($P$16/$P$8)/$Q$10-1,"0.00%")</f>
        <v>Projection Variance: -4.67%</v>
      </c>
      <c r="N16" s="645"/>
      <c r="O16" s="647"/>
      <c r="P16" s="265">
        <f>SUM(P26,P36,P42,P49)</f>
        <v>3633757.8605263163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Entry'!$F$3:$F$500,MATCH(1,INDEX((NWIU5!$C$7='Cash Flow Entry'!$B$3:$B$500)*(VALUE(NWIU5!D$7)='Cash Flow Entry'!$C$3:$C$500),0,1),0)),"")+IFERROR(INDEX('Cash Flow Entry'!$H$3:$H$500,MATCH(1,INDEX((NWIU5!$C$7='Cash Flow Entry'!$B$3:$B$500)*(VALUE(NWIU5!D$7)='Cash Flow Entry'!$C$3:$C$500),0,1),0)),""),"")</f>
        <v>364819.28</v>
      </c>
      <c r="E18" s="234" cm="1">
        <f t="array" ref="E18">IFERROR(IFERROR(INDEX('Cash Flow Entry'!$F$3:$F$500,MATCH(1,INDEX((NWIU5!$C$7='Cash Flow Entry'!$B$3:$B$500)*(VALUE(NWIU5!E$7)='Cash Flow Entry'!$C$3:$C$500),0,1),0)),"")+IFERROR(INDEX('Cash Flow Entry'!$H$3:$H$500,MATCH(1,INDEX((NWIU5!$C$7='Cash Flow Entry'!$B$3:$B$500)*(VALUE(NWIU5!E$7)='Cash Flow Entry'!$C$3:$C$500),0,1),0)),""),"")</f>
        <v>605157.6</v>
      </c>
      <c r="F18" s="269" cm="1">
        <f t="array" ref="F18">IFERROR(IFERROR(INDEX('Cash Flow Entry'!$F$3:$F$500,MATCH(1,INDEX((NWIU5!$C$7='Cash Flow Entry'!$B$3:$B$500)*(VALUE(NWIU5!F$7)='Cash Flow Entry'!$C$3:$C$500),0,1),0)),"")+IFERROR(INDEX('Cash Flow Entry'!$H$3:$H$500,MATCH(1,INDEX((NWIU5!$C$7='Cash Flow Entry'!$B$3:$B$500)*(VALUE(NWIU5!F$7)='Cash Flow Entry'!$C$3:$C$500),0,1),0)),""),"")</f>
        <v>39172.17</v>
      </c>
      <c r="G18" s="268" cm="1">
        <f t="array" ref="G18">IFERROR(IFERROR(INDEX('Cash Flow Entry'!$F$3:$F$500,MATCH(1,INDEX((NWIU5!$C$7='Cash Flow Entry'!$B$3:$B$500)*(VALUE(NWIU5!G$7)='Cash Flow Entry'!$C$3:$C$500),0,1),0)),"")+IFERROR(INDEX('Cash Flow Entry'!$H$3:$H$500,MATCH(1,INDEX((NWIU5!$C$7='Cash Flow Entry'!$B$3:$B$500)*(VALUE(NWIU5!G$7)='Cash Flow Entry'!$C$3:$C$500),0,1),0)),""),"")</f>
        <v>422311.02999999997</v>
      </c>
      <c r="H18" s="234" cm="1">
        <f t="array" ref="H18">IFERROR(IFERROR(INDEX('Cash Flow Entry'!$F$3:$F$500,MATCH(1,INDEX((NWIU5!$C$7='Cash Flow Entry'!$B$3:$B$500)*(VALUE(NWIU5!H$7)='Cash Flow Entry'!$C$3:$C$500),0,1),0)),"")+IFERROR(INDEX('Cash Flow Entry'!$H$3:$H$500,MATCH(1,INDEX((NWIU5!$C$7='Cash Flow Entry'!$B$3:$B$500)*(VALUE(NWIU5!H$7)='Cash Flow Entry'!$C$3:$C$500),0,1),0)),""),"")</f>
        <v>636180.13</v>
      </c>
      <c r="I18" s="269" cm="1">
        <f t="array" ref="I18">IFERROR(IFERROR(INDEX('Cash Flow Entry'!$F$3:$F$500,MATCH(1,INDEX((NWIU5!$C$7='Cash Flow Entry'!$B$3:$B$500)*(VALUE(NWIU5!I$7)='Cash Flow Entry'!$C$3:$C$500),0,1),0)),"")+IFERROR(INDEX('Cash Flow Entry'!$H$3:$H$500,MATCH(1,INDEX((NWIU5!$C$7='Cash Flow Entry'!$B$3:$B$500)*(VALUE(NWIU5!I$7)='Cash Flow Entry'!$C$3:$C$500),0,1),0)),""),"")</f>
        <v>747308.65</v>
      </c>
      <c r="J18" s="234" cm="1">
        <f t="array" ref="J18">IFERROR(IFERROR(INDEX('Cash Flow Entry'!$F$3:$F$500,MATCH(1,INDEX((NWIU5!$C$7='Cash Flow Entry'!$B$3:$B$500)*(VALUE(NWIU5!J$7)='Cash Flow Entry'!$C$3:$C$500),0,1),0)),"")+IFERROR(INDEX('Cash Flow Entry'!$H$3:$H$500,MATCH(1,INDEX((NWIU5!$C$7='Cash Flow Entry'!$B$3:$B$500)*(VALUE(NWIU5!J$7)='Cash Flow Entry'!$C$3:$C$500),0,1),0)),""),"")</f>
        <v>384639.68</v>
      </c>
      <c r="K18" s="234" cm="1">
        <f t="array" ref="K18">IFERROR(IFERROR(INDEX('Cash Flow Entry'!$F$3:$F$500,MATCH(1,INDEX((NWIU5!$C$7='Cash Flow Entry'!$B$3:$B$500)*(VALUE(NWIU5!K$7)='Cash Flow Entry'!$C$3:$C$500),0,1),0)),"")+IFERROR(INDEX('Cash Flow Entry'!$H$3:$H$500,MATCH(1,INDEX((NWIU5!$C$7='Cash Flow Entry'!$B$3:$B$500)*(VALUE(NWIU5!K$7)='Cash Flow Entry'!$C$3:$C$500),0,1),0)),""),"")</f>
        <v>386494.12</v>
      </c>
      <c r="L18" s="234" t="str" cm="1">
        <f t="array" ref="L18">IFERROR(IFERROR(INDEX('Cash Flow Entry'!$F$3:$F$500,MATCH(1,INDEX((NWIU5!$C$7='Cash Flow Entry'!$B$3:$B$500)*(VALUE(NWIU5!L$7)='Cash Flow Entry'!$C$3:$C$500),0,1),0)),"")+IFERROR(INDEX('Cash Flow Entry'!$H$3:$H$500,MATCH(1,INDEX((NWIU5!$C$7='Cash Flow Entry'!$B$3:$B$500)*(VALUE(NWIU5!L$7)='Cash Flow Entry'!$C$3:$C$500),0,1),0)),""),"")</f>
        <v/>
      </c>
      <c r="M18" s="268" t="str" cm="1">
        <f t="array" ref="M18">IFERROR(IFERROR(INDEX('Cash Flow Entry'!$F$3:$F$500,MATCH(1,INDEX((NWIU5!$C$7='Cash Flow Entry'!$B$3:$B$500)*(VALUE(NWIU5!M$7)='Cash Flow Entry'!$C$3:$C$500),0,1),0)),"")+IFERROR(INDEX('Cash Flow Entry'!$H$3:$H$500,MATCH(1,INDEX((NWIU5!$C$7='Cash Flow Entry'!$B$3:$B$500)*(VALUE(NWIU5!M$7)='Cash Flow Entry'!$C$3:$C$500),0,1),0)),""),"")</f>
        <v/>
      </c>
      <c r="N18" s="234" t="str" cm="1">
        <f t="array" ref="N18">IFERROR(IFERROR(INDEX('Cash Flow Entry'!$F$3:$F$500,MATCH(1,INDEX((NWIU5!$C$7='Cash Flow Entry'!$B$3:$B$500)*(VALUE(NWIU5!N$7)='Cash Flow Entry'!$C$3:$C$500),0,1),0)),"")+IFERROR(INDEX('Cash Flow Entry'!$H$3:$H$500,MATCH(1,INDEX((NWIU5!$C$7='Cash Flow Entry'!$B$3:$B$500)*(VALUE(NWIU5!N$7)='Cash Flow Entry'!$C$3:$C$500),0,1),0)),""),"")</f>
        <v/>
      </c>
      <c r="O18" s="270" t="str" cm="1">
        <f t="array" ref="O18">IFERROR(IFERROR(INDEX('Cash Flow Entry'!$F$3:$F$500,MATCH(1,INDEX((NWIU5!$C$7='Cash Flow Entry'!$B$3:$B$500)*(VALUE(NWIU5!O$7)='Cash Flow Entry'!$C$3:$C$500),0,1),0)),"")+IFERROR(INDEX('Cash Flow Entry'!$H$3:$H$500,MATCH(1,INDEX((NWIU5!$C$7='Cash Flow Entry'!$B$3:$B$500)*(VALUE(NWIU5!O$7)='Cash Flow Entry'!$C$3:$C$500),0,1),0)),""),"")</f>
        <v/>
      </c>
      <c r="P18" s="234">
        <f>SUM(D18:O18)</f>
        <v>3586082.66</v>
      </c>
      <c r="Q18" s="533">
        <v>895.58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Entry'!$G$3:$G$500,MATCH(1,INDEX((NWIU5!$C$7='Cash Flow Entry'!$B$3:$B$500)*(VALUE(NWIU5!D$7)='Cash Flow Entry'!$C$3:$C$500),0,1),0)),"")</f>
        <v>122369.86</v>
      </c>
      <c r="E19" s="234" cm="1">
        <f t="array" ref="E19">IFERROR(INDEX('Cash Flow Entry'!$G$3:$G$500,MATCH(1,INDEX((NWIU5!$C$7='Cash Flow Entry'!$B$3:$B$500)*(VALUE(NWIU5!E$7)='Cash Flow Entry'!$C$3:$C$500),0,1),0)),"")</f>
        <v>164533.18</v>
      </c>
      <c r="F19" s="269" cm="1">
        <f t="array" ref="F19">IFERROR(INDEX('Cash Flow Entry'!$G$3:$G$500,MATCH(1,INDEX((NWIU5!$C$7='Cash Flow Entry'!$B$3:$B$500)*(VALUE(NWIU5!F$7)='Cash Flow Entry'!$C$3:$C$500),0,1),0)),"")</f>
        <v>132692.51999999999</v>
      </c>
      <c r="G19" s="268" cm="1">
        <f t="array" ref="G19">IFERROR(INDEX('Cash Flow Entry'!$G$3:$G$500,MATCH(1,INDEX((NWIU5!$C$7='Cash Flow Entry'!$B$3:$B$500)*(VALUE(NWIU5!G$7)='Cash Flow Entry'!$C$3:$C$500),0,1),0)),"")</f>
        <v>185544.43</v>
      </c>
      <c r="H19" s="234" cm="1">
        <f t="array" ref="H19">IFERROR(INDEX('Cash Flow Entry'!$G$3:$G$500,MATCH(1,INDEX((NWIU5!$C$7='Cash Flow Entry'!$B$3:$B$500)*(VALUE(NWIU5!H$7)='Cash Flow Entry'!$C$3:$C$500),0,1),0)),"")</f>
        <v>183246.78</v>
      </c>
      <c r="I19" s="269" cm="1">
        <f t="array" ref="I19">IFERROR(INDEX('Cash Flow Entry'!$G$3:$G$500,MATCH(1,INDEX((NWIU5!$C$7='Cash Flow Entry'!$B$3:$B$500)*(VALUE(NWIU5!I$7)='Cash Flow Entry'!$C$3:$C$500),0,1),0)),"")</f>
        <v>156863.07</v>
      </c>
      <c r="J19" s="234" cm="1">
        <f t="array" ref="J19">IFERROR(INDEX('Cash Flow Entry'!$G$3:$G$500,MATCH(1,INDEX((NWIU5!$C$7='Cash Flow Entry'!$B$3:$B$500)*(VALUE(NWIU5!J$7)='Cash Flow Entry'!$C$3:$C$500),0,1),0)),"")+J91</f>
        <v>129783.77</v>
      </c>
      <c r="K19" s="234" cm="1">
        <f t="array" ref="K19">IFERROR(INDEX('Cash Flow Entry'!$G$3:$G$500,MATCH(1,INDEX((NWIU5!$C$7='Cash Flow Entry'!$B$3:$B$500)*(VALUE(NWIU5!K$7)='Cash Flow Entry'!$C$3:$C$500),0,1),0)),"")+J92</f>
        <v>98101.349999999991</v>
      </c>
      <c r="L19" s="234" t="str" cm="1">
        <f t="array" ref="L19">IFERROR(INDEX('Cash Flow Entry'!$G$3:$G$500,MATCH(1,INDEX((NWIU5!$C$7='Cash Flow Entry'!$B$3:$B$500)*(VALUE(NWIU5!L$7)='Cash Flow Entry'!$C$3:$C$500),0,1),0)),"")</f>
        <v/>
      </c>
      <c r="M19" s="268" t="str" cm="1">
        <f t="array" ref="M19">IFERROR(INDEX('Cash Flow Entry'!$G$3:$G$500,MATCH(1,INDEX((NWIU5!$C$7='Cash Flow Entry'!$B$3:$B$500)*(VALUE(NWIU5!M$7)='Cash Flow Entry'!$C$3:$C$500),0,1),0)),"")</f>
        <v/>
      </c>
      <c r="N19" s="234" t="str" cm="1">
        <f t="array" ref="N19">IFERROR(INDEX('Cash Flow Entry'!$G$3:$G$500,MATCH(1,INDEX((NWIU5!$C$7='Cash Flow Entry'!$B$3:$B$500)*(VALUE(NWIU5!N$7)='Cash Flow Entry'!$C$3:$C$500),0,1),0)),"")</f>
        <v/>
      </c>
      <c r="O19" s="270" t="str" cm="1">
        <f t="array" ref="O19">IFERROR(INDEX('Cash Flow Entry'!$G$3:$G$500,MATCH(1,INDEX((NWIU5!$C$7='Cash Flow Entry'!$B$3:$B$500)*(VALUE(NWIU5!O$7)='Cash Flow Entry'!$C$3:$C$500),0,1),0)),"")</f>
        <v/>
      </c>
      <c r="P19" s="234">
        <f>SUM(D19:O19)</f>
        <v>1173134.9600000002</v>
      </c>
      <c r="Q19" s="533">
        <v>447.95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ht="18.5" x14ac:dyDescent="0.45">
      <c r="B21" s="219">
        <f>INDEX('HCC Summary'!$I$9:$I$27,MATCH(NWIU5!C7,'HCC Summary'!B9:B27,0))</f>
        <v>554806.53999999992</v>
      </c>
      <c r="C21" s="282" t="s">
        <v>225</v>
      </c>
      <c r="D21" s="283">
        <v>0</v>
      </c>
      <c r="E21" s="284">
        <v>155949.76000000001</v>
      </c>
      <c r="F21" s="285">
        <v>308065.83</v>
      </c>
      <c r="G21" s="283">
        <v>385312.07</v>
      </c>
      <c r="H21" s="284">
        <v>469172.15</v>
      </c>
      <c r="I21" s="285">
        <v>503095.86</v>
      </c>
      <c r="J21" s="284">
        <v>540455.96</v>
      </c>
      <c r="K21" s="284">
        <v>554806.54</v>
      </c>
      <c r="L21" s="284"/>
      <c r="M21" s="283"/>
      <c r="N21" s="284"/>
      <c r="O21" s="286"/>
      <c r="P21" s="641">
        <f>SUM(D22:O22)</f>
        <v>-554806.54</v>
      </c>
      <c r="Q21" s="533"/>
    </row>
    <row r="22" spans="2:17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-155949.76000000001</v>
      </c>
      <c r="F22" s="269">
        <f t="shared" si="5"/>
        <v>-152116.07</v>
      </c>
      <c r="G22" s="268">
        <f t="shared" si="5"/>
        <v>-77246.239999999991</v>
      </c>
      <c r="H22" s="234">
        <f t="shared" si="5"/>
        <v>-83860.080000000016</v>
      </c>
      <c r="I22" s="269">
        <f t="shared" si="5"/>
        <v>-33923.709999999963</v>
      </c>
      <c r="J22" s="234">
        <f t="shared" si="5"/>
        <v>-37360.099999999977</v>
      </c>
      <c r="K22" s="234">
        <f t="shared" si="5"/>
        <v>-14350.580000000075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7" ht="18.5" x14ac:dyDescent="0.45">
      <c r="C23" s="267" t="s">
        <v>363</v>
      </c>
      <c r="D23" s="268">
        <f>IF(D$8="","",$U68)</f>
        <v>0</v>
      </c>
      <c r="E23" s="234">
        <f>IF(E$8="","",$U69)</f>
        <v>-107655.34</v>
      </c>
      <c r="F23" s="269">
        <f>IF(F$8="","",$U70)</f>
        <v>0</v>
      </c>
      <c r="G23" s="268">
        <f>IF(G$8="","",$U71)</f>
        <v>-138190.67000000001</v>
      </c>
      <c r="H23" s="234">
        <f>IF(H$8="","",$U72)</f>
        <v>-132119.13</v>
      </c>
      <c r="I23" s="269">
        <f>IF(I$8="","",$U73)</f>
        <v>-262593.12</v>
      </c>
      <c r="J23" s="234">
        <f>IF(J$8="","",$U74)</f>
        <v>-16921.349999999999</v>
      </c>
      <c r="K23" s="234">
        <f>IF(K$8="","",$U75)</f>
        <v>-98545.94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-756025.55</v>
      </c>
      <c r="Q23" s="533"/>
    </row>
    <row r="24" spans="2:17" ht="18.5" x14ac:dyDescent="0.45">
      <c r="C24" s="267" t="s">
        <v>25</v>
      </c>
      <c r="D24" s="268">
        <f t="shared" ref="D24:I24" si="7">IF(D$8="","",D$8*$Q$24)</f>
        <v>-29040</v>
      </c>
      <c r="E24" s="234">
        <f t="shared" si="7"/>
        <v>-28930</v>
      </c>
      <c r="F24" s="269">
        <f t="shared" si="7"/>
        <v>-29150</v>
      </c>
      <c r="G24" s="268">
        <f t="shared" si="7"/>
        <v>-29590</v>
      </c>
      <c r="H24" s="234">
        <f t="shared" si="7"/>
        <v>-29700</v>
      </c>
      <c r="I24" s="269">
        <f t="shared" si="7"/>
        <v>-29590</v>
      </c>
      <c r="J24" s="234">
        <f t="shared" ref="J24:O24" si="8">IF(J$8="","",J$8*$R$24)</f>
        <v>0</v>
      </c>
      <c r="K24" s="234">
        <f t="shared" si="8"/>
        <v>0</v>
      </c>
      <c r="L24" s="234" t="str">
        <f t="shared" si="8"/>
        <v/>
      </c>
      <c r="M24" s="268" t="str">
        <f t="shared" si="8"/>
        <v/>
      </c>
      <c r="N24" s="234" t="str">
        <f t="shared" si="8"/>
        <v/>
      </c>
      <c r="O24" s="270" t="str">
        <f t="shared" si="8"/>
        <v/>
      </c>
      <c r="P24" s="234">
        <f t="shared" si="6"/>
        <v>-176000</v>
      </c>
      <c r="Q24" s="533">
        <v>-110</v>
      </c>
    </row>
    <row r="25" spans="2:17" ht="18.5" x14ac:dyDescent="0.45">
      <c r="B25" s="213"/>
      <c r="C25" s="267" t="s">
        <v>199</v>
      </c>
      <c r="D25" s="268">
        <f>IF(D$8="","",SUM($L68:$R68))</f>
        <v>10934.88</v>
      </c>
      <c r="E25" s="234">
        <f>IF(E$8="","",SUM($L69:$R69))</f>
        <v>6725.2800000000007</v>
      </c>
      <c r="F25" s="269">
        <f>IF(F$8="","",SUM($L70:$R70))</f>
        <v>-651539.57999999996</v>
      </c>
      <c r="G25" s="268">
        <f>IF(G$8="","",SUM($L71:$R71))</f>
        <v>6222.84</v>
      </c>
      <c r="H25" s="234">
        <f>IF(H$8="","",SUM($L72:$R72))</f>
        <v>4727.3</v>
      </c>
      <c r="I25" s="269">
        <f>IF(I$8="","",SUM($L73:$R73))</f>
        <v>652455.79</v>
      </c>
      <c r="J25" s="234">
        <f>IF(J$8="","",SUM($L74:$R74))</f>
        <v>-631321.62999999989</v>
      </c>
      <c r="K25" s="234">
        <f>IF(K$8="","",SUM($L75:$S75))</f>
        <v>2899.09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-598896.0299999998</v>
      </c>
      <c r="Q25" s="533"/>
    </row>
    <row r="26" spans="2:17" ht="18.5" x14ac:dyDescent="0.45">
      <c r="C26" s="272" t="s">
        <v>200</v>
      </c>
      <c r="D26" s="273">
        <f>IF(D8="","",SUM(D18:D20,D22:D25))</f>
        <v>469084.02</v>
      </c>
      <c r="E26" s="274">
        <f t="shared" ref="E26:L26" si="9">IF(E8="","",SUM(E18:E20,E22:E25))</f>
        <v>483880.96000000008</v>
      </c>
      <c r="F26" s="275">
        <f t="shared" si="9"/>
        <v>-660940.96</v>
      </c>
      <c r="G26" s="273">
        <f t="shared" si="9"/>
        <v>369051.38999999996</v>
      </c>
      <c r="H26" s="274">
        <f t="shared" si="9"/>
        <v>578475.00000000012</v>
      </c>
      <c r="I26" s="275">
        <f t="shared" si="9"/>
        <v>1230520.6800000002</v>
      </c>
      <c r="J26" s="273">
        <f t="shared" si="9"/>
        <v>-171179.62999999983</v>
      </c>
      <c r="K26" s="274">
        <f t="shared" si="9"/>
        <v>374598.03999999992</v>
      </c>
      <c r="L26" s="275" t="str">
        <f t="shared" si="9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10">IF(O8="","",SUM(O18:O19,O22:O25))</f>
        <v/>
      </c>
      <c r="P26" s="274">
        <f>SUM(P18:P25)</f>
        <v>2673489.5000000005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ht="18.5" x14ac:dyDescent="0.45">
      <c r="C28" s="267" t="s">
        <v>223</v>
      </c>
      <c r="D28" s="268">
        <f>IF(D$8="","",D$8*$Q28)</f>
        <v>10596.960000000001</v>
      </c>
      <c r="E28" s="234">
        <f t="shared" ref="E28:O35" si="11">IF(E$8="","",E$8*$Q28)</f>
        <v>10556.82</v>
      </c>
      <c r="F28" s="269">
        <f t="shared" si="11"/>
        <v>10637.1</v>
      </c>
      <c r="G28" s="268">
        <f t="shared" si="11"/>
        <v>10797.66</v>
      </c>
      <c r="H28" s="234">
        <f t="shared" si="11"/>
        <v>10837.8</v>
      </c>
      <c r="I28" s="269">
        <f t="shared" si="11"/>
        <v>10797.66</v>
      </c>
      <c r="J28" s="234">
        <f t="shared" si="11"/>
        <v>10797.66</v>
      </c>
      <c r="K28" s="234">
        <f t="shared" si="11"/>
        <v>10797.66</v>
      </c>
      <c r="L28" s="234" t="str">
        <f t="shared" si="11"/>
        <v/>
      </c>
      <c r="M28" s="268" t="str">
        <f t="shared" si="11"/>
        <v/>
      </c>
      <c r="N28" s="234" t="str">
        <f t="shared" si="11"/>
        <v/>
      </c>
      <c r="O28" s="270" t="str">
        <f t="shared" si="11"/>
        <v/>
      </c>
      <c r="P28" s="234">
        <f>SUM(D28:O28)</f>
        <v>85819.32</v>
      </c>
      <c r="Q28" s="533">
        <v>40.14</v>
      </c>
    </row>
    <row r="29" spans="2:17" ht="18.5" x14ac:dyDescent="0.45">
      <c r="C29" s="267" t="s">
        <v>224</v>
      </c>
      <c r="D29" s="268">
        <f t="shared" ref="D29:O35" si="12">IF(D$8="","",D$8*$Q29)</f>
        <v>1056</v>
      </c>
      <c r="E29" s="234">
        <f t="shared" si="11"/>
        <v>1052</v>
      </c>
      <c r="F29" s="269">
        <f t="shared" si="11"/>
        <v>1060</v>
      </c>
      <c r="G29" s="268">
        <f t="shared" si="11"/>
        <v>1076</v>
      </c>
      <c r="H29" s="234">
        <f t="shared" si="11"/>
        <v>1080</v>
      </c>
      <c r="I29" s="269">
        <f t="shared" si="11"/>
        <v>1076</v>
      </c>
      <c r="J29" s="234">
        <f t="shared" ref="J29:O29" si="13">IF(J$8="","",J$8*$R29)</f>
        <v>0</v>
      </c>
      <c r="K29" s="234">
        <f t="shared" si="13"/>
        <v>0</v>
      </c>
      <c r="L29" s="234" t="str">
        <f t="shared" si="13"/>
        <v/>
      </c>
      <c r="M29" s="268" t="str">
        <f t="shared" si="13"/>
        <v/>
      </c>
      <c r="N29" s="234" t="str">
        <f t="shared" si="13"/>
        <v/>
      </c>
      <c r="O29" s="270" t="str">
        <f t="shared" si="13"/>
        <v/>
      </c>
      <c r="P29" s="234">
        <f t="shared" ref="P29:P35" si="14">SUM(D29:O29)</f>
        <v>6400</v>
      </c>
      <c r="Q29" s="533">
        <v>4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11"/>
        <v>0</v>
      </c>
      <c r="F30" s="234">
        <f t="shared" si="11"/>
        <v>0</v>
      </c>
      <c r="G30" s="268">
        <f t="shared" si="11"/>
        <v>0</v>
      </c>
      <c r="H30" s="234">
        <f t="shared" si="11"/>
        <v>0</v>
      </c>
      <c r="I30" s="234">
        <f t="shared" si="11"/>
        <v>0</v>
      </c>
      <c r="J30" s="268">
        <f t="shared" si="11"/>
        <v>0</v>
      </c>
      <c r="K30" s="234">
        <f t="shared" si="11"/>
        <v>0</v>
      </c>
      <c r="L30" s="234" t="str">
        <f t="shared" si="11"/>
        <v/>
      </c>
      <c r="M30" s="268" t="str">
        <f t="shared" si="11"/>
        <v/>
      </c>
      <c r="N30" s="234" t="str">
        <f t="shared" si="11"/>
        <v/>
      </c>
      <c r="O30" s="270" t="str">
        <f t="shared" si="11"/>
        <v/>
      </c>
      <c r="P30" s="234">
        <f t="shared" si="14"/>
        <v>0</v>
      </c>
      <c r="Q30" s="533">
        <v>0</v>
      </c>
    </row>
    <row r="31" spans="2:17" ht="18.5" x14ac:dyDescent="0.45">
      <c r="C31" s="267" t="s">
        <v>325</v>
      </c>
      <c r="D31" s="268">
        <f t="shared" si="12"/>
        <v>0</v>
      </c>
      <c r="E31" s="234">
        <f t="shared" si="12"/>
        <v>0</v>
      </c>
      <c r="F31" s="234">
        <f t="shared" si="12"/>
        <v>0</v>
      </c>
      <c r="G31" s="268">
        <f t="shared" si="12"/>
        <v>0</v>
      </c>
      <c r="H31" s="234">
        <f t="shared" si="12"/>
        <v>0</v>
      </c>
      <c r="I31" s="234">
        <f t="shared" si="12"/>
        <v>0</v>
      </c>
      <c r="J31" s="268">
        <f t="shared" si="12"/>
        <v>0</v>
      </c>
      <c r="K31" s="234">
        <f t="shared" si="12"/>
        <v>0</v>
      </c>
      <c r="L31" s="234" t="str">
        <f t="shared" si="12"/>
        <v/>
      </c>
      <c r="M31" s="268" t="str">
        <f t="shared" si="12"/>
        <v/>
      </c>
      <c r="N31" s="234" t="str">
        <f t="shared" si="12"/>
        <v/>
      </c>
      <c r="O31" s="270" t="str">
        <f t="shared" si="12"/>
        <v/>
      </c>
      <c r="P31" s="234">
        <f t="shared" si="14"/>
        <v>0</v>
      </c>
      <c r="Q31" s="533">
        <v>0</v>
      </c>
    </row>
    <row r="32" spans="2:17" ht="18.5" x14ac:dyDescent="0.45">
      <c r="C32" s="267" t="s">
        <v>247</v>
      </c>
      <c r="D32" s="268">
        <f t="shared" si="12"/>
        <v>0</v>
      </c>
      <c r="E32" s="234">
        <f t="shared" si="12"/>
        <v>0</v>
      </c>
      <c r="F32" s="269">
        <f t="shared" si="12"/>
        <v>0</v>
      </c>
      <c r="G32" s="268">
        <f t="shared" si="12"/>
        <v>0</v>
      </c>
      <c r="H32" s="234">
        <f t="shared" si="12"/>
        <v>0</v>
      </c>
      <c r="I32" s="269">
        <f t="shared" si="12"/>
        <v>0</v>
      </c>
      <c r="J32" s="234">
        <f t="shared" si="12"/>
        <v>0</v>
      </c>
      <c r="K32" s="234">
        <f t="shared" si="12"/>
        <v>0</v>
      </c>
      <c r="L32" s="234" t="str">
        <f t="shared" si="12"/>
        <v/>
      </c>
      <c r="M32" s="268" t="str">
        <f t="shared" si="12"/>
        <v/>
      </c>
      <c r="N32" s="234" t="str">
        <f t="shared" si="12"/>
        <v/>
      </c>
      <c r="O32" s="270" t="str">
        <f t="shared" si="12"/>
        <v/>
      </c>
      <c r="P32" s="234">
        <f t="shared" si="14"/>
        <v>0</v>
      </c>
      <c r="Q32" s="533">
        <v>0</v>
      </c>
    </row>
    <row r="33" spans="2:18" ht="18.5" x14ac:dyDescent="0.45">
      <c r="C33" s="267" t="s">
        <v>227</v>
      </c>
      <c r="D33" s="268">
        <f t="shared" si="12"/>
        <v>462</v>
      </c>
      <c r="E33" s="234">
        <f t="shared" si="11"/>
        <v>460.25</v>
      </c>
      <c r="F33" s="269">
        <f t="shared" si="11"/>
        <v>463.75</v>
      </c>
      <c r="G33" s="268">
        <f t="shared" si="11"/>
        <v>470.75</v>
      </c>
      <c r="H33" s="234">
        <f t="shared" si="11"/>
        <v>472.5</v>
      </c>
      <c r="I33" s="269">
        <f t="shared" si="11"/>
        <v>470.75</v>
      </c>
      <c r="J33" s="234">
        <f t="shared" si="11"/>
        <v>470.75</v>
      </c>
      <c r="K33" s="234">
        <f t="shared" si="11"/>
        <v>470.75</v>
      </c>
      <c r="L33" s="234" t="str">
        <f t="shared" si="11"/>
        <v/>
      </c>
      <c r="M33" s="268" t="str">
        <f t="shared" si="11"/>
        <v/>
      </c>
      <c r="N33" s="234" t="str">
        <f t="shared" si="11"/>
        <v/>
      </c>
      <c r="O33" s="270" t="str">
        <f t="shared" si="11"/>
        <v/>
      </c>
      <c r="P33" s="234">
        <f t="shared" si="14"/>
        <v>3741.5</v>
      </c>
      <c r="Q33" s="533">
        <v>1.75</v>
      </c>
    </row>
    <row r="34" spans="2:18" ht="18.5" x14ac:dyDescent="0.45">
      <c r="C34" s="267" t="s">
        <v>228</v>
      </c>
      <c r="D34" s="268">
        <f t="shared" si="12"/>
        <v>871.19999999999993</v>
      </c>
      <c r="E34" s="234">
        <f t="shared" si="11"/>
        <v>867.9</v>
      </c>
      <c r="F34" s="269">
        <f t="shared" si="11"/>
        <v>874.5</v>
      </c>
      <c r="G34" s="268">
        <f t="shared" si="11"/>
        <v>887.69999999999993</v>
      </c>
      <c r="H34" s="234">
        <f t="shared" si="11"/>
        <v>891</v>
      </c>
      <c r="I34" s="269">
        <f t="shared" si="11"/>
        <v>887.69999999999993</v>
      </c>
      <c r="J34" s="234">
        <f t="shared" si="11"/>
        <v>887.69999999999993</v>
      </c>
      <c r="K34" s="234">
        <f t="shared" si="11"/>
        <v>887.69999999999993</v>
      </c>
      <c r="L34" s="234" t="str">
        <f t="shared" si="11"/>
        <v/>
      </c>
      <c r="M34" s="268" t="str">
        <f t="shared" si="11"/>
        <v/>
      </c>
      <c r="N34" s="234" t="str">
        <f t="shared" si="11"/>
        <v/>
      </c>
      <c r="O34" s="270" t="str">
        <f t="shared" si="11"/>
        <v/>
      </c>
      <c r="P34" s="234">
        <f t="shared" si="14"/>
        <v>7055.3999999999987</v>
      </c>
      <c r="Q34" s="533">
        <v>3.3</v>
      </c>
    </row>
    <row r="35" spans="2:18" ht="18.5" x14ac:dyDescent="0.45">
      <c r="C35" s="267" t="s">
        <v>202</v>
      </c>
      <c r="D35" s="268">
        <f t="shared" si="12"/>
        <v>1045.44</v>
      </c>
      <c r="E35" s="234">
        <f t="shared" si="11"/>
        <v>1041.48</v>
      </c>
      <c r="F35" s="269">
        <f t="shared" si="11"/>
        <v>1049.4000000000001</v>
      </c>
      <c r="G35" s="268">
        <f t="shared" si="11"/>
        <v>1065.24</v>
      </c>
      <c r="H35" s="234">
        <f t="shared" si="11"/>
        <v>1069.2</v>
      </c>
      <c r="I35" s="269">
        <f t="shared" si="11"/>
        <v>1065.24</v>
      </c>
      <c r="J35" s="234">
        <f t="shared" si="11"/>
        <v>1065.24</v>
      </c>
      <c r="K35" s="234">
        <f t="shared" si="11"/>
        <v>1065.24</v>
      </c>
      <c r="L35" s="234" t="str">
        <f t="shared" si="11"/>
        <v/>
      </c>
      <c r="M35" s="268" t="str">
        <f t="shared" si="11"/>
        <v/>
      </c>
      <c r="N35" s="234" t="str">
        <f t="shared" si="11"/>
        <v/>
      </c>
      <c r="O35" s="270" t="str">
        <f t="shared" si="11"/>
        <v/>
      </c>
      <c r="P35" s="234">
        <f t="shared" si="14"/>
        <v>8466.48</v>
      </c>
      <c r="Q35" s="533">
        <v>3.96</v>
      </c>
    </row>
    <row r="36" spans="2:18" ht="18.5" x14ac:dyDescent="0.45">
      <c r="C36" s="272" t="s">
        <v>203</v>
      </c>
      <c r="D36" s="273">
        <f t="shared" ref="D36:P36" si="15">IF(D$8="","",SUM(D28:D35))</f>
        <v>14031.600000000002</v>
      </c>
      <c r="E36" s="274">
        <f t="shared" si="15"/>
        <v>13978.449999999999</v>
      </c>
      <c r="F36" s="275">
        <f t="shared" si="15"/>
        <v>14084.75</v>
      </c>
      <c r="G36" s="273">
        <f t="shared" si="15"/>
        <v>14297.35</v>
      </c>
      <c r="H36" s="274">
        <f t="shared" si="15"/>
        <v>14350.5</v>
      </c>
      <c r="I36" s="275">
        <f t="shared" si="15"/>
        <v>14297.35</v>
      </c>
      <c r="J36" s="274">
        <f t="shared" si="15"/>
        <v>13221.35</v>
      </c>
      <c r="K36" s="274">
        <f t="shared" si="15"/>
        <v>13221.35</v>
      </c>
      <c r="L36" s="274" t="str">
        <f t="shared" si="15"/>
        <v/>
      </c>
      <c r="M36" s="273" t="str">
        <f t="shared" si="15"/>
        <v/>
      </c>
      <c r="N36" s="274" t="str">
        <f t="shared" si="15"/>
        <v/>
      </c>
      <c r="O36" s="276" t="str">
        <f t="shared" si="15"/>
        <v/>
      </c>
      <c r="P36" s="274">
        <f t="shared" si="15"/>
        <v>111482.7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26075.279999999999</v>
      </c>
      <c r="E38" s="234">
        <f t="shared" ref="E38:O41" si="16">IF(E$8="","",E$8*$Q38)</f>
        <v>25976.51</v>
      </c>
      <c r="F38" s="269">
        <f t="shared" si="16"/>
        <v>26174.05</v>
      </c>
      <c r="G38" s="268">
        <f t="shared" si="16"/>
        <v>26569.129999999997</v>
      </c>
      <c r="H38" s="234">
        <f t="shared" si="16"/>
        <v>26667.899999999998</v>
      </c>
      <c r="I38" s="269">
        <f t="shared" si="16"/>
        <v>26569.129999999997</v>
      </c>
      <c r="J38" s="234">
        <f t="shared" si="16"/>
        <v>26569.129999999997</v>
      </c>
      <c r="K38" s="234">
        <f t="shared" si="16"/>
        <v>26569.129999999997</v>
      </c>
      <c r="L38" s="234" t="str">
        <f t="shared" si="16"/>
        <v/>
      </c>
      <c r="M38" s="268" t="str">
        <f t="shared" si="16"/>
        <v/>
      </c>
      <c r="N38" s="234" t="str">
        <f t="shared" si="16"/>
        <v/>
      </c>
      <c r="O38" s="270" t="str">
        <f t="shared" si="16"/>
        <v/>
      </c>
      <c r="P38" s="234">
        <f>SUM(D38:O38)</f>
        <v>211170.26</v>
      </c>
      <c r="Q38" s="533">
        <v>98.77</v>
      </c>
    </row>
    <row r="39" spans="2:18" ht="18.5" x14ac:dyDescent="0.45">
      <c r="C39" s="267" t="s">
        <v>205</v>
      </c>
      <c r="D39" s="268">
        <f t="shared" ref="D39:D41" si="17">IF(D$8="","",D$8*$Q39)</f>
        <v>96729.599999999991</v>
      </c>
      <c r="E39" s="234">
        <f t="shared" si="16"/>
        <v>96363.199999999997</v>
      </c>
      <c r="F39" s="269">
        <f t="shared" si="16"/>
        <v>97096</v>
      </c>
      <c r="G39" s="268">
        <f t="shared" si="16"/>
        <v>98561.599999999991</v>
      </c>
      <c r="H39" s="234">
        <f t="shared" si="16"/>
        <v>98928</v>
      </c>
      <c r="I39" s="269">
        <f t="shared" ref="I39:O39" si="18">IF(I$8="","",I$8*$R39)</f>
        <v>44761.599999999991</v>
      </c>
      <c r="J39" s="234">
        <f t="shared" si="18"/>
        <v>44761.599999999991</v>
      </c>
      <c r="K39" s="234">
        <f t="shared" si="18"/>
        <v>44761.599999999991</v>
      </c>
      <c r="L39" s="234" t="str">
        <f t="shared" si="18"/>
        <v/>
      </c>
      <c r="M39" s="268" t="str">
        <f t="shared" si="18"/>
        <v/>
      </c>
      <c r="N39" s="234" t="str">
        <f t="shared" si="18"/>
        <v/>
      </c>
      <c r="O39" s="270" t="str">
        <f t="shared" si="18"/>
        <v/>
      </c>
      <c r="P39" s="234">
        <f t="shared" ref="P39:P41" si="19">SUM(D39:O39)</f>
        <v>621963.19999999995</v>
      </c>
      <c r="Q39" s="533">
        <v>366.4</v>
      </c>
      <c r="R39" s="11">
        <f>Q39-200</f>
        <v>166.39999999999998</v>
      </c>
    </row>
    <row r="40" spans="2:18" ht="18.5" x14ac:dyDescent="0.45">
      <c r="C40" s="267" t="s">
        <v>322</v>
      </c>
      <c r="D40" s="268">
        <f t="shared" ref="D40:O40" si="20">IF(D$8="","",D$8*$Q40)</f>
        <v>1056</v>
      </c>
      <c r="E40" s="234">
        <f t="shared" si="20"/>
        <v>1052</v>
      </c>
      <c r="F40" s="269">
        <f t="shared" si="20"/>
        <v>1060</v>
      </c>
      <c r="G40" s="234">
        <f t="shared" si="20"/>
        <v>1076</v>
      </c>
      <c r="H40" s="234">
        <f t="shared" si="20"/>
        <v>1080</v>
      </c>
      <c r="I40" s="269">
        <f t="shared" si="20"/>
        <v>1076</v>
      </c>
      <c r="J40" s="234">
        <f t="shared" si="20"/>
        <v>1076</v>
      </c>
      <c r="K40" s="234">
        <f t="shared" si="20"/>
        <v>1076</v>
      </c>
      <c r="L40" s="234" t="str">
        <f t="shared" si="20"/>
        <v/>
      </c>
      <c r="M40" s="268" t="str">
        <f t="shared" si="20"/>
        <v/>
      </c>
      <c r="N40" s="234" t="str">
        <f t="shared" si="20"/>
        <v/>
      </c>
      <c r="O40" s="270" t="str">
        <f t="shared" si="20"/>
        <v/>
      </c>
      <c r="P40" s="234">
        <f>SUM(D40:O40)</f>
        <v>8552</v>
      </c>
      <c r="Q40" s="533">
        <v>4</v>
      </c>
    </row>
    <row r="41" spans="2:18" ht="18.5" x14ac:dyDescent="0.45">
      <c r="C41" s="267" t="s">
        <v>206</v>
      </c>
      <c r="D41" s="268">
        <f t="shared" si="17"/>
        <v>760.31999999999994</v>
      </c>
      <c r="E41" s="234">
        <f t="shared" si="16"/>
        <v>757.43999999999994</v>
      </c>
      <c r="F41" s="269">
        <f t="shared" si="16"/>
        <v>763.19999999999993</v>
      </c>
      <c r="G41" s="268">
        <f t="shared" si="16"/>
        <v>774.72</v>
      </c>
      <c r="H41" s="234">
        <f t="shared" si="16"/>
        <v>777.6</v>
      </c>
      <c r="I41" s="269">
        <f t="shared" si="16"/>
        <v>774.72</v>
      </c>
      <c r="J41" s="234">
        <f t="shared" si="16"/>
        <v>774.72</v>
      </c>
      <c r="K41" s="234">
        <f t="shared" si="16"/>
        <v>774.72</v>
      </c>
      <c r="L41" s="234" t="str">
        <f t="shared" si="16"/>
        <v/>
      </c>
      <c r="M41" s="268" t="str">
        <f t="shared" si="16"/>
        <v/>
      </c>
      <c r="N41" s="234" t="str">
        <f t="shared" si="16"/>
        <v/>
      </c>
      <c r="O41" s="270" t="str">
        <f t="shared" si="16"/>
        <v/>
      </c>
      <c r="P41" s="234">
        <f t="shared" si="19"/>
        <v>6157.44</v>
      </c>
      <c r="Q41" s="533">
        <v>2.88</v>
      </c>
    </row>
    <row r="42" spans="2:18" ht="18.5" x14ac:dyDescent="0.45">
      <c r="C42" s="272" t="s">
        <v>207</v>
      </c>
      <c r="D42" s="273">
        <f t="shared" ref="D42:P42" si="21">IF(D$8="","",SUM(D38:D41))</f>
        <v>124621.2</v>
      </c>
      <c r="E42" s="274">
        <f t="shared" si="21"/>
        <v>124149.15</v>
      </c>
      <c r="F42" s="275">
        <f t="shared" si="21"/>
        <v>125093.25</v>
      </c>
      <c r="G42" s="273">
        <f t="shared" si="21"/>
        <v>126981.44999999998</v>
      </c>
      <c r="H42" s="274">
        <f t="shared" si="21"/>
        <v>127453.5</v>
      </c>
      <c r="I42" s="275">
        <f t="shared" si="21"/>
        <v>73181.449999999983</v>
      </c>
      <c r="J42" s="274">
        <f t="shared" si="21"/>
        <v>73181.449999999983</v>
      </c>
      <c r="K42" s="274">
        <f t="shared" si="21"/>
        <v>73181.449999999983</v>
      </c>
      <c r="L42" s="274" t="str">
        <f t="shared" si="21"/>
        <v/>
      </c>
      <c r="M42" s="273" t="str">
        <f t="shared" si="21"/>
        <v/>
      </c>
      <c r="N42" s="274" t="str">
        <f t="shared" si="21"/>
        <v/>
      </c>
      <c r="O42" s="276" t="str">
        <f t="shared" si="21"/>
        <v/>
      </c>
      <c r="P42" s="274">
        <f t="shared" si="21"/>
        <v>847842.89999999991</v>
      </c>
      <c r="Q42" s="30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234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 t="s">
        <v>191</v>
      </c>
      <c r="C44" s="267" t="s">
        <v>209</v>
      </c>
      <c r="D44" s="268">
        <f t="shared" ref="D44:O48" si="22">IF(D$8="","",0)</f>
        <v>0</v>
      </c>
      <c r="E44" s="234">
        <f t="shared" si="22"/>
        <v>0</v>
      </c>
      <c r="F44" s="234">
        <f t="shared" si="22"/>
        <v>0</v>
      </c>
      <c r="G44" s="268">
        <f>416.5/19</f>
        <v>21.921052631578949</v>
      </c>
      <c r="H44" s="234">
        <f t="shared" si="22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22"/>
        <v/>
      </c>
      <c r="M44" s="268" t="str">
        <f t="shared" si="22"/>
        <v/>
      </c>
      <c r="N44" s="234" t="str">
        <f t="shared" si="22"/>
        <v/>
      </c>
      <c r="O44" s="234" t="str">
        <f t="shared" si="22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22"/>
        <v>0</v>
      </c>
      <c r="E45" s="234">
        <f t="shared" si="22"/>
        <v>0</v>
      </c>
      <c r="F45" s="269">
        <f t="shared" si="22"/>
        <v>0</v>
      </c>
      <c r="G45" s="268">
        <f t="shared" si="22"/>
        <v>0</v>
      </c>
      <c r="H45" s="234">
        <f>15600/19</f>
        <v>821.0526315789474</v>
      </c>
      <c r="I45" s="234">
        <f t="shared" si="22"/>
        <v>0</v>
      </c>
      <c r="J45" s="268">
        <f t="shared" si="22"/>
        <v>0</v>
      </c>
      <c r="K45" s="234">
        <f t="shared" si="22"/>
        <v>0</v>
      </c>
      <c r="L45" s="234" t="str">
        <f t="shared" si="22"/>
        <v/>
      </c>
      <c r="M45" s="268" t="str">
        <f t="shared" si="22"/>
        <v/>
      </c>
      <c r="N45" s="234" t="str">
        <f t="shared" si="22"/>
        <v/>
      </c>
      <c r="O45" s="234" t="str">
        <f t="shared" si="22"/>
        <v/>
      </c>
      <c r="P45" s="474">
        <f t="shared" ref="P45:P48" si="23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22"/>
        <v>0</v>
      </c>
      <c r="E46" s="234">
        <f t="shared" si="22"/>
        <v>0</v>
      </c>
      <c r="F46" s="269">
        <f t="shared" si="22"/>
        <v>0</v>
      </c>
      <c r="G46" s="268">
        <f t="shared" si="22"/>
        <v>0</v>
      </c>
      <c r="H46" s="234">
        <f t="shared" si="22"/>
        <v>0</v>
      </c>
      <c r="I46" s="234">
        <f t="shared" si="22"/>
        <v>0</v>
      </c>
      <c r="J46" s="268">
        <f t="shared" si="22"/>
        <v>0</v>
      </c>
      <c r="K46" s="234">
        <f t="shared" si="22"/>
        <v>0</v>
      </c>
      <c r="L46" s="234" t="str">
        <f t="shared" si="22"/>
        <v/>
      </c>
      <c r="M46" s="268" t="str">
        <f t="shared" si="22"/>
        <v/>
      </c>
      <c r="N46" s="234" t="str">
        <f t="shared" si="22"/>
        <v/>
      </c>
      <c r="O46" s="234" t="str">
        <f t="shared" si="22"/>
        <v/>
      </c>
      <c r="P46" s="474">
        <f t="shared" si="23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22"/>
        <v>0</v>
      </c>
      <c r="E47" s="234">
        <f t="shared" si="22"/>
        <v>0</v>
      </c>
      <c r="F47" s="234">
        <f t="shared" si="22"/>
        <v>0</v>
      </c>
      <c r="G47" s="268">
        <f t="shared" si="22"/>
        <v>0</v>
      </c>
      <c r="H47" s="234">
        <f t="shared" si="22"/>
        <v>0</v>
      </c>
      <c r="I47" s="234">
        <f t="shared" si="22"/>
        <v>0</v>
      </c>
      <c r="J47" s="268">
        <f t="shared" si="22"/>
        <v>0</v>
      </c>
      <c r="K47" s="234">
        <f t="shared" si="22"/>
        <v>0</v>
      </c>
      <c r="L47" s="234" t="str">
        <f t="shared" si="22"/>
        <v/>
      </c>
      <c r="M47" s="268" t="str">
        <f t="shared" si="22"/>
        <v/>
      </c>
      <c r="N47" s="234" t="str">
        <f t="shared" si="22"/>
        <v/>
      </c>
      <c r="O47" s="270" t="str">
        <f t="shared" si="22"/>
        <v/>
      </c>
      <c r="P47" s="234">
        <f t="shared" si="23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22"/>
        <v>0</v>
      </c>
      <c r="F48" s="456">
        <f t="shared" si="22"/>
        <v>0</v>
      </c>
      <c r="G48" s="458">
        <f t="shared" si="22"/>
        <v>0</v>
      </c>
      <c r="H48" s="234">
        <f t="shared" si="22"/>
        <v>0</v>
      </c>
      <c r="I48" s="456">
        <f t="shared" si="22"/>
        <v>0</v>
      </c>
      <c r="J48" s="268">
        <f t="shared" si="22"/>
        <v>0</v>
      </c>
      <c r="K48" s="457">
        <f t="shared" si="22"/>
        <v>0</v>
      </c>
      <c r="L48" s="456" t="str">
        <f t="shared" si="22"/>
        <v/>
      </c>
      <c r="M48" s="458" t="str">
        <f t="shared" si="22"/>
        <v/>
      </c>
      <c r="N48" s="234" t="str">
        <f t="shared" si="22"/>
        <v/>
      </c>
      <c r="O48" s="525" t="str">
        <f t="shared" si="22"/>
        <v/>
      </c>
      <c r="P48" s="475">
        <f t="shared" si="23"/>
        <v>0</v>
      </c>
      <c r="Q48" s="244"/>
    </row>
    <row r="49" spans="2:17" ht="18.5" x14ac:dyDescent="0.45">
      <c r="C49" s="272" t="s">
        <v>229</v>
      </c>
      <c r="D49" s="273">
        <f t="shared" ref="D49:P49" si="24">IF(D$8="","",SUM(D44:D48))</f>
        <v>0</v>
      </c>
      <c r="E49" s="274">
        <f t="shared" si="24"/>
        <v>0</v>
      </c>
      <c r="F49" s="275">
        <f t="shared" si="24"/>
        <v>0</v>
      </c>
      <c r="G49" s="273">
        <f t="shared" si="24"/>
        <v>21.921052631578949</v>
      </c>
      <c r="H49" s="274">
        <f t="shared" si="24"/>
        <v>821.0526315789474</v>
      </c>
      <c r="I49" s="275">
        <f t="shared" si="24"/>
        <v>12.102631578947367</v>
      </c>
      <c r="J49" s="274">
        <f t="shared" si="24"/>
        <v>31.315789473684209</v>
      </c>
      <c r="K49" s="274">
        <f t="shared" si="24"/>
        <v>56.368421052631582</v>
      </c>
      <c r="L49" s="274" t="str">
        <f t="shared" si="24"/>
        <v/>
      </c>
      <c r="M49" s="273" t="str">
        <f t="shared" si="24"/>
        <v/>
      </c>
      <c r="N49" s="274" t="str">
        <f t="shared" si="24"/>
        <v/>
      </c>
      <c r="O49" s="276" t="str">
        <f t="shared" si="24"/>
        <v/>
      </c>
      <c r="P49" s="557">
        <f t="shared" si="24"/>
        <v>942.76052631578955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-147173.56999999995</v>
      </c>
      <c r="E51" s="289">
        <f>IF(E8="","",E14-SUM(E26,E36,E42,E49))</f>
        <v>-152301.56000000006</v>
      </c>
      <c r="F51" s="290">
        <f>IF(F8="","",F14-SUM(F26,F36,F42,F49))</f>
        <v>982279.96</v>
      </c>
      <c r="G51" s="288">
        <f>IF(G8="","",G14-SUM(G26,G36,G42,G49))</f>
        <v>-41921.361052631517</v>
      </c>
      <c r="H51" s="289">
        <f>IF(H8="","",H14-SUM(H26,H36,H42,H49))</f>
        <v>-255118.80263157911</v>
      </c>
      <c r="I51" s="290">
        <f>IF(I8="","",I14-SUM(I26,I36,I42,I49))</f>
        <v>-852641.83263157913</v>
      </c>
      <c r="J51" s="289">
        <f>IF(J8="","",J14-SUM(J26,J36,J42,J49))</f>
        <v>551953.26421052613</v>
      </c>
      <c r="K51" s="289">
        <f>IF(K8="","",K14-SUM(K26,K36,K42,K49))</f>
        <v>7377.0415789475082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92453.139473683666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1422343.99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1514797.1294736837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0</v>
      </c>
      <c r="E56" s="234">
        <f>IF(E12="","",-E12)</f>
        <v>0</v>
      </c>
      <c r="F56" s="269">
        <f>IF(F12="","",-F12)</f>
        <v>0</v>
      </c>
      <c r="G56" s="268">
        <f>IF(G12="","",-G12)</f>
        <v>0</v>
      </c>
      <c r="H56" s="234">
        <f>IF(H12="","",-H12)</f>
        <v>0</v>
      </c>
      <c r="I56" s="269">
        <f>IF(I12="","",-I12)</f>
        <v>0</v>
      </c>
      <c r="J56" s="234">
        <f>IF(J12="","",-J12)</f>
        <v>0</v>
      </c>
      <c r="K56" s="234">
        <f>IF(K12="","",-K12)</f>
        <v>0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0</v>
      </c>
      <c r="Q56" s="244"/>
    </row>
    <row r="57" spans="2:17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5">IF(E$8="","",0)</f>
        <v>0</v>
      </c>
      <c r="F57" s="269">
        <f t="shared" si="25"/>
        <v>0</v>
      </c>
      <c r="G57" s="268">
        <f t="shared" si="25"/>
        <v>0</v>
      </c>
      <c r="H57" s="234">
        <f t="shared" si="25"/>
        <v>0</v>
      </c>
      <c r="I57" s="269">
        <f t="shared" si="25"/>
        <v>0</v>
      </c>
      <c r="J57" s="234">
        <f t="shared" si="25"/>
        <v>0</v>
      </c>
      <c r="K57" s="234">
        <f t="shared" si="25"/>
        <v>0</v>
      </c>
      <c r="L57" s="234" t="str">
        <f t="shared" si="25"/>
        <v/>
      </c>
      <c r="M57" s="268" t="str">
        <f t="shared" si="25"/>
        <v/>
      </c>
      <c r="N57" s="234" t="str">
        <f t="shared" si="25"/>
        <v/>
      </c>
      <c r="O57" s="270" t="str">
        <f t="shared" si="25"/>
        <v/>
      </c>
      <c r="P57" s="234">
        <f>SUM(D57:O57)</f>
        <v>0</v>
      </c>
      <c r="Q57" s="244"/>
    </row>
    <row r="58" spans="2:17" ht="18.5" x14ac:dyDescent="0.45">
      <c r="C58" s="296" t="s">
        <v>234</v>
      </c>
      <c r="D58" s="297">
        <f>IF(D$8="","",SUM(D56:D57))</f>
        <v>0</v>
      </c>
      <c r="E58" s="298">
        <f t="shared" ref="E58:O58" si="26">IF(E$8="","",SUM(E56:E57))</f>
        <v>0</v>
      </c>
      <c r="F58" s="299">
        <f t="shared" si="26"/>
        <v>0</v>
      </c>
      <c r="G58" s="297">
        <f t="shared" si="26"/>
        <v>0</v>
      </c>
      <c r="H58" s="298">
        <f t="shared" si="26"/>
        <v>0</v>
      </c>
      <c r="I58" s="299">
        <f t="shared" si="26"/>
        <v>0</v>
      </c>
      <c r="J58" s="298">
        <f t="shared" si="26"/>
        <v>0</v>
      </c>
      <c r="K58" s="298">
        <f t="shared" si="26"/>
        <v>0</v>
      </c>
      <c r="L58" s="298" t="str">
        <f t="shared" si="26"/>
        <v/>
      </c>
      <c r="M58" s="297" t="str">
        <f t="shared" si="26"/>
        <v/>
      </c>
      <c r="N58" s="298" t="str">
        <f t="shared" si="26"/>
        <v/>
      </c>
      <c r="O58" s="300" t="str">
        <f t="shared" si="26"/>
        <v/>
      </c>
      <c r="P58" s="298">
        <f>SUM(P56:P57)</f>
        <v>0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0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0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174303.47</v>
      </c>
      <c r="E68" s="246">
        <v>90739.31</v>
      </c>
      <c r="F68" s="246">
        <v>66518.03</v>
      </c>
      <c r="G68" s="246">
        <v>155628.32999999999</v>
      </c>
      <c r="H68" s="246">
        <v>0</v>
      </c>
      <c r="I68" s="308">
        <v>-16067.04</v>
      </c>
      <c r="J68" s="309">
        <f>SUM(D68:I68)</f>
        <v>471122.10000000003</v>
      </c>
      <c r="K68" s="310">
        <v>264</v>
      </c>
      <c r="L68" s="307">
        <f>17.33+7.53+1124.49+7056.48</f>
        <v>8205.83</v>
      </c>
      <c r="M68" s="246">
        <v>0</v>
      </c>
      <c r="N68" s="246">
        <f>12.32</f>
        <v>12.32</v>
      </c>
      <c r="O68" s="246">
        <f>120+550+1210</f>
        <v>1880</v>
      </c>
      <c r="P68" s="246">
        <f>750.3</f>
        <v>750.3</v>
      </c>
      <c r="Q68" s="246">
        <f>73.53+5.16+5.16+2.58</f>
        <v>86.429999999999993</v>
      </c>
      <c r="R68" s="246">
        <v>0</v>
      </c>
      <c r="S68" s="246">
        <v>0</v>
      </c>
      <c r="T68" s="246">
        <v>0</v>
      </c>
      <c r="U68" s="323">
        <v>0</v>
      </c>
    </row>
    <row r="69" spans="3:21" ht="18.5" x14ac:dyDescent="0.45">
      <c r="C69" s="306" t="str">
        <f>Addendum!E11</f>
        <v>August</v>
      </c>
      <c r="D69" s="307">
        <v>150035.78</v>
      </c>
      <c r="E69" s="246">
        <v>113779.85</v>
      </c>
      <c r="F69" s="246">
        <v>206118.63</v>
      </c>
      <c r="G69" s="246">
        <v>171135.59</v>
      </c>
      <c r="H69" s="246">
        <v>128620.93</v>
      </c>
      <c r="I69" s="308">
        <v>-16371.34</v>
      </c>
      <c r="J69" s="309">
        <f t="shared" ref="J69:J79" si="27">SUM(D69:I69)</f>
        <v>753319.44000000006</v>
      </c>
      <c r="K69" s="311">
        <v>269</v>
      </c>
      <c r="L69" s="307">
        <f>-10.31+100.46+100.02+1488.18+563.72</f>
        <v>2242.0700000000002</v>
      </c>
      <c r="M69" s="246">
        <v>0</v>
      </c>
      <c r="N69" s="246">
        <f>12.32</f>
        <v>12.32</v>
      </c>
      <c r="O69" s="246">
        <f>360+1100+1650</f>
        <v>3110</v>
      </c>
      <c r="P69" s="246">
        <f>114.65+400+600</f>
        <v>1114.6500000000001</v>
      </c>
      <c r="Q69" s="246">
        <f>176.23+22.37+27.1+8.81+11.73</f>
        <v>246.23999999999998</v>
      </c>
      <c r="R69" s="246">
        <v>0</v>
      </c>
      <c r="S69" s="246">
        <v>0</v>
      </c>
      <c r="T69" s="246">
        <v>0</v>
      </c>
      <c r="U69" s="323">
        <v>-107655.34</v>
      </c>
    </row>
    <row r="70" spans="3:21" ht="18.5" x14ac:dyDescent="0.45">
      <c r="C70" s="306" t="str">
        <f>Addendum!E12</f>
        <v>September</v>
      </c>
      <c r="D70" s="307">
        <v>170516.17</v>
      </c>
      <c r="E70" s="246">
        <v>221912.02</v>
      </c>
      <c r="F70" s="246">
        <v>-336222.43</v>
      </c>
      <c r="G70" s="246">
        <v>115658.93</v>
      </c>
      <c r="H70" s="246">
        <v>0</v>
      </c>
      <c r="I70" s="308">
        <v>-16144.62</v>
      </c>
      <c r="J70" s="309">
        <f>SUM(D70:I70)</f>
        <v>155720.07</v>
      </c>
      <c r="K70" s="311">
        <v>266</v>
      </c>
      <c r="L70" s="307">
        <f>-4259.25-6987.04+35.95+9423.5</f>
        <v>-1786.8400000000001</v>
      </c>
      <c r="M70" s="246">
        <v>0</v>
      </c>
      <c r="N70" s="246">
        <f>12.32</f>
        <v>12.32</v>
      </c>
      <c r="O70" s="246">
        <f>260+550</f>
        <v>810</v>
      </c>
      <c r="P70" s="246">
        <f>30.55-651174.57+400</f>
        <v>-650744.0199999999</v>
      </c>
      <c r="Q70" s="246">
        <f>85.96+15.75+24.99+42.26</f>
        <v>168.95999999999998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157035.81</v>
      </c>
      <c r="E71" s="246">
        <v>225265.52</v>
      </c>
      <c r="F71" s="246">
        <v>127360.84</v>
      </c>
      <c r="G71" s="246">
        <v>98193.29</v>
      </c>
      <c r="H71" s="246">
        <v>0</v>
      </c>
      <c r="I71" s="308">
        <v>-16509.78</v>
      </c>
      <c r="J71" s="309">
        <f t="shared" si="27"/>
        <v>591345.67999999993</v>
      </c>
      <c r="K71" s="311">
        <v>272</v>
      </c>
      <c r="L71" s="307">
        <f>122.71+1644.91+1271.85</f>
        <v>3039.4700000000003</v>
      </c>
      <c r="M71" s="246">
        <f>1121.59</f>
        <v>1121.5899999999999</v>
      </c>
      <c r="N71" s="246">
        <f>12.32</f>
        <v>12.32</v>
      </c>
      <c r="O71" s="246">
        <f>220+220+880</f>
        <v>1320</v>
      </c>
      <c r="P71" s="246">
        <v>0</v>
      </c>
      <c r="Q71" s="246">
        <f>135.92+7.65+585.89</f>
        <v>729.46</v>
      </c>
      <c r="R71" s="246">
        <v>0</v>
      </c>
      <c r="S71" s="246">
        <v>0</v>
      </c>
      <c r="T71" s="246">
        <v>0</v>
      </c>
      <c r="U71" s="323">
        <v>-138190.67000000001</v>
      </c>
    </row>
    <row r="72" spans="3:21" ht="18.5" x14ac:dyDescent="0.45">
      <c r="C72" s="306" t="str">
        <f>Addendum!E14</f>
        <v>November</v>
      </c>
      <c r="D72" s="307">
        <v>163028.41</v>
      </c>
      <c r="E72" s="246">
        <v>91785.69</v>
      </c>
      <c r="F72" s="246">
        <v>186435.33</v>
      </c>
      <c r="G72" s="246">
        <v>290912.98</v>
      </c>
      <c r="H72" s="246">
        <v>87264.5</v>
      </c>
      <c r="I72" s="308">
        <v>-16327.2</v>
      </c>
      <c r="J72" s="309">
        <f t="shared" si="27"/>
        <v>803099.71</v>
      </c>
      <c r="K72" s="311">
        <v>270</v>
      </c>
      <c r="L72" s="307">
        <f>42.19+966.68+12.74-131.94-37.29</f>
        <v>852.37999999999988</v>
      </c>
      <c r="M72" s="246">
        <f>266.2</f>
        <v>266.2</v>
      </c>
      <c r="N72" s="246">
        <v>12.32</v>
      </c>
      <c r="O72" s="246">
        <f>220+440+1870</f>
        <v>2530</v>
      </c>
      <c r="P72" s="246">
        <f>879.76</f>
        <v>879.76</v>
      </c>
      <c r="Q72" s="246">
        <f>7.65+375.72+0.25+31.5-81.51-164.15+17.18</f>
        <v>186.64000000000001</v>
      </c>
      <c r="R72" s="246">
        <v>0</v>
      </c>
      <c r="S72" s="246">
        <v>0</v>
      </c>
      <c r="T72" s="246">
        <v>0</v>
      </c>
      <c r="U72" s="323">
        <v>-132119.13</v>
      </c>
    </row>
    <row r="73" spans="3:21" ht="18.5" x14ac:dyDescent="0.45">
      <c r="C73" s="306" t="str">
        <f>Addendum!E15</f>
        <v>December</v>
      </c>
      <c r="D73" s="307">
        <v>113390.89</v>
      </c>
      <c r="E73" s="246">
        <v>86893.56</v>
      </c>
      <c r="F73" s="246">
        <v>79287.53</v>
      </c>
      <c r="G73" s="246">
        <v>635829.29</v>
      </c>
      <c r="H73" s="246">
        <v>0</v>
      </c>
      <c r="I73" s="308">
        <v>-16310.48</v>
      </c>
      <c r="J73" s="309">
        <f t="shared" si="27"/>
        <v>899090.79</v>
      </c>
      <c r="K73" s="311">
        <v>268</v>
      </c>
      <c r="L73" s="307">
        <f>869.16-28.79-779.38+11.35</f>
        <v>72.34</v>
      </c>
      <c r="M73" s="246">
        <v>0</v>
      </c>
      <c r="N73" s="246">
        <v>12.32</v>
      </c>
      <c r="O73" s="246">
        <f>180+220+660</f>
        <v>1060</v>
      </c>
      <c r="P73" s="246">
        <f>651174.57</f>
        <v>651174.56999999995</v>
      </c>
      <c r="Q73" s="246">
        <f>7.65+7.65+20.6+15.26+85.4</f>
        <v>136.56</v>
      </c>
      <c r="R73" s="246">
        <v>0</v>
      </c>
      <c r="S73" s="246">
        <v>0</v>
      </c>
      <c r="T73" s="246">
        <v>0</v>
      </c>
      <c r="U73" s="323">
        <f>-230334.57-32258.55</f>
        <v>-262593.12</v>
      </c>
    </row>
    <row r="74" spans="3:21" ht="18.5" x14ac:dyDescent="0.45">
      <c r="C74" s="306" t="str">
        <f>Addendum!E16</f>
        <v>January 2025</v>
      </c>
      <c r="D74" s="307">
        <v>134528.39000000001</v>
      </c>
      <c r="E74" s="246">
        <v>61111.87</v>
      </c>
      <c r="F74" s="246">
        <v>-31617.71</v>
      </c>
      <c r="G74" s="246">
        <v>132094.75</v>
      </c>
      <c r="H74" s="246">
        <v>118833.35</v>
      </c>
      <c r="I74" s="308">
        <v>11873.66</v>
      </c>
      <c r="J74" s="309">
        <f t="shared" si="27"/>
        <v>426824.31</v>
      </c>
      <c r="K74" s="311">
        <v>269</v>
      </c>
      <c r="L74" s="307">
        <f>298.13-862.01-893.33+223.79-261.4</f>
        <v>-1494.8200000000002</v>
      </c>
      <c r="M74" s="246">
        <v>0</v>
      </c>
      <c r="N74" s="246">
        <f>12.32</f>
        <v>12.32</v>
      </c>
      <c r="O74" s="246">
        <f>200+110+440</f>
        <v>750</v>
      </c>
      <c r="P74" s="246">
        <f>-651174.57+52.16+19719.67</f>
        <v>-631402.73999999987</v>
      </c>
      <c r="Q74" s="246">
        <f>166.33+19.73+509.69+37.88+7.65+72.33</f>
        <v>813.61</v>
      </c>
      <c r="R74" s="246">
        <v>0</v>
      </c>
      <c r="S74" s="246">
        <v>0</v>
      </c>
      <c r="T74" s="246">
        <v>0</v>
      </c>
      <c r="U74" s="323">
        <v>-16921.349999999999</v>
      </c>
    </row>
    <row r="75" spans="3:21" ht="18.5" x14ac:dyDescent="0.45">
      <c r="C75" s="306" t="str">
        <f>Addendum!E17</f>
        <v>February</v>
      </c>
      <c r="D75" s="307">
        <v>43354.13</v>
      </c>
      <c r="E75" s="246">
        <v>141942.84</v>
      </c>
      <c r="F75" s="246">
        <v>100894.73</v>
      </c>
      <c r="G75" s="246">
        <v>101748.32</v>
      </c>
      <c r="H75" s="246">
        <v>0</v>
      </c>
      <c r="I75" s="308">
        <v>11873.66</v>
      </c>
      <c r="J75" s="309">
        <f t="shared" si="27"/>
        <v>399813.68</v>
      </c>
      <c r="K75" s="311">
        <v>269</v>
      </c>
      <c r="L75" s="307">
        <f>-758.8+41+35.72+31.91</f>
        <v>-650.16999999999996</v>
      </c>
      <c r="M75" s="246">
        <v>0</v>
      </c>
      <c r="N75" s="246">
        <f>12.53</f>
        <v>12.53</v>
      </c>
      <c r="O75" s="246">
        <f>320+220+220</f>
        <v>760</v>
      </c>
      <c r="P75" s="246">
        <f>2606.85</f>
        <v>2606.85</v>
      </c>
      <c r="Q75" s="246">
        <f>102.57+14.17+38.24+7.25</f>
        <v>162.22999999999999</v>
      </c>
      <c r="R75" s="246">
        <f>7.65</f>
        <v>7.65</v>
      </c>
      <c r="S75" s="246">
        <v>0</v>
      </c>
      <c r="T75" s="246">
        <v>0</v>
      </c>
      <c r="U75" s="323">
        <v>-98545.94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7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7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7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7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1106193.0499999998</v>
      </c>
      <c r="E80" s="314">
        <f t="shared" ref="E80:J80" si="28">SUM(E68:E79)</f>
        <v>1033430.6599999999</v>
      </c>
      <c r="F80" s="314">
        <f t="shared" si="28"/>
        <v>398774.95</v>
      </c>
      <c r="G80" s="314">
        <f t="shared" si="28"/>
        <v>1701201.4800000002</v>
      </c>
      <c r="H80" s="314">
        <f t="shared" si="28"/>
        <v>334718.78000000003</v>
      </c>
      <c r="I80" s="315">
        <f t="shared" si="28"/>
        <v>-73983.139999999985</v>
      </c>
      <c r="J80" s="316">
        <f t="shared" si="28"/>
        <v>4500335.78</v>
      </c>
      <c r="K80" s="317">
        <f>SUM(K68:K79)</f>
        <v>2147</v>
      </c>
      <c r="L80" s="313">
        <f>SUM(L68:L79)</f>
        <v>10480.259999999998</v>
      </c>
      <c r="M80" s="314">
        <f t="shared" ref="M80:U80" si="29">SUM(M68:M79)</f>
        <v>1387.79</v>
      </c>
      <c r="N80" s="314">
        <f t="shared" si="29"/>
        <v>98.77000000000001</v>
      </c>
      <c r="O80" s="314">
        <f t="shared" si="29"/>
        <v>12220</v>
      </c>
      <c r="P80" s="314">
        <f t="shared" si="29"/>
        <v>-625620.62999999989</v>
      </c>
      <c r="Q80" s="314">
        <f t="shared" si="29"/>
        <v>2530.13</v>
      </c>
      <c r="R80" s="314">
        <f t="shared" si="29"/>
        <v>7.65</v>
      </c>
      <c r="S80" s="314">
        <f t="shared" si="29"/>
        <v>0</v>
      </c>
      <c r="T80" s="314">
        <f t="shared" si="29"/>
        <v>0</v>
      </c>
      <c r="U80" s="322">
        <f t="shared" si="29"/>
        <v>-756025.55</v>
      </c>
    </row>
    <row r="82" spans="3:11" ht="15" thickBot="1" x14ac:dyDescent="0.4"/>
    <row r="83" spans="3:11" ht="18.5" x14ac:dyDescent="0.45">
      <c r="C83" s="244"/>
      <c r="D83" s="664" t="s">
        <v>340</v>
      </c>
      <c r="E83" s="665"/>
      <c r="F83" s="665"/>
      <c r="G83" s="665"/>
      <c r="H83" s="665"/>
      <c r="I83" s="666" t="s">
        <v>23</v>
      </c>
      <c r="J83" s="666" t="s">
        <v>347</v>
      </c>
      <c r="K83" s="669" t="s">
        <v>353</v>
      </c>
    </row>
    <row r="84" spans="3:11" ht="18.5" x14ac:dyDescent="0.45">
      <c r="C84" s="244"/>
      <c r="D84" s="318" t="s">
        <v>13</v>
      </c>
      <c r="E84" s="319" t="s">
        <v>14</v>
      </c>
      <c r="F84" s="319" t="s">
        <v>15</v>
      </c>
      <c r="G84" s="319" t="s">
        <v>16</v>
      </c>
      <c r="H84" s="319" t="s">
        <v>17</v>
      </c>
      <c r="I84" s="658"/>
      <c r="J84" s="658"/>
      <c r="K84" s="670"/>
    </row>
    <row r="85" spans="3:11" ht="18.5" x14ac:dyDescent="0.45">
      <c r="C85" s="306" t="str">
        <f>Addendum!E10</f>
        <v>July   2024</v>
      </c>
      <c r="D85" s="307">
        <v>0</v>
      </c>
      <c r="E85" s="246">
        <v>0</v>
      </c>
      <c r="F85" s="246">
        <v>0</v>
      </c>
      <c r="G85" s="246">
        <v>0</v>
      </c>
      <c r="H85" s="246">
        <v>0</v>
      </c>
      <c r="I85" s="541">
        <f t="shared" ref="I85:I96" si="30">SUM(D85:H85)</f>
        <v>0</v>
      </c>
      <c r="J85" s="541">
        <v>0</v>
      </c>
      <c r="K85" s="560">
        <v>0</v>
      </c>
    </row>
    <row r="86" spans="3:11" ht="18.5" x14ac:dyDescent="0.45">
      <c r="C86" s="306" t="str">
        <f>Addendum!E11</f>
        <v>August</v>
      </c>
      <c r="D86" s="307">
        <v>0</v>
      </c>
      <c r="E86" s="246">
        <v>0</v>
      </c>
      <c r="F86" s="246">
        <v>0</v>
      </c>
      <c r="G86" s="246">
        <v>0</v>
      </c>
      <c r="H86" s="246">
        <v>0</v>
      </c>
      <c r="I86" s="541">
        <f t="shared" si="30"/>
        <v>0</v>
      </c>
      <c r="J86" s="541">
        <v>0</v>
      </c>
      <c r="K86" s="560">
        <v>0</v>
      </c>
    </row>
    <row r="87" spans="3:11" ht="18.5" x14ac:dyDescent="0.45">
      <c r="C87" s="306" t="str">
        <f>Addendum!E12</f>
        <v>September</v>
      </c>
      <c r="D87" s="307">
        <v>0</v>
      </c>
      <c r="E87" s="246">
        <v>0</v>
      </c>
      <c r="F87" s="246">
        <v>0</v>
      </c>
      <c r="G87" s="246">
        <v>0</v>
      </c>
      <c r="H87" s="246">
        <v>0</v>
      </c>
      <c r="I87" s="541">
        <f t="shared" si="30"/>
        <v>0</v>
      </c>
      <c r="J87" s="541">
        <v>0</v>
      </c>
      <c r="K87" s="560">
        <v>0</v>
      </c>
    </row>
    <row r="88" spans="3:11" ht="18.5" x14ac:dyDescent="0.45">
      <c r="C88" s="306" t="str">
        <f>Addendum!E13</f>
        <v>October</v>
      </c>
      <c r="D88" s="307">
        <v>0</v>
      </c>
      <c r="E88" s="246">
        <v>0</v>
      </c>
      <c r="F88" s="246">
        <v>0</v>
      </c>
      <c r="G88" s="246">
        <v>0</v>
      </c>
      <c r="H88" s="246">
        <v>0</v>
      </c>
      <c r="I88" s="541">
        <f t="shared" si="30"/>
        <v>0</v>
      </c>
      <c r="J88" s="541">
        <v>0</v>
      </c>
      <c r="K88" s="560">
        <v>0</v>
      </c>
    </row>
    <row r="89" spans="3:11" ht="18.5" x14ac:dyDescent="0.45">
      <c r="C89" s="306" t="str">
        <f>Addendum!E14</f>
        <v>November</v>
      </c>
      <c r="D89" s="307">
        <v>0</v>
      </c>
      <c r="E89" s="246">
        <v>0</v>
      </c>
      <c r="F89" s="246">
        <v>0</v>
      </c>
      <c r="G89" s="246">
        <v>0</v>
      </c>
      <c r="H89" s="246">
        <v>0</v>
      </c>
      <c r="I89" s="541">
        <f t="shared" si="30"/>
        <v>0</v>
      </c>
      <c r="J89" s="541">
        <v>0</v>
      </c>
      <c r="K89" s="560">
        <v>0</v>
      </c>
    </row>
    <row r="90" spans="3:11" ht="18.5" x14ac:dyDescent="0.45">
      <c r="C90" s="306" t="str">
        <f>Addendum!E15</f>
        <v>December</v>
      </c>
      <c r="D90" s="307">
        <v>0</v>
      </c>
      <c r="E90" s="246">
        <v>0</v>
      </c>
      <c r="F90" s="246">
        <v>0</v>
      </c>
      <c r="G90" s="246">
        <v>0</v>
      </c>
      <c r="H90" s="246">
        <v>0</v>
      </c>
      <c r="I90" s="541">
        <f t="shared" si="30"/>
        <v>0</v>
      </c>
      <c r="J90" s="541">
        <v>0</v>
      </c>
      <c r="K90" s="560">
        <v>0</v>
      </c>
    </row>
    <row r="91" spans="3:11" ht="18.5" x14ac:dyDescent="0.45">
      <c r="C91" s="306" t="str">
        <f>Addendum!E16</f>
        <v>January 2025</v>
      </c>
      <c r="D91" s="307">
        <v>0</v>
      </c>
      <c r="E91" s="246">
        <v>8816.1</v>
      </c>
      <c r="F91" s="246">
        <v>27941.58</v>
      </c>
      <c r="G91" s="246">
        <v>28154.98</v>
      </c>
      <c r="H91" s="246">
        <v>0</v>
      </c>
      <c r="I91" s="541">
        <f t="shared" si="30"/>
        <v>64912.66</v>
      </c>
      <c r="J91" s="541">
        <v>99472.8</v>
      </c>
      <c r="K91" s="560">
        <v>0</v>
      </c>
    </row>
    <row r="92" spans="3:11" ht="18.5" x14ac:dyDescent="0.45">
      <c r="C92" s="306" t="str">
        <f>Addendum!E17</f>
        <v>February</v>
      </c>
      <c r="D92" s="307">
        <v>39980.949999999997</v>
      </c>
      <c r="E92" s="246">
        <v>18143.91</v>
      </c>
      <c r="F92" s="246">
        <v>18586.919999999998</v>
      </c>
      <c r="G92" s="246">
        <v>37673.730000000003</v>
      </c>
      <c r="H92" s="246">
        <v>0</v>
      </c>
      <c r="I92" s="541">
        <f t="shared" si="30"/>
        <v>114385.51000000001</v>
      </c>
      <c r="J92" s="541">
        <v>96655.45</v>
      </c>
      <c r="K92" s="560">
        <v>0</v>
      </c>
    </row>
    <row r="93" spans="3:11" ht="18.5" x14ac:dyDescent="0.45">
      <c r="C93" s="306" t="str">
        <f>Addendum!E18</f>
        <v>March</v>
      </c>
      <c r="D93" s="307"/>
      <c r="E93" s="246"/>
      <c r="F93" s="246"/>
      <c r="G93" s="246"/>
      <c r="H93" s="246"/>
      <c r="I93" s="541">
        <f t="shared" si="30"/>
        <v>0</v>
      </c>
      <c r="J93" s="541"/>
      <c r="K93" s="560"/>
    </row>
    <row r="94" spans="3:11" ht="18.5" x14ac:dyDescent="0.45">
      <c r="C94" s="306" t="str">
        <f>Addendum!E19</f>
        <v>April</v>
      </c>
      <c r="D94" s="307"/>
      <c r="E94" s="246"/>
      <c r="F94" s="246"/>
      <c r="G94" s="246"/>
      <c r="H94" s="246"/>
      <c r="I94" s="541">
        <f t="shared" si="30"/>
        <v>0</v>
      </c>
      <c r="J94" s="541"/>
      <c r="K94" s="560"/>
    </row>
    <row r="95" spans="3:11" ht="18.5" x14ac:dyDescent="0.45">
      <c r="C95" s="306" t="str">
        <f>Addendum!E20</f>
        <v>May</v>
      </c>
      <c r="D95" s="307"/>
      <c r="E95" s="246"/>
      <c r="F95" s="246"/>
      <c r="G95" s="246"/>
      <c r="H95" s="246"/>
      <c r="I95" s="541">
        <f t="shared" si="30"/>
        <v>0</v>
      </c>
      <c r="J95" s="541"/>
      <c r="K95" s="560"/>
    </row>
    <row r="96" spans="3:11" ht="19" thickBot="1" x14ac:dyDescent="0.5">
      <c r="C96" s="306" t="str">
        <f>Addendum!E21</f>
        <v>June</v>
      </c>
      <c r="D96" s="307"/>
      <c r="E96" s="246"/>
      <c r="F96" s="246"/>
      <c r="G96" s="246"/>
      <c r="H96" s="246"/>
      <c r="I96" s="541">
        <f t="shared" si="30"/>
        <v>0</v>
      </c>
      <c r="J96" s="541"/>
      <c r="K96" s="561"/>
    </row>
    <row r="97" spans="3:11" ht="19.5" thickTop="1" thickBot="1" x14ac:dyDescent="0.5">
      <c r="C97" s="312" t="s">
        <v>22</v>
      </c>
      <c r="D97" s="313">
        <f>SUM(D85:D96)</f>
        <v>39980.949999999997</v>
      </c>
      <c r="E97" s="314">
        <f t="shared" ref="E97:H97" si="31">SUM(E85:E96)</f>
        <v>26960.010000000002</v>
      </c>
      <c r="F97" s="314">
        <f t="shared" si="31"/>
        <v>46528.5</v>
      </c>
      <c r="G97" s="314">
        <f t="shared" si="31"/>
        <v>65828.710000000006</v>
      </c>
      <c r="H97" s="314">
        <f t="shared" si="31"/>
        <v>0</v>
      </c>
      <c r="I97" s="542">
        <f>SUM(I85:I96)</f>
        <v>179298.17</v>
      </c>
      <c r="J97" s="542">
        <f>SUM(J85:J96)</f>
        <v>196128.25</v>
      </c>
      <c r="K97" s="562">
        <f>SUM(K85:K96)</f>
        <v>0</v>
      </c>
    </row>
  </sheetData>
  <mergeCells count="24">
    <mergeCell ref="D83:H83"/>
    <mergeCell ref="I83:I84"/>
    <mergeCell ref="J83:J84"/>
    <mergeCell ref="K83:K84"/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D66:H66"/>
    <mergeCell ref="I66:I67"/>
    <mergeCell ref="J66:J67"/>
    <mergeCell ref="K66:K67"/>
    <mergeCell ref="L66:U66"/>
  </mergeCells>
  <conditionalFormatting sqref="D51:P51">
    <cfRule type="cellIs" dxfId="6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76145-232A-46F3-AD32-FF6C54C09694}">
  <sheetPr codeName="Sheet23">
    <tabColor theme="6" tint="0.39997558519241921"/>
    <pageSetUpPr fitToPage="1"/>
  </sheetPr>
  <dimension ref="B1:U81"/>
  <sheetViews>
    <sheetView view="pageBreakPreview" topLeftCell="A40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177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Entry'!$D$3:$D$500,MATCH(1,INDEX((OilCity!$C$7='Cash Flow Entry'!$B$3:$B$500)*(VALUE(OilCity!D$7)='Cash Flow Entry'!$C$3:$C$500),0,1),0)),"")</f>
        <v>187</v>
      </c>
      <c r="E8" s="256" cm="1">
        <f t="array" ref="E8">IFERROR(INDEX('Cash Flow Entry'!$D$3:$D$500,MATCH(1,INDEX((OilCity!$C$7='Cash Flow Entry'!$B$3:$B$500)*(VALUE(OilCity!E$7)='Cash Flow Entry'!$C$3:$C$500),0,1),0)),"")</f>
        <v>186</v>
      </c>
      <c r="F8" s="257" cm="1">
        <f t="array" ref="F8">IFERROR(INDEX('Cash Flow Entry'!$D$3:$D$500,MATCH(1,INDEX((OilCity!$C$7='Cash Flow Entry'!$B$3:$B$500)*(VALUE(OilCity!F$7)='Cash Flow Entry'!$C$3:$C$500),0,1),0)),"")</f>
        <v>198</v>
      </c>
      <c r="G8" s="255" cm="1">
        <f t="array" ref="G8">IFERROR(INDEX('Cash Flow Entry'!$D$3:$D$500,MATCH(1,INDEX((OilCity!$C$7='Cash Flow Entry'!$B$3:$B$500)*(VALUE(OilCity!G$7)='Cash Flow Entry'!$C$3:$C$500),0,1),0)),"")</f>
        <v>197</v>
      </c>
      <c r="H8" s="256" cm="1">
        <f t="array" ref="H8">IFERROR(INDEX('Cash Flow Entry'!$D$3:$D$500,MATCH(1,INDEX((OilCity!$C$7='Cash Flow Entry'!$B$3:$B$500)*(VALUE(OilCity!H$7)='Cash Flow Entry'!$C$3:$C$500),0,1),0)),"")</f>
        <v>195</v>
      </c>
      <c r="I8" s="257" cm="1">
        <f t="array" ref="I8">IFERROR(INDEX('Cash Flow Entry'!$D$3:$D$500,MATCH(1,INDEX((OilCity!$C$7='Cash Flow Entry'!$B$3:$B$500)*(VALUE(OilCity!I$7)='Cash Flow Entry'!$C$3:$C$500),0,1),0)),"")</f>
        <v>200</v>
      </c>
      <c r="J8" s="256" cm="1">
        <f t="array" ref="J8">IFERROR(INDEX('Cash Flow Entry'!$D$3:$D$500,MATCH(1,INDEX((OilCity!$C$7='Cash Flow Entry'!$B$3:$B$500)*(VALUE(OilCity!J$7)='Cash Flow Entry'!$C$3:$C$500),0,1),0)),"")</f>
        <v>200</v>
      </c>
      <c r="K8" s="256" cm="1">
        <f t="array" ref="K8">IFERROR(INDEX('Cash Flow Entry'!$D$3:$D$500,MATCH(1,INDEX((OilCity!$C$7='Cash Flow Entry'!$B$3:$B$500)*(VALUE(OilCity!K$7)='Cash Flow Entry'!$C$3:$C$500),0,1),0)),"")</f>
        <v>199</v>
      </c>
      <c r="L8" s="256" t="str" cm="1">
        <f t="array" ref="L8">IFERROR(INDEX('Cash Flow Entry'!$D$3:$D$500,MATCH(1,INDEX((OilCity!$C$7='Cash Flow Entry'!$B$3:$B$500)*(VALUE(OilCity!L$7)='Cash Flow Entry'!$C$3:$C$500),0,1),0)),"")</f>
        <v/>
      </c>
      <c r="M8" s="255" t="str" cm="1">
        <f t="array" ref="M8">IFERROR(INDEX('Cash Flow Entry'!$D$3:$D$500,MATCH(1,INDEX((OilCity!$C$7='Cash Flow Entry'!$B$3:$B$500)*(VALUE(OilCity!M$7)='Cash Flow Entry'!$C$3:$C$500),0,1),0)),"")</f>
        <v/>
      </c>
      <c r="N8" s="256" t="str" cm="1">
        <f t="array" ref="N8">IFERROR(INDEX('Cash Flow Entry'!$D$3:$D$500,MATCH(1,INDEX((OilCity!$C$7='Cash Flow Entry'!$B$3:$B$500)*(VALUE(OilCity!N$7)='Cash Flow Entry'!$C$3:$C$500),0,1),0)),"")</f>
        <v/>
      </c>
      <c r="O8" s="258" t="str" cm="1">
        <f t="array" ref="O8">IFERROR(INDEX('Cash Flow Entry'!$D$3:$D$500,MATCH(1,INDEX((OilCity!$C$7='Cash Flow Entry'!$B$3:$B$500)*(VALUE(OilCity!O$7)='Cash Flow Entry'!$C$3:$C$500),0,1),0)),"")</f>
        <v/>
      </c>
      <c r="P8" s="259">
        <f>SUM(D8:O8)</f>
        <v>1562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Entry'!$E$3:$E$500,MATCH(1,INDEX((OilCity!$C$7='Cash Flow Entry'!$B$3:$B$500)*(VALUE(OilCity!D$7)='Cash Flow Entry'!$C$3:$C$500),0,1),0)),"")</f>
        <v>580</v>
      </c>
      <c r="E9" s="256" cm="1">
        <f t="array" ref="E9">IFERROR(INDEX('Cash Flow Entry'!$E$3:$E$500,MATCH(1,INDEX((OilCity!$C$7='Cash Flow Entry'!$B$3:$B$500)*(VALUE(OilCity!E$7)='Cash Flow Entry'!$C$3:$C$500),0,1),0)),"")</f>
        <v>579</v>
      </c>
      <c r="F9" s="257" cm="1">
        <f t="array" ref="F9">IFERROR(INDEX('Cash Flow Entry'!$E$3:$E$500,MATCH(1,INDEX((OilCity!$C$7='Cash Flow Entry'!$B$3:$B$500)*(VALUE(OilCity!F$7)='Cash Flow Entry'!$C$3:$C$500),0,1),0)),"")</f>
        <v>597</v>
      </c>
      <c r="G9" s="255" cm="1">
        <f t="array" ref="G9">IFERROR(INDEX('Cash Flow Entry'!$E$3:$E$500,MATCH(1,INDEX((OilCity!$C$7='Cash Flow Entry'!$B$3:$B$500)*(VALUE(OilCity!G$7)='Cash Flow Entry'!$C$3:$C$500),0,1),0)),"")</f>
        <v>592</v>
      </c>
      <c r="H9" s="256" cm="1">
        <f t="array" ref="H9">IFERROR(INDEX('Cash Flow Entry'!$E$3:$E$500,MATCH(1,INDEX((OilCity!$C$7='Cash Flow Entry'!$B$3:$B$500)*(VALUE(OilCity!H$7)='Cash Flow Entry'!$C$3:$C$500),0,1),0)),"")</f>
        <v>591</v>
      </c>
      <c r="I9" s="257" cm="1">
        <f t="array" ref="I9">IFERROR(INDEX('Cash Flow Entry'!$E$3:$E$500,MATCH(1,INDEX((OilCity!$C$7='Cash Flow Entry'!$B$3:$B$500)*(VALUE(OilCity!I$7)='Cash Flow Entry'!$C$3:$C$500),0,1),0)),"")</f>
        <v>604</v>
      </c>
      <c r="J9" s="256" cm="1">
        <f t="array" ref="J9">IFERROR(INDEX('Cash Flow Entry'!$E$3:$E$500,MATCH(1,INDEX((OilCity!$C$7='Cash Flow Entry'!$B$3:$B$500)*(VALUE(OilCity!J$7)='Cash Flow Entry'!$C$3:$C$500),0,1),0)),"")</f>
        <v>604</v>
      </c>
      <c r="K9" s="256" cm="1">
        <f t="array" ref="K9">IFERROR(INDEX('Cash Flow Entry'!$E$3:$E$500,MATCH(1,INDEX((OilCity!$C$7='Cash Flow Entry'!$B$3:$B$500)*(VALUE(OilCity!K$7)='Cash Flow Entry'!$C$3:$C$500),0,1),0)),"")</f>
        <v>599</v>
      </c>
      <c r="L9" s="256" t="str" cm="1">
        <f t="array" ref="L9">IFERROR(INDEX('Cash Flow Entry'!$E$3:$E$500,MATCH(1,INDEX((OilCity!$C$7='Cash Flow Entry'!$B$3:$B$500)*(VALUE(OilCity!L$7)='Cash Flow Entry'!$C$3:$C$500),0,1),0)),"")</f>
        <v/>
      </c>
      <c r="M9" s="255" t="str" cm="1">
        <f t="array" ref="M9">IFERROR(INDEX('Cash Flow Entry'!$E$3:$E$500,MATCH(1,INDEX((OilCity!$C$7='Cash Flow Entry'!$B$3:$B$500)*(VALUE(OilCity!M$7)='Cash Flow Entry'!$C$3:$C$500),0,1),0)),"")</f>
        <v/>
      </c>
      <c r="N9" s="256" t="str" cm="1">
        <f t="array" ref="N9">IFERROR(INDEX('Cash Flow Entry'!$E$3:$E$500,MATCH(1,INDEX((OilCity!$C$7='Cash Flow Entry'!$B$3:$B$500)*(VALUE(OilCity!N$7)='Cash Flow Entry'!$C$3:$C$500),0,1),0)),"")</f>
        <v/>
      </c>
      <c r="O9" s="258" t="str" cm="1">
        <f t="array" ref="O9">IFERROR(INDEX('Cash Flow Entry'!$E$3:$E$500,MATCH(1,INDEX((OilCity!$C$7='Cash Flow Entry'!$B$3:$B$500)*(VALUE(OilCity!O$7)='Cash Flow Entry'!$C$3:$C$500),0,1),0)),"")</f>
        <v/>
      </c>
      <c r="P9" s="259">
        <f>SUM(D9:O9)</f>
        <v>4746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$1,833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$2,036.49</v>
      </c>
      <c r="N10" s="645"/>
      <c r="O10" s="647"/>
      <c r="P10" s="265">
        <f>P14</f>
        <v>3181004.7199999997</v>
      </c>
      <c r="Q10" s="534">
        <v>1832.52</v>
      </c>
      <c r="R10" s="305">
        <f>Q10*P8</f>
        <v>2862396.2399999998</v>
      </c>
      <c r="S10" s="305"/>
    </row>
    <row r="11" spans="2:20" ht="18.5" x14ac:dyDescent="0.45">
      <c r="B11" s="213" t="s">
        <v>191</v>
      </c>
      <c r="C11" s="267" t="s">
        <v>194</v>
      </c>
      <c r="D11" s="268">
        <v>364097.28000000003</v>
      </c>
      <c r="E11" s="234">
        <v>350822.9</v>
      </c>
      <c r="F11" s="234">
        <v>358408.26</v>
      </c>
      <c r="G11" s="268">
        <v>361006.44</v>
      </c>
      <c r="H11" s="234">
        <v>359173.92</v>
      </c>
      <c r="I11" s="269">
        <v>664671.48</v>
      </c>
      <c r="J11" s="234">
        <v>364671.48</v>
      </c>
      <c r="K11" s="234">
        <v>362838.96</v>
      </c>
      <c r="L11" s="234"/>
      <c r="M11" s="268"/>
      <c r="N11" s="234"/>
      <c r="O11" s="270"/>
      <c r="P11" s="234">
        <f>SUM(D11:O11)</f>
        <v>3185690.7199999997</v>
      </c>
      <c r="Q11" s="302"/>
    </row>
    <row r="12" spans="2:20" ht="18.5" x14ac:dyDescent="0.45">
      <c r="C12" s="267" t="s">
        <v>195</v>
      </c>
      <c r="D12" s="268">
        <f>IF(D$8="","",IF(D$11=0,0,D$8*$Q12))</f>
        <v>-561</v>
      </c>
      <c r="E12" s="234">
        <f t="shared" ref="E12:O12" si="0">IF(E$8="","",IF(E$11=0,0,E$8*$Q12))</f>
        <v>-558</v>
      </c>
      <c r="F12" s="269">
        <f t="shared" si="0"/>
        <v>-594</v>
      </c>
      <c r="G12" s="268">
        <f t="shared" si="0"/>
        <v>-591</v>
      </c>
      <c r="H12" s="234">
        <f t="shared" si="0"/>
        <v>-585</v>
      </c>
      <c r="I12" s="269">
        <f t="shared" si="0"/>
        <v>-600</v>
      </c>
      <c r="J12" s="234">
        <f t="shared" si="0"/>
        <v>-600</v>
      </c>
      <c r="K12" s="234">
        <f t="shared" si="0"/>
        <v>-597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-4686</v>
      </c>
      <c r="Q12" s="533">
        <v>-3</v>
      </c>
    </row>
    <row r="13" spans="2:20" ht="18.5" x14ac:dyDescent="0.45">
      <c r="B13" s="213" t="s">
        <v>191</v>
      </c>
      <c r="C13" s="267" t="s">
        <v>196</v>
      </c>
      <c r="D13" s="458">
        <f t="shared" ref="D13:O13" si="2">IF(D$8="","",0)</f>
        <v>0</v>
      </c>
      <c r="E13" s="457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363536.28</v>
      </c>
      <c r="E14" s="274">
        <f t="shared" ref="E14:O14" si="3">IF(E8="","",SUM(E11:E13))</f>
        <v>350264.9</v>
      </c>
      <c r="F14" s="275">
        <f t="shared" si="3"/>
        <v>357814.26</v>
      </c>
      <c r="G14" s="273">
        <f t="shared" si="3"/>
        <v>360415.44</v>
      </c>
      <c r="H14" s="274">
        <f t="shared" si="3"/>
        <v>358588.92</v>
      </c>
      <c r="I14" s="275">
        <f t="shared" si="3"/>
        <v>664071.48</v>
      </c>
      <c r="J14" s="274">
        <f t="shared" si="3"/>
        <v>364071.48</v>
      </c>
      <c r="K14" s="274">
        <f t="shared" si="3"/>
        <v>362241.96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3181004.7199999997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$1,646</v>
      </c>
      <c r="E16" s="645"/>
      <c r="F16" s="646"/>
      <c r="G16" s="644" t="str">
        <f>"Admin, Reinsurance, &amp; Misc. PEPM: "&amp;DOLLAR(SUM($P36,$P42,$P49)/$P$8,0)</f>
        <v>Admin, Reinsurance, &amp; Misc. PEPM: $490</v>
      </c>
      <c r="H16" s="645"/>
      <c r="I16" s="646"/>
      <c r="J16" s="644" t="str">
        <f>"Total Expenses PEPM: "&amp;DOLLAR($P16/$P$8,0)</f>
        <v>Total Expenses PEPM: $2,136</v>
      </c>
      <c r="K16" s="645"/>
      <c r="L16" s="646"/>
      <c r="M16" s="644" t="str">
        <f>"Projection Variance: "&amp;TEXT(($P$16/$P$8)/$Q$10-1,"0.00%")</f>
        <v>Projection Variance: 16.57%</v>
      </c>
      <c r="N16" s="645"/>
      <c r="O16" s="647"/>
      <c r="P16" s="265">
        <f>SUM(P26,P36,P42,P49)</f>
        <v>3336580.1138263149</v>
      </c>
      <c r="Q16" s="534"/>
    </row>
    <row r="17" spans="2:19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9" ht="18.5" x14ac:dyDescent="0.45">
      <c r="B18" s="213"/>
      <c r="C18" s="267" t="s">
        <v>91</v>
      </c>
      <c r="D18" s="268" cm="1">
        <f t="array" ref="D18">IFERROR(IFERROR(INDEX('Cash Flow Entry'!$F$3:$F$500,MATCH(1,INDEX((OilCity!$C$7='Cash Flow Entry'!$B$3:$B$500)*(VALUE(OilCity!D$7)='Cash Flow Entry'!$C$3:$C$500),0,1),0)),"")+IFERROR(INDEX('Cash Flow Entry'!$H$3:$H$500,MATCH(1,INDEX((OilCity!$C$7='Cash Flow Entry'!$B$3:$B$500)*(VALUE(OilCity!D$7)='Cash Flow Entry'!$C$3:$C$500),0,1),0)),""),"")</f>
        <v>115786.60999999999</v>
      </c>
      <c r="E18" s="234" cm="1">
        <f t="array" ref="E18">IFERROR(IFERROR(INDEX('Cash Flow Entry'!$F$3:$F$500,MATCH(1,INDEX((OilCity!$C$7='Cash Flow Entry'!$B$3:$B$500)*(VALUE(OilCity!E$7)='Cash Flow Entry'!$C$3:$C$500),0,1),0)),"")+IFERROR(INDEX('Cash Flow Entry'!$H$3:$H$500,MATCH(1,INDEX((OilCity!$C$7='Cash Flow Entry'!$B$3:$B$500)*(VALUE(OilCity!E$7)='Cash Flow Entry'!$C$3:$C$500),0,1),0)),""),"")</f>
        <v>197889.12</v>
      </c>
      <c r="F18" s="269" cm="1">
        <f t="array" ref="F18">IFERROR(IFERROR(INDEX('Cash Flow Entry'!$F$3:$F$500,MATCH(1,INDEX((OilCity!$C$7='Cash Flow Entry'!$B$3:$B$500)*(VALUE(OilCity!F$7)='Cash Flow Entry'!$C$3:$C$500),0,1),0)),"")+IFERROR(INDEX('Cash Flow Entry'!$H$3:$H$500,MATCH(1,INDEX((OilCity!$C$7='Cash Flow Entry'!$B$3:$B$500)*(VALUE(OilCity!F$7)='Cash Flow Entry'!$C$3:$C$500),0,1),0)),""),"")</f>
        <v>266501.90999999997</v>
      </c>
      <c r="G18" s="268" cm="1">
        <f t="array" ref="G18">IFERROR(IFERROR(INDEX('Cash Flow Entry'!$F$3:$F$500,MATCH(1,INDEX((OilCity!$C$7='Cash Flow Entry'!$B$3:$B$500)*(VALUE(OilCity!G$7)='Cash Flow Entry'!$C$3:$C$500),0,1),0)),"")+IFERROR(INDEX('Cash Flow Entry'!$H$3:$H$500,MATCH(1,INDEX((OilCity!$C$7='Cash Flow Entry'!$B$3:$B$500)*(VALUE(OilCity!G$7)='Cash Flow Entry'!$C$3:$C$500),0,1),0)),""),"")</f>
        <v>304071.24000000005</v>
      </c>
      <c r="H18" s="234" cm="1">
        <f t="array" ref="H18">IFERROR(IFERROR(INDEX('Cash Flow Entry'!$F$3:$F$500,MATCH(1,INDEX((OilCity!$C$7='Cash Flow Entry'!$B$3:$B$500)*(VALUE(OilCity!H$7)='Cash Flow Entry'!$C$3:$C$500),0,1),0)),"")+IFERROR(INDEX('Cash Flow Entry'!$H$3:$H$500,MATCH(1,INDEX((OilCity!$C$7='Cash Flow Entry'!$B$3:$B$500)*(VALUE(OilCity!H$7)='Cash Flow Entry'!$C$3:$C$500),0,1),0)),""),"")</f>
        <v>121386.20999999999</v>
      </c>
      <c r="I18" s="269" cm="1">
        <f t="array" ref="I18">IFERROR(IFERROR(INDEX('Cash Flow Entry'!$F$3:$F$500,MATCH(1,INDEX((OilCity!$C$7='Cash Flow Entry'!$B$3:$B$500)*(VALUE(OilCity!I$7)='Cash Flow Entry'!$C$3:$C$500),0,1),0)),"")+IFERROR(INDEX('Cash Flow Entry'!$H$3:$H$500,MATCH(1,INDEX((OilCity!$C$7='Cash Flow Entry'!$B$3:$B$500)*(VALUE(OilCity!I$7)='Cash Flow Entry'!$C$3:$C$500),0,1),0)),""),"")</f>
        <v>456392.75999999995</v>
      </c>
      <c r="J18" s="234" cm="1">
        <f t="array" ref="J18">IFERROR(IFERROR(INDEX('Cash Flow Entry'!$F$3:$F$500,MATCH(1,INDEX((OilCity!$C$7='Cash Flow Entry'!$B$3:$B$500)*(VALUE(OilCity!J$7)='Cash Flow Entry'!$C$3:$C$500),0,1),0)),"")+IFERROR(INDEX('Cash Flow Entry'!$H$3:$H$500,MATCH(1,INDEX((OilCity!$C$7='Cash Flow Entry'!$B$3:$B$500)*(VALUE(OilCity!J$7)='Cash Flow Entry'!$C$3:$C$500),0,1),0)),""),"")</f>
        <v>379513.23</v>
      </c>
      <c r="K18" s="234" cm="1">
        <f t="array" ref="K18">IFERROR(IFERROR(INDEX('Cash Flow Entry'!$F$3:$F$500,MATCH(1,INDEX((OilCity!$C$7='Cash Flow Entry'!$B$3:$B$500)*(VALUE(OilCity!K$7)='Cash Flow Entry'!$C$3:$C$500),0,1),0)),"")+IFERROR(INDEX('Cash Flow Entry'!$H$3:$H$500,MATCH(1,INDEX((OilCity!$C$7='Cash Flow Entry'!$B$3:$B$500)*(VALUE(OilCity!K$7)='Cash Flow Entry'!$C$3:$C$500),0,1),0)),""),"")</f>
        <v>346212.41</v>
      </c>
      <c r="L18" s="234" t="str" cm="1">
        <f t="array" ref="L18">IFERROR(IFERROR(INDEX('Cash Flow Entry'!$F$3:$F$500,MATCH(1,INDEX((OilCity!$C$7='Cash Flow Entry'!$B$3:$B$500)*(VALUE(OilCity!L$7)='Cash Flow Entry'!$C$3:$C$500),0,1),0)),"")+IFERROR(INDEX('Cash Flow Entry'!$H$3:$H$500,MATCH(1,INDEX((OilCity!$C$7='Cash Flow Entry'!$B$3:$B$500)*(VALUE(OilCity!L$7)='Cash Flow Entry'!$C$3:$C$500),0,1),0)),""),"")</f>
        <v/>
      </c>
      <c r="M18" s="268" t="str" cm="1">
        <f t="array" ref="M18">IFERROR(IFERROR(INDEX('Cash Flow Entry'!$F$3:$F$500,MATCH(1,INDEX((OilCity!$C$7='Cash Flow Entry'!$B$3:$B$500)*(VALUE(OilCity!M$7)='Cash Flow Entry'!$C$3:$C$500),0,1),0)),"")+IFERROR(INDEX('Cash Flow Entry'!$H$3:$H$500,MATCH(1,INDEX((OilCity!$C$7='Cash Flow Entry'!$B$3:$B$500)*(VALUE(OilCity!M$7)='Cash Flow Entry'!$C$3:$C$500),0,1),0)),""),"")</f>
        <v/>
      </c>
      <c r="N18" s="234" t="str" cm="1">
        <f t="array" ref="N18">IFERROR(IFERROR(INDEX('Cash Flow Entry'!$F$3:$F$500,MATCH(1,INDEX((OilCity!$C$7='Cash Flow Entry'!$B$3:$B$500)*(VALUE(OilCity!N$7)='Cash Flow Entry'!$C$3:$C$500),0,1),0)),"")+IFERROR(INDEX('Cash Flow Entry'!$H$3:$H$500,MATCH(1,INDEX((OilCity!$C$7='Cash Flow Entry'!$B$3:$B$500)*(VALUE(OilCity!N$7)='Cash Flow Entry'!$C$3:$C$500),0,1),0)),""),"")</f>
        <v/>
      </c>
      <c r="O18" s="270" t="str" cm="1">
        <f t="array" ref="O18">IFERROR(IFERROR(INDEX('Cash Flow Entry'!$F$3:$F$500,MATCH(1,INDEX((OilCity!$C$7='Cash Flow Entry'!$B$3:$B$500)*(VALUE(OilCity!O$7)='Cash Flow Entry'!$C$3:$C$500),0,1),0)),"")+IFERROR(INDEX('Cash Flow Entry'!$H$3:$H$500,MATCH(1,INDEX((OilCity!$C$7='Cash Flow Entry'!$B$3:$B$500)*(VALUE(OilCity!O$7)='Cash Flow Entry'!$C$3:$C$500),0,1),0)),""),"")</f>
        <v/>
      </c>
      <c r="P18" s="234">
        <f>SUM(D18:O18)</f>
        <v>2187753.4899999998</v>
      </c>
      <c r="Q18" s="533">
        <v>1034.32</v>
      </c>
    </row>
    <row r="19" spans="2:19" ht="18.5" x14ac:dyDescent="0.45">
      <c r="B19" s="213"/>
      <c r="C19" s="267" t="s">
        <v>93</v>
      </c>
      <c r="D19" s="268" cm="1">
        <f t="array" ref="D19">IFERROR(INDEX('Cash Flow Entry'!$G$3:$G$500,MATCH(1,INDEX((OilCity!$C$7='Cash Flow Entry'!$B$3:$B$500)*(VALUE(OilCity!D$7)='Cash Flow Entry'!$C$3:$C$500),0,1),0)),"")</f>
        <v>124835.82</v>
      </c>
      <c r="E19" s="234" cm="1">
        <f t="array" ref="E19">IFERROR(INDEX('Cash Flow Entry'!$G$3:$G$500,MATCH(1,INDEX((OilCity!$C$7='Cash Flow Entry'!$B$3:$B$500)*(VALUE(OilCity!E$7)='Cash Flow Entry'!$C$3:$C$500),0,1),0)),"")</f>
        <v>131876.32999999999</v>
      </c>
      <c r="F19" s="269" cm="1">
        <f t="array" ref="F19">IFERROR(INDEX('Cash Flow Entry'!$G$3:$G$500,MATCH(1,INDEX((OilCity!$C$7='Cash Flow Entry'!$B$3:$B$500)*(VALUE(OilCity!F$7)='Cash Flow Entry'!$C$3:$C$500),0,1),0)),"")</f>
        <v>148394.85999999999</v>
      </c>
      <c r="G19" s="268" cm="1">
        <f t="array" ref="G19">IFERROR(INDEX('Cash Flow Entry'!$G$3:$G$500,MATCH(1,INDEX((OilCity!$C$7='Cash Flow Entry'!$B$3:$B$500)*(VALUE(OilCity!G$7)='Cash Flow Entry'!$C$3:$C$500),0,1),0)),"")</f>
        <v>113544.81</v>
      </c>
      <c r="H19" s="234" cm="1">
        <f t="array" ref="H19">IFERROR(INDEX('Cash Flow Entry'!$G$3:$G$500,MATCH(1,INDEX((OilCity!$C$7='Cash Flow Entry'!$B$3:$B$500)*(VALUE(OilCity!H$7)='Cash Flow Entry'!$C$3:$C$500),0,1),0)),"")</f>
        <v>123901.3</v>
      </c>
      <c r="I19" s="269" cm="1">
        <f t="array" ref="I19">IFERROR(INDEX('Cash Flow Entry'!$G$3:$G$500,MATCH(1,INDEX((OilCity!$C$7='Cash Flow Entry'!$B$3:$B$500)*(VALUE(OilCity!I$7)='Cash Flow Entry'!$C$3:$C$500),0,1),0)),"")</f>
        <v>83158</v>
      </c>
      <c r="J19" s="234" cm="1">
        <f t="array" ref="J19">IFERROR(INDEX('Cash Flow Entry'!$G$3:$G$500,MATCH(1,INDEX((OilCity!$C$7='Cash Flow Entry'!$B$3:$B$500)*(VALUE(OilCity!J$7)='Cash Flow Entry'!$C$3:$C$500),0,1),0)),"")</f>
        <v>138582.29999999999</v>
      </c>
      <c r="K19" s="234" cm="1">
        <f t="array" ref="K19">IFERROR(INDEX('Cash Flow Entry'!$G$3:$G$500,MATCH(1,INDEX((OilCity!$C$7='Cash Flow Entry'!$B$3:$B$500)*(VALUE(OilCity!K$7)='Cash Flow Entry'!$C$3:$C$500),0,1),0)),"")</f>
        <v>94111.75</v>
      </c>
      <c r="L19" s="234" t="str" cm="1">
        <f t="array" ref="L19">IFERROR(INDEX('Cash Flow Entry'!$G$3:$G$500,MATCH(1,INDEX((OilCity!$C$7='Cash Flow Entry'!$B$3:$B$500)*(VALUE(OilCity!L$7)='Cash Flow Entry'!$C$3:$C$500),0,1),0)),"")</f>
        <v/>
      </c>
      <c r="M19" s="268" t="str" cm="1">
        <f t="array" ref="M19">IFERROR(INDEX('Cash Flow Entry'!$G$3:$G$500,MATCH(1,INDEX((OilCity!$C$7='Cash Flow Entry'!$B$3:$B$500)*(VALUE(OilCity!M$7)='Cash Flow Entry'!$C$3:$C$500),0,1),0)),"")</f>
        <v/>
      </c>
      <c r="N19" s="234" t="str" cm="1">
        <f t="array" ref="N19">IFERROR(INDEX('Cash Flow Entry'!$G$3:$G$500,MATCH(1,INDEX((OilCity!$C$7='Cash Flow Entry'!$B$3:$B$500)*(VALUE(OilCity!N$7)='Cash Flow Entry'!$C$3:$C$500),0,1),0)),"")</f>
        <v/>
      </c>
      <c r="O19" s="270" t="str" cm="1">
        <f t="array" ref="O19">IFERROR(INDEX('Cash Flow Entry'!$G$3:$G$500,MATCH(1,INDEX((OilCity!$C$7='Cash Flow Entry'!$B$3:$B$500)*(VALUE(OilCity!O$7)='Cash Flow Entry'!$C$3:$C$500),0,1),0)),"")</f>
        <v/>
      </c>
      <c r="P19" s="234">
        <f>SUM(D19:O19)</f>
        <v>958405.16999999993</v>
      </c>
      <c r="Q19" s="533">
        <v>279.73</v>
      </c>
    </row>
    <row r="20" spans="2:19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9" ht="18.5" x14ac:dyDescent="0.45">
      <c r="B21" s="219">
        <f>INDEX('HCC Summary'!$I$9:$I$27,MATCH(OilCity!C7,'HCC Summary'!B9:B27, 0))</f>
        <v>367966.18</v>
      </c>
      <c r="C21" s="282" t="s">
        <v>225</v>
      </c>
      <c r="D21" s="283">
        <v>0</v>
      </c>
      <c r="E21" s="284">
        <v>0</v>
      </c>
      <c r="F21" s="285">
        <v>0</v>
      </c>
      <c r="G21" s="283">
        <v>109063.23</v>
      </c>
      <c r="H21" s="284">
        <v>145090.82</v>
      </c>
      <c r="I21" s="285">
        <v>200446.34</v>
      </c>
      <c r="J21" s="284">
        <v>315091.61</v>
      </c>
      <c r="K21" s="284">
        <v>367966.18</v>
      </c>
      <c r="L21" s="284"/>
      <c r="M21" s="283"/>
      <c r="N21" s="284"/>
      <c r="O21" s="286"/>
      <c r="P21" s="641">
        <f>SUM(D22:O22)</f>
        <v>-367966.18</v>
      </c>
      <c r="Q21" s="533"/>
    </row>
    <row r="22" spans="2:19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0</v>
      </c>
      <c r="F22" s="269">
        <f t="shared" si="5"/>
        <v>0</v>
      </c>
      <c r="G22" s="268">
        <f t="shared" si="5"/>
        <v>-109063.23</v>
      </c>
      <c r="H22" s="234">
        <f t="shared" si="5"/>
        <v>-36027.590000000011</v>
      </c>
      <c r="I22" s="269">
        <f t="shared" si="5"/>
        <v>-55355.51999999999</v>
      </c>
      <c r="J22" s="234">
        <f t="shared" si="5"/>
        <v>-114645.26999999999</v>
      </c>
      <c r="K22" s="234">
        <f t="shared" si="5"/>
        <v>-52874.570000000007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9" ht="18.5" x14ac:dyDescent="0.45">
      <c r="C23" s="267" t="s">
        <v>363</v>
      </c>
      <c r="D23" s="268">
        <f>IF(D$8="","",$U68)</f>
        <v>0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-48296.37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-48296.37</v>
      </c>
      <c r="Q23" s="533"/>
    </row>
    <row r="24" spans="2:19" ht="18.5" x14ac:dyDescent="0.45">
      <c r="C24" s="267" t="s">
        <v>25</v>
      </c>
      <c r="D24" s="268">
        <f t="shared" ref="D24:O24" si="7">IF(D$8="","",D$8*$Q$24)</f>
        <v>-20570</v>
      </c>
      <c r="E24" s="234">
        <f t="shared" si="7"/>
        <v>-20460</v>
      </c>
      <c r="F24" s="269">
        <f t="shared" si="7"/>
        <v>-21780</v>
      </c>
      <c r="G24" s="268">
        <f t="shared" si="7"/>
        <v>-21670</v>
      </c>
      <c r="H24" s="234">
        <f t="shared" si="7"/>
        <v>-21450</v>
      </c>
      <c r="I24" s="269">
        <f t="shared" si="7"/>
        <v>-22000</v>
      </c>
      <c r="J24" s="234">
        <f t="shared" si="7"/>
        <v>-22000</v>
      </c>
      <c r="K24" s="234">
        <f t="shared" si="7"/>
        <v>-21890</v>
      </c>
      <c r="L24" s="234" t="str">
        <f t="shared" si="7"/>
        <v/>
      </c>
      <c r="M24" s="268" t="str">
        <f t="shared" si="7"/>
        <v/>
      </c>
      <c r="N24" s="234" t="str">
        <f t="shared" si="7"/>
        <v/>
      </c>
      <c r="O24" s="270" t="str">
        <f t="shared" si="7"/>
        <v/>
      </c>
      <c r="P24" s="234">
        <f t="shared" si="6"/>
        <v>-171820</v>
      </c>
      <c r="Q24" s="533">
        <v>-110</v>
      </c>
    </row>
    <row r="25" spans="2:19" ht="18.5" x14ac:dyDescent="0.45">
      <c r="B25" s="213"/>
      <c r="C25" s="267" t="s">
        <v>199</v>
      </c>
      <c r="D25" s="268">
        <f>IF(D$8="","",SUM($L68:$R68))</f>
        <v>2382.71</v>
      </c>
      <c r="E25" s="234">
        <f>IF(E$8="","",SUM($L69:$R69))</f>
        <v>4283.58</v>
      </c>
      <c r="F25" s="269">
        <f>IF(F$8="","",SUM($L70:$R70))</f>
        <v>3403.5600000000004</v>
      </c>
      <c r="G25" s="268">
        <f>IF(G$8="","",SUM($L71:$R71))</f>
        <v>2252.4499999999998</v>
      </c>
      <c r="H25" s="234">
        <f>IF(H$8="","",SUM($L72:$R72))</f>
        <v>2564.5699999999997</v>
      </c>
      <c r="I25" s="269">
        <f>IF(I$8="","",SUM($L73:$R73))</f>
        <v>3090.7799999999997</v>
      </c>
      <c r="J25" s="234">
        <f>IF(J$8="","",SUM($L74:$R74))</f>
        <v>9955.09</v>
      </c>
      <c r="K25" s="234">
        <f>IF(K$8="","",SUM($L75:$S75))</f>
        <v>-15399.09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12533.649999999998</v>
      </c>
      <c r="Q25" s="533"/>
    </row>
    <row r="26" spans="2:19" ht="18.5" x14ac:dyDescent="0.45">
      <c r="C26" s="272" t="s">
        <v>200</v>
      </c>
      <c r="D26" s="273">
        <f>IF(D8="","",SUM(D18:D20,D22:D25))</f>
        <v>222435.13999999998</v>
      </c>
      <c r="E26" s="274">
        <f t="shared" ref="E26:L26" si="8">IF(E8="","",SUM(E18:E20,E22:E25))</f>
        <v>313589.02999999997</v>
      </c>
      <c r="F26" s="275">
        <f t="shared" si="8"/>
        <v>396520.32999999996</v>
      </c>
      <c r="G26" s="273">
        <f t="shared" si="8"/>
        <v>289135.27000000008</v>
      </c>
      <c r="H26" s="274">
        <f t="shared" si="8"/>
        <v>190374.49</v>
      </c>
      <c r="I26" s="275">
        <f t="shared" si="8"/>
        <v>465286.02</v>
      </c>
      <c r="J26" s="273">
        <f t="shared" si="8"/>
        <v>391405.35000000003</v>
      </c>
      <c r="K26" s="274">
        <f t="shared" si="8"/>
        <v>301864.12999999995</v>
      </c>
      <c r="L26" s="275" t="str">
        <f t="shared" si="8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9">IF(O8="","",SUM(O18:O19,O22:O25))</f>
        <v/>
      </c>
      <c r="P26" s="274">
        <f>SUM(P18:P25)</f>
        <v>2570609.7599999993</v>
      </c>
      <c r="Q26" s="533"/>
    </row>
    <row r="27" spans="2:19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9" ht="18.5" x14ac:dyDescent="0.45">
      <c r="C28" s="267" t="s">
        <v>223</v>
      </c>
      <c r="D28" s="268">
        <f>IF(D$8="","",D$8*$Q28)</f>
        <v>7506.18</v>
      </c>
      <c r="E28" s="234">
        <f t="shared" ref="E28:O35" si="10">IF(E$8="","",E$8*$Q28)</f>
        <v>7466.04</v>
      </c>
      <c r="F28" s="269">
        <f t="shared" si="10"/>
        <v>7947.72</v>
      </c>
      <c r="G28" s="268">
        <f t="shared" si="10"/>
        <v>7907.58</v>
      </c>
      <c r="H28" s="234">
        <f t="shared" si="10"/>
        <v>7827.3</v>
      </c>
      <c r="I28" s="269">
        <f t="shared" si="10"/>
        <v>8028</v>
      </c>
      <c r="J28" s="234">
        <f t="shared" si="10"/>
        <v>8028</v>
      </c>
      <c r="K28" s="234">
        <f t="shared" si="10"/>
        <v>7987.86</v>
      </c>
      <c r="L28" s="234" t="str">
        <f t="shared" si="10"/>
        <v/>
      </c>
      <c r="M28" s="268" t="str">
        <f t="shared" si="10"/>
        <v/>
      </c>
      <c r="N28" s="234" t="str">
        <f t="shared" si="10"/>
        <v/>
      </c>
      <c r="O28" s="270" t="str">
        <f t="shared" si="10"/>
        <v/>
      </c>
      <c r="P28" s="234">
        <f>SUM(D28:O28)</f>
        <v>62698.680000000008</v>
      </c>
      <c r="Q28" s="533">
        <v>40.14</v>
      </c>
    </row>
    <row r="29" spans="2:19" ht="18.5" x14ac:dyDescent="0.45">
      <c r="C29" s="267" t="s">
        <v>224</v>
      </c>
      <c r="D29" s="268">
        <f t="shared" ref="D29:O35" si="11">IF(D$8="","",D$8*$Q29)</f>
        <v>748</v>
      </c>
      <c r="E29" s="234">
        <f t="shared" si="10"/>
        <v>744</v>
      </c>
      <c r="F29" s="269">
        <f t="shared" si="10"/>
        <v>792</v>
      </c>
      <c r="G29" s="268">
        <f t="shared" si="10"/>
        <v>788</v>
      </c>
      <c r="H29" s="234">
        <f t="shared" si="10"/>
        <v>780</v>
      </c>
      <c r="I29" s="269">
        <f t="shared" si="10"/>
        <v>800</v>
      </c>
      <c r="J29" s="234">
        <f t="shared" si="10"/>
        <v>800</v>
      </c>
      <c r="K29" s="234">
        <f t="shared" si="10"/>
        <v>796</v>
      </c>
      <c r="L29" s="234" t="str">
        <f t="shared" si="10"/>
        <v/>
      </c>
      <c r="M29" s="268" t="str">
        <f t="shared" si="10"/>
        <v/>
      </c>
      <c r="N29" s="234" t="str">
        <f t="shared" si="10"/>
        <v/>
      </c>
      <c r="O29" s="270" t="str">
        <f t="shared" si="10"/>
        <v/>
      </c>
      <c r="P29" s="234">
        <f t="shared" ref="P29:P35" si="12">SUM(D29:O29)</f>
        <v>6248</v>
      </c>
      <c r="Q29" s="533">
        <v>4</v>
      </c>
    </row>
    <row r="30" spans="2:19" ht="18.5" x14ac:dyDescent="0.45">
      <c r="C30" s="267" t="s">
        <v>324</v>
      </c>
      <c r="D30" s="268">
        <f>IF(D$8="","",D$8*$Q30)</f>
        <v>0</v>
      </c>
      <c r="E30" s="234">
        <f t="shared" si="10"/>
        <v>0</v>
      </c>
      <c r="F30" s="234">
        <f t="shared" si="10"/>
        <v>0</v>
      </c>
      <c r="G30" s="268">
        <f t="shared" si="10"/>
        <v>0</v>
      </c>
      <c r="H30" s="234">
        <f t="shared" si="10"/>
        <v>0</v>
      </c>
      <c r="I30" s="234">
        <f t="shared" si="10"/>
        <v>0</v>
      </c>
      <c r="J30" s="268">
        <f t="shared" si="10"/>
        <v>0</v>
      </c>
      <c r="K30" s="234">
        <f t="shared" si="10"/>
        <v>0</v>
      </c>
      <c r="L30" s="234" t="str">
        <f t="shared" si="10"/>
        <v/>
      </c>
      <c r="M30" s="268" t="str">
        <f t="shared" si="10"/>
        <v/>
      </c>
      <c r="N30" s="234" t="str">
        <f t="shared" si="10"/>
        <v/>
      </c>
      <c r="O30" s="270" t="str">
        <f t="shared" si="10"/>
        <v/>
      </c>
      <c r="P30" s="234">
        <f t="shared" si="12"/>
        <v>0</v>
      </c>
      <c r="Q30" s="533">
        <v>0</v>
      </c>
    </row>
    <row r="31" spans="2:19" ht="18.5" x14ac:dyDescent="0.45">
      <c r="C31" s="267" t="s">
        <v>325</v>
      </c>
      <c r="D31" s="268">
        <f t="shared" si="11"/>
        <v>0</v>
      </c>
      <c r="E31" s="234">
        <f t="shared" si="11"/>
        <v>0</v>
      </c>
      <c r="F31" s="234">
        <f t="shared" si="11"/>
        <v>0</v>
      </c>
      <c r="G31" s="268">
        <f t="shared" si="11"/>
        <v>0</v>
      </c>
      <c r="H31" s="234">
        <f t="shared" si="11"/>
        <v>0</v>
      </c>
      <c r="I31" s="234">
        <f t="shared" si="11"/>
        <v>0</v>
      </c>
      <c r="J31" s="268">
        <f t="shared" si="11"/>
        <v>0</v>
      </c>
      <c r="K31" s="234">
        <f t="shared" si="11"/>
        <v>0</v>
      </c>
      <c r="L31" s="234" t="str">
        <f t="shared" si="11"/>
        <v/>
      </c>
      <c r="M31" s="268" t="str">
        <f t="shared" si="11"/>
        <v/>
      </c>
      <c r="N31" s="234" t="str">
        <f t="shared" si="11"/>
        <v/>
      </c>
      <c r="O31" s="270" t="str">
        <f t="shared" si="11"/>
        <v/>
      </c>
      <c r="P31" s="234">
        <f t="shared" si="12"/>
        <v>0</v>
      </c>
      <c r="Q31" s="533">
        <v>0</v>
      </c>
    </row>
    <row r="32" spans="2:19" ht="18.5" x14ac:dyDescent="0.45">
      <c r="B32" s="325" t="s">
        <v>249</v>
      </c>
      <c r="C32" s="267" t="s">
        <v>247</v>
      </c>
      <c r="D32" s="268">
        <f t="shared" ref="D32:O32" si="13">IF(D$8="","",(D$8*$Q32)+SUM(D$18:D$19)*$R$32)</f>
        <v>2605.6121499999999</v>
      </c>
      <c r="E32" s="234">
        <f t="shared" si="13"/>
        <v>3043.8272499999998</v>
      </c>
      <c r="F32" s="269">
        <f t="shared" si="13"/>
        <v>3559.4838499999996</v>
      </c>
      <c r="G32" s="268">
        <f t="shared" si="13"/>
        <v>3565.5802500000004</v>
      </c>
      <c r="H32" s="234">
        <f t="shared" si="13"/>
        <v>2688.9375500000001</v>
      </c>
      <c r="I32" s="269">
        <f t="shared" si="13"/>
        <v>4197.7538000000004</v>
      </c>
      <c r="J32" s="234">
        <f t="shared" si="13"/>
        <v>4090.4776499999998</v>
      </c>
      <c r="K32" s="234">
        <f t="shared" si="13"/>
        <v>3694.1208000000001</v>
      </c>
      <c r="L32" s="234" t="str">
        <f t="shared" si="13"/>
        <v/>
      </c>
      <c r="M32" s="268" t="str">
        <f t="shared" si="13"/>
        <v/>
      </c>
      <c r="N32" s="234" t="str">
        <f t="shared" si="13"/>
        <v/>
      </c>
      <c r="O32" s="270" t="str">
        <f t="shared" si="13"/>
        <v/>
      </c>
      <c r="P32" s="234">
        <f t="shared" si="12"/>
        <v>27445.793300000001</v>
      </c>
      <c r="Q32" s="533">
        <v>7.5</v>
      </c>
      <c r="R32" s="324">
        <v>5.0000000000000001E-3</v>
      </c>
      <c r="S32" s="324"/>
    </row>
    <row r="33" spans="2:18" ht="18.5" x14ac:dyDescent="0.45">
      <c r="C33" s="267" t="s">
        <v>227</v>
      </c>
      <c r="D33" s="268">
        <f t="shared" si="11"/>
        <v>327.25</v>
      </c>
      <c r="E33" s="234">
        <f t="shared" si="10"/>
        <v>325.5</v>
      </c>
      <c r="F33" s="269">
        <f t="shared" si="10"/>
        <v>346.5</v>
      </c>
      <c r="G33" s="268">
        <f t="shared" si="10"/>
        <v>344.75</v>
      </c>
      <c r="H33" s="234">
        <f t="shared" si="10"/>
        <v>341.25</v>
      </c>
      <c r="I33" s="269">
        <f t="shared" si="10"/>
        <v>350</v>
      </c>
      <c r="J33" s="234">
        <f t="shared" si="10"/>
        <v>350</v>
      </c>
      <c r="K33" s="234">
        <f t="shared" si="10"/>
        <v>348.25</v>
      </c>
      <c r="L33" s="234" t="str">
        <f t="shared" si="10"/>
        <v/>
      </c>
      <c r="M33" s="268" t="str">
        <f t="shared" si="10"/>
        <v/>
      </c>
      <c r="N33" s="234" t="str">
        <f t="shared" si="10"/>
        <v/>
      </c>
      <c r="O33" s="270" t="str">
        <f t="shared" si="10"/>
        <v/>
      </c>
      <c r="P33" s="234">
        <f t="shared" si="12"/>
        <v>2733.5</v>
      </c>
      <c r="Q33" s="533">
        <v>1.75</v>
      </c>
    </row>
    <row r="34" spans="2:18" ht="18.5" x14ac:dyDescent="0.45">
      <c r="C34" s="267" t="s">
        <v>228</v>
      </c>
      <c r="D34" s="268">
        <f t="shared" si="11"/>
        <v>617.1</v>
      </c>
      <c r="E34" s="234">
        <f t="shared" si="10"/>
        <v>613.79999999999995</v>
      </c>
      <c r="F34" s="269">
        <f t="shared" si="10"/>
        <v>653.4</v>
      </c>
      <c r="G34" s="268">
        <f t="shared" si="10"/>
        <v>650.09999999999991</v>
      </c>
      <c r="H34" s="234">
        <f t="shared" si="10"/>
        <v>643.5</v>
      </c>
      <c r="I34" s="269">
        <f t="shared" si="10"/>
        <v>660</v>
      </c>
      <c r="J34" s="234">
        <f t="shared" si="10"/>
        <v>660</v>
      </c>
      <c r="K34" s="234">
        <f t="shared" si="10"/>
        <v>656.69999999999993</v>
      </c>
      <c r="L34" s="234" t="str">
        <f t="shared" si="10"/>
        <v/>
      </c>
      <c r="M34" s="268" t="str">
        <f t="shared" si="10"/>
        <v/>
      </c>
      <c r="N34" s="234" t="str">
        <f t="shared" si="10"/>
        <v/>
      </c>
      <c r="O34" s="270" t="str">
        <f t="shared" si="10"/>
        <v/>
      </c>
      <c r="P34" s="234">
        <f t="shared" si="12"/>
        <v>5154.5999999999995</v>
      </c>
      <c r="Q34" s="533">
        <v>3.3</v>
      </c>
    </row>
    <row r="35" spans="2:18" ht="18.5" x14ac:dyDescent="0.45">
      <c r="C35" s="267" t="s">
        <v>202</v>
      </c>
      <c r="D35" s="268">
        <f t="shared" si="11"/>
        <v>740.52</v>
      </c>
      <c r="E35" s="234">
        <f t="shared" si="10"/>
        <v>736.56</v>
      </c>
      <c r="F35" s="269">
        <f t="shared" si="10"/>
        <v>784.08</v>
      </c>
      <c r="G35" s="268">
        <f t="shared" si="10"/>
        <v>780.12</v>
      </c>
      <c r="H35" s="234">
        <f t="shared" si="10"/>
        <v>772.2</v>
      </c>
      <c r="I35" s="269">
        <f t="shared" si="10"/>
        <v>792</v>
      </c>
      <c r="J35" s="234">
        <f t="shared" si="10"/>
        <v>792</v>
      </c>
      <c r="K35" s="234">
        <f t="shared" si="10"/>
        <v>788.04</v>
      </c>
      <c r="L35" s="234" t="str">
        <f t="shared" si="10"/>
        <v/>
      </c>
      <c r="M35" s="268" t="str">
        <f t="shared" si="10"/>
        <v/>
      </c>
      <c r="N35" s="234" t="str">
        <f t="shared" si="10"/>
        <v/>
      </c>
      <c r="O35" s="270" t="str">
        <f t="shared" si="10"/>
        <v/>
      </c>
      <c r="P35" s="234">
        <f t="shared" si="12"/>
        <v>6185.5199999999995</v>
      </c>
      <c r="Q35" s="533">
        <v>3.96</v>
      </c>
    </row>
    <row r="36" spans="2:18" ht="18.5" x14ac:dyDescent="0.45">
      <c r="C36" s="272" t="s">
        <v>203</v>
      </c>
      <c r="D36" s="273">
        <f t="shared" ref="D36:P36" si="14">IF(D$8="","",SUM(D28:D35))</f>
        <v>12544.662150000002</v>
      </c>
      <c r="E36" s="274">
        <f t="shared" si="14"/>
        <v>12929.72725</v>
      </c>
      <c r="F36" s="275">
        <f t="shared" si="14"/>
        <v>14083.183850000001</v>
      </c>
      <c r="G36" s="273">
        <f t="shared" si="14"/>
        <v>14036.130250000002</v>
      </c>
      <c r="H36" s="274">
        <f t="shared" si="14"/>
        <v>13053.187550000001</v>
      </c>
      <c r="I36" s="275">
        <f t="shared" si="14"/>
        <v>14827.7538</v>
      </c>
      <c r="J36" s="274">
        <f t="shared" si="14"/>
        <v>14720.477650000001</v>
      </c>
      <c r="K36" s="274">
        <f t="shared" si="14"/>
        <v>14270.970800000003</v>
      </c>
      <c r="L36" s="274" t="str">
        <f t="shared" si="14"/>
        <v/>
      </c>
      <c r="M36" s="273" t="str">
        <f t="shared" si="14"/>
        <v/>
      </c>
      <c r="N36" s="274" t="str">
        <f t="shared" si="14"/>
        <v/>
      </c>
      <c r="O36" s="276" t="str">
        <f t="shared" si="14"/>
        <v/>
      </c>
      <c r="P36" s="274">
        <f t="shared" si="14"/>
        <v>110466.09330000002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18469.989999999998</v>
      </c>
      <c r="E38" s="234">
        <f t="shared" ref="E38:O41" si="15">IF(E$8="","",E$8*$Q38)</f>
        <v>18371.219999999998</v>
      </c>
      <c r="F38" s="269">
        <f t="shared" si="15"/>
        <v>19556.46</v>
      </c>
      <c r="G38" s="268">
        <f t="shared" si="15"/>
        <v>19457.689999999999</v>
      </c>
      <c r="H38" s="234">
        <f t="shared" si="15"/>
        <v>19260.149999999998</v>
      </c>
      <c r="I38" s="269">
        <f t="shared" si="15"/>
        <v>19754</v>
      </c>
      <c r="J38" s="234">
        <f t="shared" si="15"/>
        <v>19754</v>
      </c>
      <c r="K38" s="234">
        <f t="shared" si="15"/>
        <v>19655.23</v>
      </c>
      <c r="L38" s="234" t="str">
        <f t="shared" si="15"/>
        <v/>
      </c>
      <c r="M38" s="268" t="str">
        <f t="shared" si="15"/>
        <v/>
      </c>
      <c r="N38" s="234" t="str">
        <f t="shared" si="15"/>
        <v/>
      </c>
      <c r="O38" s="270" t="str">
        <f t="shared" si="15"/>
        <v/>
      </c>
      <c r="P38" s="234">
        <f>SUM(D38:O38)</f>
        <v>154278.74</v>
      </c>
      <c r="Q38" s="533">
        <v>98.77</v>
      </c>
    </row>
    <row r="39" spans="2:18" ht="18.5" x14ac:dyDescent="0.45">
      <c r="C39" s="267" t="s">
        <v>205</v>
      </c>
      <c r="D39" s="268">
        <f t="shared" ref="D39:D41" si="16">IF(D$8="","",D$8*$Q39)</f>
        <v>72948.7</v>
      </c>
      <c r="E39" s="234">
        <f t="shared" si="15"/>
        <v>72558.600000000006</v>
      </c>
      <c r="F39" s="269">
        <f t="shared" si="15"/>
        <v>77239.8</v>
      </c>
      <c r="G39" s="268">
        <f t="shared" si="15"/>
        <v>76849.700000000012</v>
      </c>
      <c r="H39" s="234">
        <f t="shared" si="15"/>
        <v>76069.5</v>
      </c>
      <c r="I39" s="269">
        <f t="shared" ref="I39:O39" si="17">IF(I$8="","",I$8*$R39)</f>
        <v>38020.000000000007</v>
      </c>
      <c r="J39" s="234">
        <f t="shared" si="17"/>
        <v>38020.000000000007</v>
      </c>
      <c r="K39" s="234">
        <f t="shared" si="17"/>
        <v>37829.9</v>
      </c>
      <c r="L39" s="234" t="str">
        <f t="shared" si="17"/>
        <v/>
      </c>
      <c r="M39" s="268" t="str">
        <f t="shared" si="17"/>
        <v/>
      </c>
      <c r="N39" s="234" t="str">
        <f t="shared" si="17"/>
        <v/>
      </c>
      <c r="O39" s="270" t="str">
        <f t="shared" si="17"/>
        <v/>
      </c>
      <c r="P39" s="234">
        <f t="shared" ref="P39:P41" si="18">SUM(D39:O39)</f>
        <v>489536.2</v>
      </c>
      <c r="Q39" s="533">
        <v>390.1</v>
      </c>
      <c r="R39" s="11">
        <f>Q39-200</f>
        <v>190.10000000000002</v>
      </c>
    </row>
    <row r="40" spans="2:18" ht="18.5" x14ac:dyDescent="0.45">
      <c r="C40" s="267" t="s">
        <v>322</v>
      </c>
      <c r="D40" s="268">
        <f t="shared" ref="D40:O40" si="19">IF(D$8="","",D$8*$Q40)</f>
        <v>748</v>
      </c>
      <c r="E40" s="234">
        <f t="shared" si="19"/>
        <v>744</v>
      </c>
      <c r="F40" s="269">
        <f t="shared" si="19"/>
        <v>792</v>
      </c>
      <c r="G40" s="234">
        <f t="shared" si="19"/>
        <v>788</v>
      </c>
      <c r="H40" s="234">
        <f t="shared" si="19"/>
        <v>780</v>
      </c>
      <c r="I40" s="269">
        <f t="shared" si="19"/>
        <v>800</v>
      </c>
      <c r="J40" s="234">
        <f t="shared" si="19"/>
        <v>800</v>
      </c>
      <c r="K40" s="234">
        <f t="shared" si="19"/>
        <v>796</v>
      </c>
      <c r="L40" s="234" t="str">
        <f t="shared" si="19"/>
        <v/>
      </c>
      <c r="M40" s="268" t="str">
        <f t="shared" si="19"/>
        <v/>
      </c>
      <c r="N40" s="234" t="str">
        <f t="shared" si="19"/>
        <v/>
      </c>
      <c r="O40" s="270" t="str">
        <f t="shared" si="19"/>
        <v/>
      </c>
      <c r="P40" s="234">
        <f>SUM(D40:O40)</f>
        <v>6248</v>
      </c>
      <c r="Q40" s="533">
        <v>4</v>
      </c>
    </row>
    <row r="41" spans="2:18" ht="18.5" x14ac:dyDescent="0.45">
      <c r="C41" s="267" t="s">
        <v>206</v>
      </c>
      <c r="D41" s="268">
        <f t="shared" si="16"/>
        <v>538.55999999999995</v>
      </c>
      <c r="E41" s="234">
        <f t="shared" si="15"/>
        <v>535.67999999999995</v>
      </c>
      <c r="F41" s="269">
        <f t="shared" si="15"/>
        <v>570.24</v>
      </c>
      <c r="G41" s="268">
        <f t="shared" si="15"/>
        <v>567.36</v>
      </c>
      <c r="H41" s="234">
        <f t="shared" si="15"/>
        <v>561.6</v>
      </c>
      <c r="I41" s="269">
        <f t="shared" si="15"/>
        <v>576</v>
      </c>
      <c r="J41" s="234">
        <f t="shared" si="15"/>
        <v>576</v>
      </c>
      <c r="K41" s="234">
        <f t="shared" si="15"/>
        <v>573.12</v>
      </c>
      <c r="L41" s="234" t="str">
        <f t="shared" si="15"/>
        <v/>
      </c>
      <c r="M41" s="268" t="str">
        <f t="shared" si="15"/>
        <v/>
      </c>
      <c r="N41" s="234" t="str">
        <f t="shared" si="15"/>
        <v/>
      </c>
      <c r="O41" s="270" t="str">
        <f t="shared" si="15"/>
        <v/>
      </c>
      <c r="P41" s="234">
        <f t="shared" si="18"/>
        <v>4498.5599999999995</v>
      </c>
      <c r="Q41" s="533">
        <v>2.88</v>
      </c>
    </row>
    <row r="42" spans="2:18" ht="18.5" x14ac:dyDescent="0.45">
      <c r="C42" s="272" t="s">
        <v>207</v>
      </c>
      <c r="D42" s="273">
        <f t="shared" ref="D42:P42" si="20">IF(D$8="","",SUM(D38:D41))</f>
        <v>92705.25</v>
      </c>
      <c r="E42" s="274">
        <f t="shared" si="20"/>
        <v>92209.5</v>
      </c>
      <c r="F42" s="275">
        <f t="shared" si="20"/>
        <v>98158.500000000015</v>
      </c>
      <c r="G42" s="273">
        <f t="shared" si="20"/>
        <v>97662.750000000015</v>
      </c>
      <c r="H42" s="274">
        <f t="shared" si="20"/>
        <v>96671.25</v>
      </c>
      <c r="I42" s="275">
        <f t="shared" si="20"/>
        <v>59150.000000000007</v>
      </c>
      <c r="J42" s="274">
        <f t="shared" si="20"/>
        <v>59150.000000000007</v>
      </c>
      <c r="K42" s="274">
        <f t="shared" si="20"/>
        <v>58854.250000000007</v>
      </c>
      <c r="L42" s="274" t="str">
        <f t="shared" si="20"/>
        <v/>
      </c>
      <c r="M42" s="273" t="str">
        <f t="shared" si="20"/>
        <v/>
      </c>
      <c r="N42" s="274" t="str">
        <f t="shared" si="20"/>
        <v/>
      </c>
      <c r="O42" s="276" t="str">
        <f t="shared" si="20"/>
        <v/>
      </c>
      <c r="P42" s="274">
        <f t="shared" si="20"/>
        <v>654561.5</v>
      </c>
      <c r="Q42" s="30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 t="s">
        <v>191</v>
      </c>
      <c r="C44" s="267" t="s">
        <v>209</v>
      </c>
      <c r="D44" s="268">
        <f t="shared" ref="D44:O48" si="21">IF(D$8="","",0)</f>
        <v>0</v>
      </c>
      <c r="E44" s="234">
        <f t="shared" si="21"/>
        <v>0</v>
      </c>
      <c r="F44" s="234">
        <f t="shared" si="21"/>
        <v>0</v>
      </c>
      <c r="G44" s="268">
        <f>416.5/19</f>
        <v>21.921052631578949</v>
      </c>
      <c r="H44" s="234">
        <f t="shared" si="21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21"/>
        <v/>
      </c>
      <c r="M44" s="268" t="str">
        <f t="shared" si="21"/>
        <v/>
      </c>
      <c r="N44" s="234" t="str">
        <f t="shared" si="21"/>
        <v/>
      </c>
      <c r="O44" s="234" t="str">
        <f t="shared" si="21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21"/>
        <v>0</v>
      </c>
      <c r="E45" s="234">
        <f t="shared" si="21"/>
        <v>0</v>
      </c>
      <c r="F45" s="269">
        <f t="shared" si="21"/>
        <v>0</v>
      </c>
      <c r="G45" s="268">
        <f t="shared" si="21"/>
        <v>0</v>
      </c>
      <c r="H45" s="234">
        <f>15600/19</f>
        <v>821.0526315789474</v>
      </c>
      <c r="I45" s="234">
        <f t="shared" si="21"/>
        <v>0</v>
      </c>
      <c r="J45" s="268">
        <f t="shared" si="21"/>
        <v>0</v>
      </c>
      <c r="K45" s="234">
        <f t="shared" si="21"/>
        <v>0</v>
      </c>
      <c r="L45" s="234" t="str">
        <f t="shared" si="21"/>
        <v/>
      </c>
      <c r="M45" s="268" t="str">
        <f t="shared" si="21"/>
        <v/>
      </c>
      <c r="N45" s="234" t="str">
        <f t="shared" si="21"/>
        <v/>
      </c>
      <c r="O45" s="234" t="str">
        <f t="shared" si="21"/>
        <v/>
      </c>
      <c r="P45" s="474">
        <f t="shared" ref="P45:P48" si="22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21"/>
        <v>0</v>
      </c>
      <c r="E46" s="234">
        <f t="shared" si="21"/>
        <v>0</v>
      </c>
      <c r="F46" s="269">
        <f t="shared" si="21"/>
        <v>0</v>
      </c>
      <c r="G46" s="268">
        <f t="shared" si="21"/>
        <v>0</v>
      </c>
      <c r="H46" s="234">
        <f t="shared" si="21"/>
        <v>0</v>
      </c>
      <c r="I46" s="234">
        <f t="shared" si="21"/>
        <v>0</v>
      </c>
      <c r="J46" s="268">
        <f t="shared" si="21"/>
        <v>0</v>
      </c>
      <c r="K46" s="234">
        <f t="shared" si="21"/>
        <v>0</v>
      </c>
      <c r="L46" s="234" t="str">
        <f t="shared" si="21"/>
        <v/>
      </c>
      <c r="M46" s="268" t="str">
        <f t="shared" si="21"/>
        <v/>
      </c>
      <c r="N46" s="234" t="str">
        <f t="shared" si="21"/>
        <v/>
      </c>
      <c r="O46" s="234" t="str">
        <f t="shared" si="21"/>
        <v/>
      </c>
      <c r="P46" s="474">
        <f t="shared" si="22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21"/>
        <v>0</v>
      </c>
      <c r="E47" s="234">
        <f t="shared" si="21"/>
        <v>0</v>
      </c>
      <c r="F47" s="234">
        <f t="shared" si="21"/>
        <v>0</v>
      </c>
      <c r="G47" s="268">
        <f t="shared" si="21"/>
        <v>0</v>
      </c>
      <c r="H47" s="234">
        <f t="shared" si="21"/>
        <v>0</v>
      </c>
      <c r="I47" s="234">
        <f t="shared" si="21"/>
        <v>0</v>
      </c>
      <c r="J47" s="268">
        <f t="shared" si="21"/>
        <v>0</v>
      </c>
      <c r="K47" s="234">
        <f t="shared" si="21"/>
        <v>0</v>
      </c>
      <c r="L47" s="234" t="str">
        <f t="shared" si="21"/>
        <v/>
      </c>
      <c r="M47" s="268" t="str">
        <f t="shared" si="21"/>
        <v/>
      </c>
      <c r="N47" s="234" t="str">
        <f t="shared" si="21"/>
        <v/>
      </c>
      <c r="O47" s="270" t="str">
        <f t="shared" si="21"/>
        <v/>
      </c>
      <c r="P47" s="234">
        <f t="shared" si="22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21"/>
        <v>0</v>
      </c>
      <c r="F48" s="456">
        <f t="shared" si="21"/>
        <v>0</v>
      </c>
      <c r="G48" s="458">
        <f t="shared" si="21"/>
        <v>0</v>
      </c>
      <c r="H48" s="234">
        <f t="shared" si="21"/>
        <v>0</v>
      </c>
      <c r="I48" s="456">
        <f t="shared" si="21"/>
        <v>0</v>
      </c>
      <c r="J48" s="268">
        <f t="shared" si="21"/>
        <v>0</v>
      </c>
      <c r="K48" s="457">
        <f t="shared" si="21"/>
        <v>0</v>
      </c>
      <c r="L48" s="456" t="str">
        <f t="shared" si="21"/>
        <v/>
      </c>
      <c r="M48" s="458" t="str">
        <f t="shared" si="21"/>
        <v/>
      </c>
      <c r="N48" s="234" t="str">
        <f t="shared" si="21"/>
        <v/>
      </c>
      <c r="O48" s="525" t="str">
        <f t="shared" si="21"/>
        <v/>
      </c>
      <c r="P48" s="475">
        <f t="shared" si="22"/>
        <v>0</v>
      </c>
      <c r="Q48" s="244"/>
    </row>
    <row r="49" spans="2:17" ht="18.5" x14ac:dyDescent="0.45">
      <c r="C49" s="272" t="s">
        <v>229</v>
      </c>
      <c r="D49" s="273">
        <f t="shared" ref="D49:P49" si="23">IF(D$8="","",SUM(D44:D48))</f>
        <v>0</v>
      </c>
      <c r="E49" s="274">
        <f t="shared" si="23"/>
        <v>0</v>
      </c>
      <c r="F49" s="275">
        <f t="shared" si="23"/>
        <v>0</v>
      </c>
      <c r="G49" s="273">
        <f t="shared" si="23"/>
        <v>21.921052631578949</v>
      </c>
      <c r="H49" s="274">
        <f t="shared" si="23"/>
        <v>821.0526315789474</v>
      </c>
      <c r="I49" s="275">
        <f t="shared" si="23"/>
        <v>12.102631578947367</v>
      </c>
      <c r="J49" s="274">
        <f t="shared" si="23"/>
        <v>31.315789473684209</v>
      </c>
      <c r="K49" s="274">
        <f t="shared" si="23"/>
        <v>56.368421052631582</v>
      </c>
      <c r="L49" s="274" t="str">
        <f t="shared" si="23"/>
        <v/>
      </c>
      <c r="M49" s="273" t="str">
        <f t="shared" si="23"/>
        <v/>
      </c>
      <c r="N49" s="274" t="str">
        <f t="shared" si="23"/>
        <v/>
      </c>
      <c r="O49" s="276" t="str">
        <f t="shared" si="23"/>
        <v/>
      </c>
      <c r="P49" s="557">
        <f t="shared" si="23"/>
        <v>942.76052631578955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35851.227850000025</v>
      </c>
      <c r="E51" s="289">
        <f>IF(E8="","",E14-SUM(E26,E36,E42,E49))</f>
        <v>-68463.357249999943</v>
      </c>
      <c r="F51" s="290">
        <f>IF(F8="","",F14-SUM(F26,F36,F42,F49))</f>
        <v>-150947.75384999998</v>
      </c>
      <c r="G51" s="288">
        <f>IF(G8="","",G14-SUM(G26,G36,G42,G49))</f>
        <v>-40440.631302631635</v>
      </c>
      <c r="H51" s="289">
        <f>IF(H8="","",H14-SUM(H26,H36,H42,H49))</f>
        <v>57668.939818421029</v>
      </c>
      <c r="I51" s="290">
        <f>IF(I8="","",I14-SUM(I26,I36,I42,I49))</f>
        <v>124795.60356842098</v>
      </c>
      <c r="J51" s="289">
        <f>IF(J8="","",J14-SUM(J26,J36,J42,J49))</f>
        <v>-101235.66343947378</v>
      </c>
      <c r="K51" s="289">
        <f>IF(K8="","",K14-SUM(K26,K36,K42,K49))</f>
        <v>-12803.759221052576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-155575.39382631518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-52881.42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-208456.81382631516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561</v>
      </c>
      <c r="E56" s="234">
        <f>IF(E12="","",-E12)</f>
        <v>558</v>
      </c>
      <c r="F56" s="269">
        <f>IF(F12="","",-F12)</f>
        <v>594</v>
      </c>
      <c r="G56" s="268">
        <f>IF(G12="","",-G12)</f>
        <v>591</v>
      </c>
      <c r="H56" s="234">
        <f>IF(H12="","",-H12)</f>
        <v>585</v>
      </c>
      <c r="I56" s="269">
        <f>IF(I12="","",-I12)</f>
        <v>600</v>
      </c>
      <c r="J56" s="234">
        <f>IF(J12="","",-J12)</f>
        <v>600</v>
      </c>
      <c r="K56" s="234">
        <f>IF(K12="","",-K12)</f>
        <v>597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4686</v>
      </c>
      <c r="Q56" s="244"/>
    </row>
    <row r="57" spans="2:17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4">IF(E$8="","",0)</f>
        <v>0</v>
      </c>
      <c r="F57" s="269">
        <f t="shared" si="24"/>
        <v>0</v>
      </c>
      <c r="G57" s="268">
        <f t="shared" si="24"/>
        <v>0</v>
      </c>
      <c r="H57" s="234">
        <f t="shared" si="24"/>
        <v>0</v>
      </c>
      <c r="I57" s="269">
        <f t="shared" si="24"/>
        <v>0</v>
      </c>
      <c r="J57" s="234">
        <f t="shared" si="24"/>
        <v>0</v>
      </c>
      <c r="K57" s="234">
        <f t="shared" si="24"/>
        <v>0</v>
      </c>
      <c r="L57" s="234" t="str">
        <f t="shared" si="24"/>
        <v/>
      </c>
      <c r="M57" s="268" t="str">
        <f t="shared" si="24"/>
        <v/>
      </c>
      <c r="N57" s="234" t="str">
        <f t="shared" si="24"/>
        <v/>
      </c>
      <c r="O57" s="270" t="str">
        <f t="shared" si="24"/>
        <v/>
      </c>
      <c r="P57" s="234">
        <f>SUM(D57:O57)</f>
        <v>0</v>
      </c>
      <c r="Q57" s="244"/>
    </row>
    <row r="58" spans="2:17" ht="18.5" x14ac:dyDescent="0.45">
      <c r="C58" s="296" t="s">
        <v>234</v>
      </c>
      <c r="D58" s="297">
        <f>IF(D$8="","",SUM(D56:D57))</f>
        <v>561</v>
      </c>
      <c r="E58" s="298">
        <f t="shared" ref="E58:O58" si="25">IF(E$8="","",SUM(E56:E57))</f>
        <v>558</v>
      </c>
      <c r="F58" s="299">
        <f t="shared" si="25"/>
        <v>594</v>
      </c>
      <c r="G58" s="297">
        <f t="shared" si="25"/>
        <v>591</v>
      </c>
      <c r="H58" s="298">
        <f t="shared" si="25"/>
        <v>585</v>
      </c>
      <c r="I58" s="299">
        <f t="shared" si="25"/>
        <v>600</v>
      </c>
      <c r="J58" s="298">
        <f t="shared" si="25"/>
        <v>600</v>
      </c>
      <c r="K58" s="298">
        <f t="shared" si="25"/>
        <v>597</v>
      </c>
      <c r="L58" s="298" t="str">
        <f t="shared" si="25"/>
        <v/>
      </c>
      <c r="M58" s="297" t="str">
        <f t="shared" si="25"/>
        <v/>
      </c>
      <c r="N58" s="298" t="str">
        <f t="shared" si="25"/>
        <v/>
      </c>
      <c r="O58" s="300" t="str">
        <f t="shared" si="25"/>
        <v/>
      </c>
      <c r="P58" s="298">
        <f>SUM(P56:P57)</f>
        <v>4686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90200.95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94886.95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46810.64</v>
      </c>
      <c r="E68" s="246">
        <v>51241.52</v>
      </c>
      <c r="F68" s="246">
        <v>82559.56</v>
      </c>
      <c r="G68" s="246">
        <v>60010.71</v>
      </c>
      <c r="H68" s="246">
        <v>0</v>
      </c>
      <c r="I68" s="308">
        <v>-10978.16</v>
      </c>
      <c r="J68" s="309">
        <f>SUM(D68:I68)</f>
        <v>229644.27</v>
      </c>
      <c r="K68" s="310">
        <v>185</v>
      </c>
      <c r="L68" s="307">
        <f>772.23+36.82-74.68</f>
        <v>734.37000000000012</v>
      </c>
      <c r="M68" s="246">
        <v>0</v>
      </c>
      <c r="N68" s="246">
        <v>0</v>
      </c>
      <c r="O68" s="246">
        <f>140+110+1210</f>
        <v>1460</v>
      </c>
      <c r="P68" s="246">
        <v>0</v>
      </c>
      <c r="Q68" s="246">
        <f>188.34</f>
        <v>188.34</v>
      </c>
      <c r="R68" s="246">
        <v>0</v>
      </c>
      <c r="S68" s="246">
        <v>0</v>
      </c>
      <c r="T68" s="246">
        <v>0</v>
      </c>
      <c r="U68" s="323">
        <v>0</v>
      </c>
    </row>
    <row r="69" spans="3:21" ht="18.5" x14ac:dyDescent="0.45">
      <c r="C69" s="306" t="str">
        <f>Addendum!E11</f>
        <v>August</v>
      </c>
      <c r="D69" s="307">
        <v>54634.94</v>
      </c>
      <c r="E69" s="246">
        <v>55952.31</v>
      </c>
      <c r="F69" s="246">
        <v>59963.73</v>
      </c>
      <c r="G69" s="246">
        <v>98591.96</v>
      </c>
      <c r="H69" s="246">
        <v>60622.51</v>
      </c>
      <c r="I69" s="308">
        <v>-11218.6</v>
      </c>
      <c r="J69" s="309">
        <f t="shared" ref="J69:J79" si="26">SUM(D69:I69)</f>
        <v>318546.85000000003</v>
      </c>
      <c r="K69" s="311">
        <v>189</v>
      </c>
      <c r="L69" s="307">
        <f>485.37+3.84+84.7+185.05</f>
        <v>758.96</v>
      </c>
      <c r="M69" s="246">
        <v>0</v>
      </c>
      <c r="N69" s="246">
        <v>0</v>
      </c>
      <c r="O69" s="246">
        <f>300+1320+1760</f>
        <v>3380</v>
      </c>
      <c r="P69" s="246">
        <v>0</v>
      </c>
      <c r="Q69" s="246">
        <f>13.51+111.37+19.74</f>
        <v>144.62</v>
      </c>
      <c r="R69" s="246">
        <v>0</v>
      </c>
      <c r="S69" s="246">
        <v>0</v>
      </c>
      <c r="T69" s="246">
        <v>0</v>
      </c>
      <c r="U69" s="323">
        <v>0</v>
      </c>
    </row>
    <row r="70" spans="3:21" ht="18.5" x14ac:dyDescent="0.45">
      <c r="C70" s="306" t="str">
        <f>Addendum!E12</f>
        <v>September</v>
      </c>
      <c r="D70" s="307">
        <v>86546.559999999998</v>
      </c>
      <c r="E70" s="246">
        <v>94781.17</v>
      </c>
      <c r="F70" s="246">
        <v>87949.18</v>
      </c>
      <c r="G70" s="246">
        <v>145619.85999999999</v>
      </c>
      <c r="H70" s="246">
        <v>0</v>
      </c>
      <c r="I70" s="308">
        <v>-11280.37</v>
      </c>
      <c r="J70" s="309">
        <f>SUM(D70:I70)</f>
        <v>403616.39999999997</v>
      </c>
      <c r="K70" s="311">
        <v>197</v>
      </c>
      <c r="L70" s="307">
        <f>0.92-23.5+1172.8-578.41</f>
        <v>571.81000000000006</v>
      </c>
      <c r="M70" s="246">
        <v>0</v>
      </c>
      <c r="N70" s="246">
        <v>0</v>
      </c>
      <c r="O70" s="246">
        <f>160+770+1210</f>
        <v>2140</v>
      </c>
      <c r="P70" s="246">
        <f>655.45</f>
        <v>655.45</v>
      </c>
      <c r="Q70" s="246">
        <f>33.21+3.09</f>
        <v>36.299999999999997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83422.31</v>
      </c>
      <c r="E71" s="246">
        <v>73778.59</v>
      </c>
      <c r="F71" s="246">
        <v>74636.179999999993</v>
      </c>
      <c r="G71" s="246">
        <v>185778.97</v>
      </c>
      <c r="H71" s="246">
        <v>0</v>
      </c>
      <c r="I71" s="308">
        <v>-11018.86</v>
      </c>
      <c r="J71" s="309">
        <f t="shared" si="26"/>
        <v>406597.19</v>
      </c>
      <c r="K71" s="311">
        <v>196</v>
      </c>
      <c r="L71" s="307">
        <f>-69.28+35.7+35.99</f>
        <v>2.4100000000000037</v>
      </c>
      <c r="M71" s="246">
        <v>0</v>
      </c>
      <c r="N71" s="246">
        <v>0</v>
      </c>
      <c r="O71" s="246">
        <f>240+660+1320</f>
        <v>2220</v>
      </c>
      <c r="P71" s="246">
        <v>0</v>
      </c>
      <c r="Q71" s="246">
        <f>33.23-66.82+3.56+60.07</f>
        <v>30.040000000000003</v>
      </c>
      <c r="R71" s="246">
        <v>0</v>
      </c>
      <c r="S71" s="246">
        <v>0</v>
      </c>
      <c r="T71" s="246">
        <v>0</v>
      </c>
      <c r="U71" s="323">
        <v>0</v>
      </c>
    </row>
    <row r="72" spans="3:21" ht="18.5" x14ac:dyDescent="0.45">
      <c r="C72" s="306" t="str">
        <f>Addendum!E14</f>
        <v>November</v>
      </c>
      <c r="D72" s="307">
        <v>77853.210000000006</v>
      </c>
      <c r="E72" s="246">
        <v>-50242.3</v>
      </c>
      <c r="F72" s="246">
        <v>80978.149999999994</v>
      </c>
      <c r="G72" s="246">
        <v>86508.99</v>
      </c>
      <c r="H72" s="246">
        <v>50189.46</v>
      </c>
      <c r="I72" s="308">
        <v>-11879.26</v>
      </c>
      <c r="J72" s="309">
        <f t="shared" si="26"/>
        <v>233408.24999999997</v>
      </c>
      <c r="K72" s="311">
        <v>199</v>
      </c>
      <c r="L72" s="307">
        <f>-3.67-212.1+66.57-45.18</f>
        <v>-194.38</v>
      </c>
      <c r="M72" s="246">
        <v>0</v>
      </c>
      <c r="N72" s="246">
        <v>0</v>
      </c>
      <c r="O72" s="246">
        <f>160+880+1320</f>
        <v>2360</v>
      </c>
      <c r="P72" s="246">
        <f>353.31</f>
        <v>353.31</v>
      </c>
      <c r="Q72" s="246">
        <f>30.1+131.15-115.61</f>
        <v>45.64</v>
      </c>
      <c r="R72" s="246">
        <v>0</v>
      </c>
      <c r="S72" s="246">
        <v>0</v>
      </c>
      <c r="T72" s="246">
        <v>0</v>
      </c>
      <c r="U72" s="323">
        <v>0</v>
      </c>
    </row>
    <row r="73" spans="3:21" ht="18.5" x14ac:dyDescent="0.45">
      <c r="C73" s="306" t="str">
        <f>Addendum!E15</f>
        <v>December</v>
      </c>
      <c r="D73" s="307">
        <v>123825.86</v>
      </c>
      <c r="E73" s="246">
        <v>71325.600000000006</v>
      </c>
      <c r="F73" s="246">
        <v>85595.93</v>
      </c>
      <c r="G73" s="246">
        <v>283108.78999999998</v>
      </c>
      <c r="H73" s="246">
        <v>0</v>
      </c>
      <c r="I73" s="308">
        <v>-10714.81</v>
      </c>
      <c r="J73" s="309">
        <f t="shared" si="26"/>
        <v>553141.36999999988</v>
      </c>
      <c r="K73" s="311">
        <v>199</v>
      </c>
      <c r="L73" s="307">
        <f>316.77+29.73+266.26+31.02</f>
        <v>643.78</v>
      </c>
      <c r="M73" s="246">
        <v>0</v>
      </c>
      <c r="N73" s="246">
        <v>0</v>
      </c>
      <c r="O73" s="246">
        <f>120+220+2090</f>
        <v>2430</v>
      </c>
      <c r="P73" s="246">
        <f>336.82-367.77</f>
        <v>-30.949999999999989</v>
      </c>
      <c r="Q73" s="246">
        <f>13.51+34.44</f>
        <v>47.949999999999996</v>
      </c>
      <c r="R73" s="246">
        <v>0</v>
      </c>
      <c r="S73" s="246">
        <v>0</v>
      </c>
      <c r="T73" s="246">
        <v>0</v>
      </c>
      <c r="U73" s="323">
        <v>0</v>
      </c>
    </row>
    <row r="74" spans="3:21" ht="18.5" x14ac:dyDescent="0.45">
      <c r="C74" s="306" t="str">
        <f>Addendum!E16</f>
        <v>January 2025</v>
      </c>
      <c r="D74" s="307">
        <v>57943.94</v>
      </c>
      <c r="E74" s="246">
        <v>125394.07</v>
      </c>
      <c r="F74" s="246">
        <v>196176.81</v>
      </c>
      <c r="G74" s="246">
        <v>57829.16</v>
      </c>
      <c r="H74" s="246">
        <v>80751.55</v>
      </c>
      <c r="I74" s="308">
        <v>-11666.82</v>
      </c>
      <c r="J74" s="309">
        <f t="shared" si="26"/>
        <v>506428.70999999996</v>
      </c>
      <c r="K74" s="311">
        <v>198</v>
      </c>
      <c r="L74" s="307">
        <f>77.35+68.53+45.61+281.28-21.01</f>
        <v>451.76</v>
      </c>
      <c r="M74" s="246">
        <v>0</v>
      </c>
      <c r="N74" s="246">
        <v>0</v>
      </c>
      <c r="O74" s="246">
        <f>180+550+2090</f>
        <v>2820</v>
      </c>
      <c r="P74" s="246">
        <f>83.92+6477.82</f>
        <v>6561.74</v>
      </c>
      <c r="Q74" s="246">
        <f>101.85+19.74</f>
        <v>121.58999999999999</v>
      </c>
      <c r="R74" s="246">
        <v>0</v>
      </c>
      <c r="S74" s="246">
        <v>0</v>
      </c>
      <c r="T74" s="246">
        <v>0</v>
      </c>
      <c r="U74" s="323">
        <v>0</v>
      </c>
    </row>
    <row r="75" spans="3:21" ht="18.5" x14ac:dyDescent="0.45">
      <c r="C75" s="306" t="str">
        <f>Addendum!E17</f>
        <v>February</v>
      </c>
      <c r="D75" s="307">
        <v>135466.71</v>
      </c>
      <c r="E75" s="246">
        <v>54465.04</v>
      </c>
      <c r="F75" s="246">
        <v>176915.54</v>
      </c>
      <c r="G75" s="246">
        <v>73476.87</v>
      </c>
      <c r="H75" s="246">
        <v>0</v>
      </c>
      <c r="I75" s="308">
        <v>-11703.5</v>
      </c>
      <c r="J75" s="309">
        <f t="shared" si="26"/>
        <v>428620.66000000003</v>
      </c>
      <c r="K75" s="311">
        <v>198</v>
      </c>
      <c r="L75" s="307">
        <f>156.88+146.82+35.66+24.98</f>
        <v>364.34000000000003</v>
      </c>
      <c r="M75" s="246">
        <v>0</v>
      </c>
      <c r="N75" s="246">
        <v>0</v>
      </c>
      <c r="O75" s="246">
        <f>320+110+1980</f>
        <v>2410</v>
      </c>
      <c r="P75" s="246">
        <f>6477.82</f>
        <v>6477.82</v>
      </c>
      <c r="Q75" s="246">
        <f>104.01-9.26</f>
        <v>94.75</v>
      </c>
      <c r="R75" s="246">
        <v>0</v>
      </c>
      <c r="S75" s="246">
        <v>-24746</v>
      </c>
      <c r="T75" s="246">
        <v>0</v>
      </c>
      <c r="U75" s="323">
        <v>-48296.37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6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6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6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6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666504.16999999993</v>
      </c>
      <c r="E80" s="314">
        <f t="shared" ref="E80:J80" si="27">SUM(E68:E79)</f>
        <v>476696</v>
      </c>
      <c r="F80" s="314">
        <f t="shared" si="27"/>
        <v>844775.08000000007</v>
      </c>
      <c r="G80" s="314">
        <f t="shared" si="27"/>
        <v>990925.31</v>
      </c>
      <c r="H80" s="314">
        <f t="shared" si="27"/>
        <v>191563.52000000002</v>
      </c>
      <c r="I80" s="315">
        <f t="shared" si="27"/>
        <v>-90460.38</v>
      </c>
      <c r="J80" s="316">
        <f t="shared" si="27"/>
        <v>3080003.7</v>
      </c>
      <c r="K80" s="317">
        <f>SUM(K68:K79)</f>
        <v>1561</v>
      </c>
      <c r="L80" s="313">
        <f>SUM(L68:L79)</f>
        <v>3333.05</v>
      </c>
      <c r="M80" s="314">
        <f t="shared" ref="M80:U80" si="28">SUM(M68:M79)</f>
        <v>0</v>
      </c>
      <c r="N80" s="314">
        <f t="shared" si="28"/>
        <v>0</v>
      </c>
      <c r="O80" s="314">
        <f t="shared" si="28"/>
        <v>19220</v>
      </c>
      <c r="P80" s="314">
        <f t="shared" si="28"/>
        <v>14017.369999999999</v>
      </c>
      <c r="Q80" s="314">
        <f t="shared" si="28"/>
        <v>709.23</v>
      </c>
      <c r="R80" s="314">
        <f t="shared" si="28"/>
        <v>0</v>
      </c>
      <c r="S80" s="314">
        <f t="shared" si="28"/>
        <v>-24746</v>
      </c>
      <c r="T80" s="314">
        <f t="shared" si="28"/>
        <v>0</v>
      </c>
      <c r="U80" s="322">
        <f t="shared" si="28"/>
        <v>-48296.37</v>
      </c>
    </row>
    <row r="81" spans="9:9" x14ac:dyDescent="0.35">
      <c r="I81" t="s">
        <v>326</v>
      </c>
    </row>
  </sheetData>
  <mergeCells count="20">
    <mergeCell ref="L66:U66"/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D66:H66"/>
    <mergeCell ref="I66:I67"/>
    <mergeCell ref="J66:J67"/>
    <mergeCell ref="K66:K67"/>
  </mergeCells>
  <conditionalFormatting sqref="D51:P51">
    <cfRule type="cellIs" dxfId="5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2AE03-4012-4B78-95C2-7E59E9973F90}">
  <sheetPr codeName="Sheet24">
    <tabColor theme="6" tint="0.39997558519241921"/>
    <pageSetUpPr fitToPage="1"/>
  </sheetPr>
  <dimension ref="B1:U80"/>
  <sheetViews>
    <sheetView view="pageBreakPreview" topLeftCell="A49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178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Entry'!$D$3:$D$500,MATCH(1,INDEX((Penncrest!$C$7='Cash Flow Entry'!$B$3:$B$500)*(VALUE(Penncrest!D$7)='Cash Flow Entry'!$C$3:$C$500),0,1),0)),"")</f>
        <v>321</v>
      </c>
      <c r="E8" s="256" cm="1">
        <f t="array" ref="E8">IFERROR(INDEX('Cash Flow Entry'!$D$3:$D$500,MATCH(1,INDEX((Penncrest!$C$7='Cash Flow Entry'!$B$3:$B$500)*(VALUE(Penncrest!E$7)='Cash Flow Entry'!$C$3:$C$500),0,1),0)),"")</f>
        <v>319</v>
      </c>
      <c r="F8" s="257" cm="1">
        <f t="array" ref="F8">IFERROR(INDEX('Cash Flow Entry'!$D$3:$D$500,MATCH(1,INDEX((Penncrest!$C$7='Cash Flow Entry'!$B$3:$B$500)*(VALUE(Penncrest!F$7)='Cash Flow Entry'!$C$3:$C$500),0,1),0)),"")</f>
        <v>309</v>
      </c>
      <c r="G8" s="255" cm="1">
        <f t="array" ref="G8">IFERROR(INDEX('Cash Flow Entry'!$D$3:$D$500,MATCH(1,INDEX((Penncrest!$C$7='Cash Flow Entry'!$B$3:$B$500)*(VALUE(Penncrest!G$7)='Cash Flow Entry'!$C$3:$C$500),0,1),0)),"")</f>
        <v>307</v>
      </c>
      <c r="H8" s="256" cm="1">
        <f t="array" ref="H8">IFERROR(INDEX('Cash Flow Entry'!$D$3:$D$500,MATCH(1,INDEX((Penncrest!$C$7='Cash Flow Entry'!$B$3:$B$500)*(VALUE(Penncrest!H$7)='Cash Flow Entry'!$C$3:$C$500),0,1),0)),"")</f>
        <v>307</v>
      </c>
      <c r="I8" s="257" cm="1">
        <f t="array" ref="I8">IFERROR(INDEX('Cash Flow Entry'!$D$3:$D$500,MATCH(1,INDEX((Penncrest!$C$7='Cash Flow Entry'!$B$3:$B$500)*(VALUE(Penncrest!I$7)='Cash Flow Entry'!$C$3:$C$500),0,1),0)),"")</f>
        <v>307</v>
      </c>
      <c r="J8" s="256" cm="1">
        <f t="array" ref="J8">IFERROR(INDEX('Cash Flow Entry'!$D$3:$D$500,MATCH(1,INDEX((Penncrest!$C$7='Cash Flow Entry'!$B$3:$B$500)*(VALUE(Penncrest!J$7)='Cash Flow Entry'!$C$3:$C$500),0,1),0)),"")</f>
        <v>306</v>
      </c>
      <c r="K8" s="256" cm="1">
        <f t="array" ref="K8">IFERROR(INDEX('Cash Flow Entry'!$D$3:$D$500,MATCH(1,INDEX((Penncrest!$C$7='Cash Flow Entry'!$B$3:$B$500)*(VALUE(Penncrest!K$7)='Cash Flow Entry'!$C$3:$C$500),0,1),0)),"")</f>
        <v>305</v>
      </c>
      <c r="L8" s="256" t="str" cm="1">
        <f t="array" ref="L8">IFERROR(INDEX('Cash Flow Entry'!$D$3:$D$500,MATCH(1,INDEX((Penncrest!$C$7='Cash Flow Entry'!$B$3:$B$500)*(VALUE(Penncrest!L$7)='Cash Flow Entry'!$C$3:$C$500),0,1),0)),"")</f>
        <v/>
      </c>
      <c r="M8" s="255" t="str" cm="1">
        <f t="array" ref="M8">IFERROR(INDEX('Cash Flow Entry'!$D$3:$D$500,MATCH(1,INDEX((Penncrest!$C$7='Cash Flow Entry'!$B$3:$B$500)*(VALUE(Penncrest!M$7)='Cash Flow Entry'!$C$3:$C$500),0,1),0)),"")</f>
        <v/>
      </c>
      <c r="N8" s="256" t="str" cm="1">
        <f t="array" ref="N8">IFERROR(INDEX('Cash Flow Entry'!$D$3:$D$500,MATCH(1,INDEX((Penncrest!$C$7='Cash Flow Entry'!$B$3:$B$500)*(VALUE(Penncrest!N$7)='Cash Flow Entry'!$C$3:$C$500),0,1),0)),"")</f>
        <v/>
      </c>
      <c r="O8" s="258" t="str" cm="1">
        <f t="array" ref="O8">IFERROR(INDEX('Cash Flow Entry'!$D$3:$D$500,MATCH(1,INDEX((Penncrest!$C$7='Cash Flow Entry'!$B$3:$B$500)*(VALUE(Penncrest!O$7)='Cash Flow Entry'!$C$3:$C$500),0,1),0)),"")</f>
        <v/>
      </c>
      <c r="P8" s="259">
        <f>SUM(D8:O8)</f>
        <v>2481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Entry'!$E$3:$E$500,MATCH(1,INDEX((Penncrest!$C$7='Cash Flow Entry'!$B$3:$B$500)*(VALUE(Penncrest!D$7)='Cash Flow Entry'!$C$3:$C$500),0,1),0)),"")</f>
        <v>963</v>
      </c>
      <c r="E9" s="256" cm="1">
        <f t="array" ref="E9">IFERROR(INDEX('Cash Flow Entry'!$E$3:$E$500,MATCH(1,INDEX((Penncrest!$C$7='Cash Flow Entry'!$B$3:$B$500)*(VALUE(Penncrest!E$7)='Cash Flow Entry'!$C$3:$C$500),0,1),0)),"")</f>
        <v>964</v>
      </c>
      <c r="F9" s="257" cm="1">
        <f t="array" ref="F9">IFERROR(INDEX('Cash Flow Entry'!$E$3:$E$500,MATCH(1,INDEX((Penncrest!$C$7='Cash Flow Entry'!$B$3:$B$500)*(VALUE(Penncrest!F$7)='Cash Flow Entry'!$C$3:$C$500),0,1),0)),"")</f>
        <v>938</v>
      </c>
      <c r="G9" s="255" cm="1">
        <f t="array" ref="G9">IFERROR(INDEX('Cash Flow Entry'!$E$3:$E$500,MATCH(1,INDEX((Penncrest!$C$7='Cash Flow Entry'!$B$3:$B$500)*(VALUE(Penncrest!G$7)='Cash Flow Entry'!$C$3:$C$500),0,1),0)),"")</f>
        <v>935</v>
      </c>
      <c r="H9" s="256" cm="1">
        <f t="array" ref="H9">IFERROR(INDEX('Cash Flow Entry'!$E$3:$E$500,MATCH(1,INDEX((Penncrest!$C$7='Cash Flow Entry'!$B$3:$B$500)*(VALUE(Penncrest!H$7)='Cash Flow Entry'!$C$3:$C$500),0,1),0)),"")</f>
        <v>939</v>
      </c>
      <c r="I9" s="257" cm="1">
        <f t="array" ref="I9">IFERROR(INDEX('Cash Flow Entry'!$E$3:$E$500,MATCH(1,INDEX((Penncrest!$C$7='Cash Flow Entry'!$B$3:$B$500)*(VALUE(Penncrest!I$7)='Cash Flow Entry'!$C$3:$C$500),0,1),0)),"")</f>
        <v>945</v>
      </c>
      <c r="J9" s="256" cm="1">
        <f t="array" ref="J9">IFERROR(INDEX('Cash Flow Entry'!$E$3:$E$500,MATCH(1,INDEX((Penncrest!$C$7='Cash Flow Entry'!$B$3:$B$500)*(VALUE(Penncrest!J$7)='Cash Flow Entry'!$C$3:$C$500),0,1),0)),"")</f>
        <v>941</v>
      </c>
      <c r="K9" s="256" cm="1">
        <f t="array" ref="K9">IFERROR(INDEX('Cash Flow Entry'!$E$3:$E$500,MATCH(1,INDEX((Penncrest!$C$7='Cash Flow Entry'!$B$3:$B$500)*(VALUE(Penncrest!K$7)='Cash Flow Entry'!$C$3:$C$500),0,1),0)),"")</f>
        <v>937</v>
      </c>
      <c r="L9" s="256" t="str" cm="1">
        <f t="array" ref="L9">IFERROR(INDEX('Cash Flow Entry'!$E$3:$E$500,MATCH(1,INDEX((Penncrest!$C$7='Cash Flow Entry'!$B$3:$B$500)*(VALUE(Penncrest!L$7)='Cash Flow Entry'!$C$3:$C$500),0,1),0)),"")</f>
        <v/>
      </c>
      <c r="M9" s="255" t="str" cm="1">
        <f t="array" ref="M9">IFERROR(INDEX('Cash Flow Entry'!$E$3:$E$500,MATCH(1,INDEX((Penncrest!$C$7='Cash Flow Entry'!$B$3:$B$500)*(VALUE(Penncrest!M$7)='Cash Flow Entry'!$C$3:$C$500),0,1),0)),"")</f>
        <v/>
      </c>
      <c r="N9" s="256" t="str" cm="1">
        <f t="array" ref="N9">IFERROR(INDEX('Cash Flow Entry'!$E$3:$E$500,MATCH(1,INDEX((Penncrest!$C$7='Cash Flow Entry'!$B$3:$B$500)*(VALUE(Penncrest!N$7)='Cash Flow Entry'!$C$3:$C$500),0,1),0)),"")</f>
        <v/>
      </c>
      <c r="O9" s="258" t="str" cm="1">
        <f t="array" ref="O9">IFERROR(INDEX('Cash Flow Entry'!$E$3:$E$500,MATCH(1,INDEX((Penncrest!$C$7='Cash Flow Entry'!$B$3:$B$500)*(VALUE(Penncrest!O$7)='Cash Flow Entry'!$C$3:$C$500),0,1),0)),"")</f>
        <v/>
      </c>
      <c r="P9" s="259">
        <f>SUM(D9:O9)</f>
        <v>7562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$2,083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$1,996.85</v>
      </c>
      <c r="N10" s="645"/>
      <c r="O10" s="647"/>
      <c r="P10" s="265">
        <f>P14</f>
        <v>4954190.9699999988</v>
      </c>
      <c r="Q10" s="534">
        <v>2082.87</v>
      </c>
      <c r="R10" s="305">
        <f>Q10*P8</f>
        <v>5167600.47</v>
      </c>
      <c r="S10" s="305"/>
    </row>
    <row r="11" spans="2:20" ht="18.5" x14ac:dyDescent="0.45">
      <c r="B11" s="213" t="s">
        <v>191</v>
      </c>
      <c r="C11" s="267" t="s">
        <v>194</v>
      </c>
      <c r="D11" s="268">
        <v>604010</v>
      </c>
      <c r="E11" s="234">
        <v>594660</v>
      </c>
      <c r="F11" s="234">
        <v>574090</v>
      </c>
      <c r="G11" s="268">
        <v>639441.09</v>
      </c>
      <c r="H11" s="234">
        <v>639441.09</v>
      </c>
      <c r="I11" s="269">
        <v>637358.22</v>
      </c>
      <c r="J11" s="234">
        <v>637358.22</v>
      </c>
      <c r="K11" s="234">
        <v>635275.35</v>
      </c>
      <c r="L11" s="234"/>
      <c r="M11" s="268"/>
      <c r="N11" s="234"/>
      <c r="O11" s="270"/>
      <c r="P11" s="234">
        <f>SUM(D11:O11)</f>
        <v>4961633.9699999988</v>
      </c>
      <c r="Q11" s="302"/>
    </row>
    <row r="12" spans="2:20" ht="18.5" x14ac:dyDescent="0.45">
      <c r="C12" s="267" t="s">
        <v>195</v>
      </c>
      <c r="D12" s="268">
        <f>IF(D$8="","",IF(D$11=0,0,D$8*$Q12))</f>
        <v>-963</v>
      </c>
      <c r="E12" s="234">
        <f t="shared" ref="E12:O12" si="0">IF(E$8="","",IF(E$11=0,0,E$8*$Q12))</f>
        <v>-957</v>
      </c>
      <c r="F12" s="269">
        <f t="shared" si="0"/>
        <v>-927</v>
      </c>
      <c r="G12" s="268">
        <f t="shared" si="0"/>
        <v>-921</v>
      </c>
      <c r="H12" s="234">
        <f t="shared" si="0"/>
        <v>-921</v>
      </c>
      <c r="I12" s="269">
        <f t="shared" si="0"/>
        <v>-921</v>
      </c>
      <c r="J12" s="234">
        <f t="shared" si="0"/>
        <v>-918</v>
      </c>
      <c r="K12" s="234">
        <f t="shared" si="0"/>
        <v>-915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-7443</v>
      </c>
      <c r="Q12" s="533">
        <v>-3</v>
      </c>
    </row>
    <row r="13" spans="2:20" ht="18.5" x14ac:dyDescent="0.45">
      <c r="B13" s="213" t="s">
        <v>191</v>
      </c>
      <c r="C13" s="267" t="s">
        <v>196</v>
      </c>
      <c r="D13" s="458">
        <f t="shared" ref="D13:O13" si="2">IF(D$8="","",0)</f>
        <v>0</v>
      </c>
      <c r="E13" s="457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603047</v>
      </c>
      <c r="E14" s="274">
        <f t="shared" ref="E14:O14" si="3">IF(E8="","",SUM(E11:E13))</f>
        <v>593703</v>
      </c>
      <c r="F14" s="275">
        <f t="shared" si="3"/>
        <v>573163</v>
      </c>
      <c r="G14" s="273">
        <f t="shared" si="3"/>
        <v>638520.09</v>
      </c>
      <c r="H14" s="274">
        <f t="shared" si="3"/>
        <v>638520.09</v>
      </c>
      <c r="I14" s="275">
        <f t="shared" si="3"/>
        <v>636437.22</v>
      </c>
      <c r="J14" s="274">
        <f t="shared" si="3"/>
        <v>636440.22</v>
      </c>
      <c r="K14" s="274">
        <f t="shared" si="3"/>
        <v>634360.35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4954190.9699999988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$1,857</v>
      </c>
      <c r="E16" s="645"/>
      <c r="F16" s="646"/>
      <c r="G16" s="644" t="str">
        <f>"Admin, Reinsurance, &amp; Misc. PEPM: "&amp;DOLLAR(SUM($P36,$P42,$P49)/$P$8,0)</f>
        <v>Admin, Reinsurance, &amp; Misc. PEPM: $463</v>
      </c>
      <c r="H16" s="645"/>
      <c r="I16" s="646"/>
      <c r="J16" s="644" t="str">
        <f>"Total Expenses PEPM: "&amp;DOLLAR($P16/$P$8,0)</f>
        <v>Total Expenses PEPM: $2,320</v>
      </c>
      <c r="K16" s="645"/>
      <c r="L16" s="646"/>
      <c r="M16" s="644" t="str">
        <f>"Projection Variance: "&amp;TEXT(($P$16/$P$8)/$Q$10-1,"0.00%")</f>
        <v>Projection Variance: 11.40%</v>
      </c>
      <c r="N16" s="645"/>
      <c r="O16" s="647"/>
      <c r="P16" s="265">
        <f>SUM(P26,P36,P42,P49)</f>
        <v>5756547.2605263172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Entry'!$F$3:$F$500,MATCH(1,INDEX((Penncrest!$C$7='Cash Flow Entry'!$B$3:$B$500)*(VALUE(Penncrest!D$7)='Cash Flow Entry'!$C$3:$C$500),0,1),0)),"")+IFERROR(INDEX('Cash Flow Entry'!$H$3:$H$500,MATCH(1,INDEX((Penncrest!$C$7='Cash Flow Entry'!$B$3:$B$500)*(VALUE(Penncrest!D$7)='Cash Flow Entry'!$C$3:$C$500),0,1),0)),""),"")</f>
        <v>321740.46000000002</v>
      </c>
      <c r="E18" s="234" cm="1">
        <f t="array" ref="E18">IFERROR(IFERROR(INDEX('Cash Flow Entry'!$F$3:$F$500,MATCH(1,INDEX((Penncrest!$C$7='Cash Flow Entry'!$B$3:$B$500)*(VALUE(Penncrest!E$7)='Cash Flow Entry'!$C$3:$C$500),0,1),0)),"")+IFERROR(INDEX('Cash Flow Entry'!$H$3:$H$500,MATCH(1,INDEX((Penncrest!$C$7='Cash Flow Entry'!$B$3:$B$500)*(VALUE(Penncrest!E$7)='Cash Flow Entry'!$C$3:$C$500),0,1),0)),""),"")</f>
        <v>860556.61</v>
      </c>
      <c r="F18" s="269" cm="1">
        <f t="array" ref="F18">IFERROR(IFERROR(INDEX('Cash Flow Entry'!$F$3:$F$500,MATCH(1,INDEX((Penncrest!$C$7='Cash Flow Entry'!$B$3:$B$500)*(VALUE(Penncrest!F$7)='Cash Flow Entry'!$C$3:$C$500),0,1),0)),"")+IFERROR(INDEX('Cash Flow Entry'!$H$3:$H$500,MATCH(1,INDEX((Penncrest!$C$7='Cash Flow Entry'!$B$3:$B$500)*(VALUE(Penncrest!F$7)='Cash Flow Entry'!$C$3:$C$500),0,1),0)),""),"")</f>
        <v>288925.48</v>
      </c>
      <c r="G18" s="268" cm="1">
        <f t="array" ref="G18">IFERROR(IFERROR(INDEX('Cash Flow Entry'!$F$3:$F$500,MATCH(1,INDEX((Penncrest!$C$7='Cash Flow Entry'!$B$3:$B$500)*(VALUE(Penncrest!G$7)='Cash Flow Entry'!$C$3:$C$500),0,1),0)),"")+IFERROR(INDEX('Cash Flow Entry'!$H$3:$H$500,MATCH(1,INDEX((Penncrest!$C$7='Cash Flow Entry'!$B$3:$B$500)*(VALUE(Penncrest!G$7)='Cash Flow Entry'!$C$3:$C$500),0,1),0)),""),"")</f>
        <v>269974.05</v>
      </c>
      <c r="H18" s="234" cm="1">
        <f t="array" ref="H18">IFERROR(IFERROR(INDEX('Cash Flow Entry'!$F$3:$F$500,MATCH(1,INDEX((Penncrest!$C$7='Cash Flow Entry'!$B$3:$B$500)*(VALUE(Penncrest!H$7)='Cash Flow Entry'!$C$3:$C$500),0,1),0)),"")+IFERROR(INDEX('Cash Flow Entry'!$H$3:$H$500,MATCH(1,INDEX((Penncrest!$C$7='Cash Flow Entry'!$B$3:$B$500)*(VALUE(Penncrest!H$7)='Cash Flow Entry'!$C$3:$C$500),0,1),0)),""),"")</f>
        <v>466348.66000000003</v>
      </c>
      <c r="I18" s="269" cm="1">
        <f t="array" ref="I18">IFERROR(IFERROR(INDEX('Cash Flow Entry'!$F$3:$F$500,MATCH(1,INDEX((Penncrest!$C$7='Cash Flow Entry'!$B$3:$B$500)*(VALUE(Penncrest!I$7)='Cash Flow Entry'!$C$3:$C$500),0,1),0)),"")+IFERROR(INDEX('Cash Flow Entry'!$H$3:$H$500,MATCH(1,INDEX((Penncrest!$C$7='Cash Flow Entry'!$B$3:$B$500)*(VALUE(Penncrest!I$7)='Cash Flow Entry'!$C$3:$C$500),0,1),0)),""),"")</f>
        <v>626143.25999999989</v>
      </c>
      <c r="J18" s="234" cm="1">
        <f t="array" ref="J18">IFERROR(IFERROR(INDEX('Cash Flow Entry'!$F$3:$F$500,MATCH(1,INDEX((Penncrest!$C$7='Cash Flow Entry'!$B$3:$B$500)*(VALUE(Penncrest!J$7)='Cash Flow Entry'!$C$3:$C$500),0,1),0)),"")+IFERROR(INDEX('Cash Flow Entry'!$H$3:$H$500,MATCH(1,INDEX((Penncrest!$C$7='Cash Flow Entry'!$B$3:$B$500)*(VALUE(Penncrest!J$7)='Cash Flow Entry'!$C$3:$C$500),0,1),0)),""),"")</f>
        <v>490526.02</v>
      </c>
      <c r="K18" s="234" cm="1">
        <f t="array" ref="K18">IFERROR(IFERROR(INDEX('Cash Flow Entry'!$F$3:$F$500,MATCH(1,INDEX((Penncrest!$C$7='Cash Flow Entry'!$B$3:$B$500)*(VALUE(Penncrest!K$7)='Cash Flow Entry'!$C$3:$C$500),0,1),0)),"")+IFERROR(INDEX('Cash Flow Entry'!$H$3:$H$500,MATCH(1,INDEX((Penncrest!$C$7='Cash Flow Entry'!$B$3:$B$500)*(VALUE(Penncrest!K$7)='Cash Flow Entry'!$C$3:$C$500),0,1),0)),""),"")</f>
        <v>502346.01</v>
      </c>
      <c r="L18" s="234" t="str" cm="1">
        <f t="array" ref="L18">IFERROR(IFERROR(INDEX('Cash Flow Entry'!$F$3:$F$500,MATCH(1,INDEX((Penncrest!$C$7='Cash Flow Entry'!$B$3:$B$500)*(VALUE(Penncrest!L$7)='Cash Flow Entry'!$C$3:$C$500),0,1),0)),"")+IFERROR(INDEX('Cash Flow Entry'!$H$3:$H$500,MATCH(1,INDEX((Penncrest!$C$7='Cash Flow Entry'!$B$3:$B$500)*(VALUE(Penncrest!L$7)='Cash Flow Entry'!$C$3:$C$500),0,1),0)),""),"")</f>
        <v/>
      </c>
      <c r="M18" s="268" t="str" cm="1">
        <f t="array" ref="M18">IFERROR(IFERROR(INDEX('Cash Flow Entry'!$F$3:$F$500,MATCH(1,INDEX((Penncrest!$C$7='Cash Flow Entry'!$B$3:$B$500)*(VALUE(Penncrest!M$7)='Cash Flow Entry'!$C$3:$C$500),0,1),0)),"")+IFERROR(INDEX('Cash Flow Entry'!$H$3:$H$500,MATCH(1,INDEX((Penncrest!$C$7='Cash Flow Entry'!$B$3:$B$500)*(VALUE(Penncrest!M$7)='Cash Flow Entry'!$C$3:$C$500),0,1),0)),""),"")</f>
        <v/>
      </c>
      <c r="N18" s="234" t="str" cm="1">
        <f t="array" ref="N18">IFERROR(IFERROR(INDEX('Cash Flow Entry'!$F$3:$F$500,MATCH(1,INDEX((Penncrest!$C$7='Cash Flow Entry'!$B$3:$B$500)*(VALUE(Penncrest!N$7)='Cash Flow Entry'!$C$3:$C$500),0,1),0)),"")+IFERROR(INDEX('Cash Flow Entry'!$H$3:$H$500,MATCH(1,INDEX((Penncrest!$C$7='Cash Flow Entry'!$B$3:$B$500)*(VALUE(Penncrest!N$7)='Cash Flow Entry'!$C$3:$C$500),0,1),0)),""),"")</f>
        <v/>
      </c>
      <c r="O18" s="270" t="str" cm="1">
        <f t="array" ref="O18">IFERROR(IFERROR(INDEX('Cash Flow Entry'!$F$3:$F$500,MATCH(1,INDEX((Penncrest!$C$7='Cash Flow Entry'!$B$3:$B$500)*(VALUE(Penncrest!O$7)='Cash Flow Entry'!$C$3:$C$500),0,1),0)),"")+IFERROR(INDEX('Cash Flow Entry'!$H$3:$H$500,MATCH(1,INDEX((Penncrest!$C$7='Cash Flow Entry'!$B$3:$B$500)*(VALUE(Penncrest!O$7)='Cash Flow Entry'!$C$3:$C$500),0,1),0)),""),"")</f>
        <v/>
      </c>
      <c r="P18" s="234">
        <f>SUM(D18:O18)</f>
        <v>3826560.55</v>
      </c>
      <c r="Q18" s="533">
        <v>1173.3599999999999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Entry'!$G$3:$G$500,MATCH(1,INDEX((Penncrest!$C$7='Cash Flow Entry'!$B$3:$B$500)*(VALUE(Penncrest!D$7)='Cash Flow Entry'!$C$3:$C$500),0,1),0)),"")</f>
        <v>232163.9</v>
      </c>
      <c r="E19" s="234" cm="1">
        <f t="array" ref="E19">IFERROR(INDEX('Cash Flow Entry'!$G$3:$G$500,MATCH(1,INDEX((Penncrest!$C$7='Cash Flow Entry'!$B$3:$B$500)*(VALUE(Penncrest!E$7)='Cash Flow Entry'!$C$3:$C$500),0,1),0)),"")</f>
        <v>320032.89</v>
      </c>
      <c r="F19" s="269" cm="1">
        <f t="array" ref="F19">IFERROR(INDEX('Cash Flow Entry'!$G$3:$G$500,MATCH(1,INDEX((Penncrest!$C$7='Cash Flow Entry'!$B$3:$B$500)*(VALUE(Penncrest!F$7)='Cash Flow Entry'!$C$3:$C$500),0,1),0)),"")</f>
        <v>232156.02</v>
      </c>
      <c r="G19" s="268" cm="1">
        <f t="array" ref="G19">IFERROR(INDEX('Cash Flow Entry'!$G$3:$G$500,MATCH(1,INDEX((Penncrest!$C$7='Cash Flow Entry'!$B$3:$B$500)*(VALUE(Penncrest!G$7)='Cash Flow Entry'!$C$3:$C$500),0,1),0)),"")</f>
        <v>238116.73</v>
      </c>
      <c r="H19" s="234" cm="1">
        <f t="array" ref="H19">IFERROR(INDEX('Cash Flow Entry'!$G$3:$G$500,MATCH(1,INDEX((Penncrest!$C$7='Cash Flow Entry'!$B$3:$B$500)*(VALUE(Penncrest!H$7)='Cash Flow Entry'!$C$3:$C$500),0,1),0)),"")</f>
        <v>300119.42</v>
      </c>
      <c r="I19" s="269" cm="1">
        <f t="array" ref="I19">IFERROR(INDEX('Cash Flow Entry'!$G$3:$G$500,MATCH(1,INDEX((Penncrest!$C$7='Cash Flow Entry'!$B$3:$B$500)*(VALUE(Penncrest!I$7)='Cash Flow Entry'!$C$3:$C$500),0,1),0)),"")</f>
        <v>205148</v>
      </c>
      <c r="J19" s="234" cm="1">
        <f t="array" ref="J19">IFERROR(INDEX('Cash Flow Entry'!$G$3:$G$500,MATCH(1,INDEX((Penncrest!$C$7='Cash Flow Entry'!$B$3:$B$500)*(VALUE(Penncrest!J$7)='Cash Flow Entry'!$C$3:$C$500),0,1),0)),"")</f>
        <v>310587.28999999998</v>
      </c>
      <c r="K19" s="234" cm="1">
        <f t="array" ref="K19">IFERROR(INDEX('Cash Flow Entry'!$G$3:$G$500,MATCH(1,INDEX((Penncrest!$C$7='Cash Flow Entry'!$B$3:$B$500)*(VALUE(Penncrest!K$7)='Cash Flow Entry'!$C$3:$C$500),0,1),0)),"")</f>
        <v>229135.02</v>
      </c>
      <c r="L19" s="234" t="str" cm="1">
        <f t="array" ref="L19">IFERROR(INDEX('Cash Flow Entry'!$G$3:$G$500,MATCH(1,INDEX((Penncrest!$C$7='Cash Flow Entry'!$B$3:$B$500)*(VALUE(Penncrest!L$7)='Cash Flow Entry'!$C$3:$C$500),0,1),0)),"")</f>
        <v/>
      </c>
      <c r="M19" s="268" t="str" cm="1">
        <f t="array" ref="M19">IFERROR(INDEX('Cash Flow Entry'!$G$3:$G$500,MATCH(1,INDEX((Penncrest!$C$7='Cash Flow Entry'!$B$3:$B$500)*(VALUE(Penncrest!M$7)='Cash Flow Entry'!$C$3:$C$500),0,1),0)),"")</f>
        <v/>
      </c>
      <c r="N19" s="234" t="str" cm="1">
        <f t="array" ref="N19">IFERROR(INDEX('Cash Flow Entry'!$G$3:$G$500,MATCH(1,INDEX((Penncrest!$C$7='Cash Flow Entry'!$B$3:$B$500)*(VALUE(Penncrest!N$7)='Cash Flow Entry'!$C$3:$C$500),0,1),0)),"")</f>
        <v/>
      </c>
      <c r="O19" s="270" t="str" cm="1">
        <f t="array" ref="O19">IFERROR(INDEX('Cash Flow Entry'!$G$3:$G$500,MATCH(1,INDEX((Penncrest!$C$7='Cash Flow Entry'!$B$3:$B$500)*(VALUE(Penncrest!O$7)='Cash Flow Entry'!$C$3:$C$500),0,1),0)),"")</f>
        <v/>
      </c>
      <c r="P19" s="234">
        <f>SUM(D19:O19)</f>
        <v>2067459.27</v>
      </c>
      <c r="Q19" s="533">
        <v>415.22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ht="18.5" x14ac:dyDescent="0.45">
      <c r="B21" s="219">
        <f>INDEX('HCC Summary'!$I$9:$I$27,MATCH(Penncrest!C7,'HCC Summary'!B9:B27, 0))</f>
        <v>849064.68</v>
      </c>
      <c r="C21" s="282" t="s">
        <v>225</v>
      </c>
      <c r="D21" s="283">
        <v>0</v>
      </c>
      <c r="E21" s="284">
        <v>204475.24</v>
      </c>
      <c r="F21" s="285">
        <v>265342.94</v>
      </c>
      <c r="G21" s="283">
        <v>314302.5</v>
      </c>
      <c r="H21" s="284">
        <v>444821.7</v>
      </c>
      <c r="I21" s="285">
        <v>719499.88</v>
      </c>
      <c r="J21" s="284">
        <v>815261.45</v>
      </c>
      <c r="K21" s="284">
        <v>849064.68</v>
      </c>
      <c r="L21" s="284"/>
      <c r="M21" s="283"/>
      <c r="N21" s="284"/>
      <c r="O21" s="286"/>
      <c r="P21" s="641">
        <f>SUM(D22:O22)</f>
        <v>-849064.68</v>
      </c>
      <c r="Q21" s="533"/>
    </row>
    <row r="22" spans="2:17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-204475.24</v>
      </c>
      <c r="F22" s="269">
        <f t="shared" si="5"/>
        <v>-60867.700000000012</v>
      </c>
      <c r="G22" s="268">
        <f t="shared" si="5"/>
        <v>-48959.56</v>
      </c>
      <c r="H22" s="234">
        <f t="shared" si="5"/>
        <v>-130519.20000000001</v>
      </c>
      <c r="I22" s="269">
        <f t="shared" si="5"/>
        <v>-274678.18</v>
      </c>
      <c r="J22" s="234">
        <f t="shared" si="5"/>
        <v>-95761.569999999949</v>
      </c>
      <c r="K22" s="234">
        <f t="shared" si="5"/>
        <v>-33803.230000000098</v>
      </c>
      <c r="L22" s="234" t="str">
        <f t="shared" si="5"/>
        <v/>
      </c>
      <c r="M22" s="268" t="str">
        <f t="shared" si="5"/>
        <v/>
      </c>
      <c r="N22" s="234" t="str">
        <f>IF(N8="","",-(N21-M21))</f>
        <v/>
      </c>
      <c r="O22" s="270" t="str">
        <f t="shared" si="5"/>
        <v/>
      </c>
      <c r="P22" s="641"/>
      <c r="Q22" s="533"/>
    </row>
    <row r="23" spans="2:17" ht="18.5" x14ac:dyDescent="0.45">
      <c r="C23" s="267" t="s">
        <v>363</v>
      </c>
      <c r="D23" s="268">
        <f>IF(D$8="","",$U68)</f>
        <v>-3208.01</v>
      </c>
      <c r="E23" s="234">
        <f>IF(E$8="","",$U69)</f>
        <v>0</v>
      </c>
      <c r="F23" s="269">
        <f>IF(F$8="","",$U70)</f>
        <v>0</v>
      </c>
      <c r="G23" s="268">
        <f>IF(G$8="","",$U71)</f>
        <v>-44485.32</v>
      </c>
      <c r="H23" s="234">
        <f>IF(H$8="","",$U72)</f>
        <v>-216</v>
      </c>
      <c r="I23" s="269">
        <f>IF(I$8="","",$U73)</f>
        <v>0</v>
      </c>
      <c r="J23" s="234">
        <f>IF(J$8="","",$U74)</f>
        <v>-72194.41</v>
      </c>
      <c r="K23" s="234">
        <f>IF(K$8="","",$U75)</f>
        <v>-50573.440000000002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-170677.18</v>
      </c>
      <c r="Q23" s="533"/>
    </row>
    <row r="24" spans="2:17" ht="18.5" x14ac:dyDescent="0.45">
      <c r="C24" s="267" t="s">
        <v>25</v>
      </c>
      <c r="D24" s="268">
        <f t="shared" ref="D24:O24" si="7">IF(D$8="","",D$8*$Q$24)</f>
        <v>-35310</v>
      </c>
      <c r="E24" s="234">
        <f t="shared" si="7"/>
        <v>-35090</v>
      </c>
      <c r="F24" s="269">
        <f t="shared" si="7"/>
        <v>-33990</v>
      </c>
      <c r="G24" s="268">
        <f t="shared" si="7"/>
        <v>-33770</v>
      </c>
      <c r="H24" s="234">
        <f t="shared" si="7"/>
        <v>-33770</v>
      </c>
      <c r="I24" s="269">
        <f t="shared" si="7"/>
        <v>-33770</v>
      </c>
      <c r="J24" s="234">
        <f t="shared" si="7"/>
        <v>-33660</v>
      </c>
      <c r="K24" s="234">
        <f t="shared" si="7"/>
        <v>-33550</v>
      </c>
      <c r="L24" s="234" t="str">
        <f t="shared" si="7"/>
        <v/>
      </c>
      <c r="M24" s="268" t="str">
        <f t="shared" si="7"/>
        <v/>
      </c>
      <c r="N24" s="234" t="str">
        <f t="shared" si="7"/>
        <v/>
      </c>
      <c r="O24" s="270" t="str">
        <f t="shared" si="7"/>
        <v/>
      </c>
      <c r="P24" s="234">
        <f t="shared" si="6"/>
        <v>-272910</v>
      </c>
      <c r="Q24" s="533">
        <v>-110</v>
      </c>
    </row>
    <row r="25" spans="2:17" ht="18.5" x14ac:dyDescent="0.45">
      <c r="B25" s="213"/>
      <c r="C25" s="267" t="s">
        <v>199</v>
      </c>
      <c r="D25" s="268">
        <f>IF(D$8="","",SUM($L68:$R68))</f>
        <v>3111.58</v>
      </c>
      <c r="E25" s="234">
        <f>IF(E$8="","",SUM($L69:$R69))</f>
        <v>4620.38</v>
      </c>
      <c r="F25" s="269">
        <f>IF(F$8="","",SUM($L70:$R70))</f>
        <v>4742.5</v>
      </c>
      <c r="G25" s="268">
        <f>IF(G$8="","",SUM($L71:$R71))</f>
        <v>3757.58</v>
      </c>
      <c r="H25" s="234">
        <f>IF(H$8="","",SUM($L72:$R72))</f>
        <v>2016.82</v>
      </c>
      <c r="I25" s="269">
        <f>IF(I$8="","",SUM($L73:$R73))</f>
        <v>2835.8799999999997</v>
      </c>
      <c r="J25" s="234">
        <f>IF(J$8="","",SUM($L74:$R74))</f>
        <v>10770.31</v>
      </c>
      <c r="K25" s="234">
        <f>IF(K$8="","",SUM($L75:$S75))</f>
        <v>-24782.910000000003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7072.1399999999994</v>
      </c>
      <c r="Q25" s="533"/>
    </row>
    <row r="26" spans="2:17" ht="18.5" x14ac:dyDescent="0.45">
      <c r="C26" s="272" t="s">
        <v>200</v>
      </c>
      <c r="D26" s="273">
        <f>IF(D8="","",SUM(D18:D20,D22:D25))</f>
        <v>518497.93</v>
      </c>
      <c r="E26" s="274">
        <f t="shared" ref="E26:L26" si="8">IF(E8="","",SUM(E18:E20,E22:E25))</f>
        <v>945644.64</v>
      </c>
      <c r="F26" s="275">
        <f t="shared" si="8"/>
        <v>430966.3</v>
      </c>
      <c r="G26" s="273">
        <f t="shared" si="8"/>
        <v>384633.48000000004</v>
      </c>
      <c r="H26" s="274">
        <f t="shared" si="8"/>
        <v>603979.70000000007</v>
      </c>
      <c r="I26" s="275">
        <f t="shared" si="8"/>
        <v>525678.95999999985</v>
      </c>
      <c r="J26" s="273">
        <f t="shared" si="8"/>
        <v>610267.64000000013</v>
      </c>
      <c r="K26" s="274">
        <f t="shared" si="8"/>
        <v>588771.44999999984</v>
      </c>
      <c r="L26" s="275" t="str">
        <f t="shared" si="8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9">IF(O8="","",SUM(O18:O19,O22:O25))</f>
        <v/>
      </c>
      <c r="P26" s="274">
        <f>SUM(P18:P25)</f>
        <v>4608440.1000000006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ht="18.5" x14ac:dyDescent="0.45">
      <c r="C28" s="267" t="s">
        <v>223</v>
      </c>
      <c r="D28" s="268">
        <f>IF(D$8="","",D$8*$Q28)</f>
        <v>12884.94</v>
      </c>
      <c r="E28" s="234">
        <f t="shared" ref="E28:O35" si="10">IF(E$8="","",E$8*$Q28)</f>
        <v>12804.66</v>
      </c>
      <c r="F28" s="269">
        <f t="shared" si="10"/>
        <v>12403.26</v>
      </c>
      <c r="G28" s="268">
        <f t="shared" si="10"/>
        <v>12322.98</v>
      </c>
      <c r="H28" s="234">
        <f t="shared" si="10"/>
        <v>12322.98</v>
      </c>
      <c r="I28" s="269">
        <f t="shared" si="10"/>
        <v>12322.98</v>
      </c>
      <c r="J28" s="234">
        <f t="shared" si="10"/>
        <v>12282.84</v>
      </c>
      <c r="K28" s="234">
        <f t="shared" si="10"/>
        <v>12242.7</v>
      </c>
      <c r="L28" s="234" t="str">
        <f t="shared" si="10"/>
        <v/>
      </c>
      <c r="M28" s="268" t="str">
        <f t="shared" si="10"/>
        <v/>
      </c>
      <c r="N28" s="234" t="str">
        <f t="shared" si="10"/>
        <v/>
      </c>
      <c r="O28" s="270" t="str">
        <f t="shared" si="10"/>
        <v/>
      </c>
      <c r="P28" s="234">
        <f>SUM(D28:O28)</f>
        <v>99587.339999999982</v>
      </c>
      <c r="Q28" s="533">
        <v>40.14</v>
      </c>
    </row>
    <row r="29" spans="2:17" ht="18.5" x14ac:dyDescent="0.45">
      <c r="C29" s="267" t="s">
        <v>224</v>
      </c>
      <c r="D29" s="268">
        <f t="shared" ref="D29:O35" si="11">IF(D$8="","",D$8*$Q29)</f>
        <v>1284</v>
      </c>
      <c r="E29" s="234">
        <f t="shared" si="10"/>
        <v>1276</v>
      </c>
      <c r="F29" s="269">
        <f t="shared" si="10"/>
        <v>1236</v>
      </c>
      <c r="G29" s="268">
        <f t="shared" si="10"/>
        <v>1228</v>
      </c>
      <c r="H29" s="234">
        <f t="shared" si="10"/>
        <v>1228</v>
      </c>
      <c r="I29" s="269">
        <f t="shared" si="10"/>
        <v>1228</v>
      </c>
      <c r="J29" s="234">
        <f t="shared" si="10"/>
        <v>1224</v>
      </c>
      <c r="K29" s="234">
        <f t="shared" si="10"/>
        <v>1220</v>
      </c>
      <c r="L29" s="234" t="str">
        <f t="shared" si="10"/>
        <v/>
      </c>
      <c r="M29" s="268" t="str">
        <f t="shared" si="10"/>
        <v/>
      </c>
      <c r="N29" s="234" t="str">
        <f t="shared" si="10"/>
        <v/>
      </c>
      <c r="O29" s="270" t="str">
        <f t="shared" si="10"/>
        <v/>
      </c>
      <c r="P29" s="234">
        <f t="shared" ref="P29:P35" si="12">SUM(D29:O29)</f>
        <v>9924</v>
      </c>
      <c r="Q29" s="533">
        <v>4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10"/>
        <v>0</v>
      </c>
      <c r="F30" s="234">
        <f t="shared" si="10"/>
        <v>0</v>
      </c>
      <c r="G30" s="268">
        <f t="shared" si="10"/>
        <v>0</v>
      </c>
      <c r="H30" s="234">
        <f t="shared" si="10"/>
        <v>0</v>
      </c>
      <c r="I30" s="234">
        <f t="shared" si="10"/>
        <v>0</v>
      </c>
      <c r="J30" s="268">
        <f t="shared" si="10"/>
        <v>0</v>
      </c>
      <c r="K30" s="234">
        <f t="shared" si="10"/>
        <v>0</v>
      </c>
      <c r="L30" s="234" t="str">
        <f t="shared" si="10"/>
        <v/>
      </c>
      <c r="M30" s="268" t="str">
        <f t="shared" si="10"/>
        <v/>
      </c>
      <c r="N30" s="234" t="str">
        <f t="shared" si="10"/>
        <v/>
      </c>
      <c r="O30" s="270" t="str">
        <f t="shared" si="10"/>
        <v/>
      </c>
      <c r="P30" s="234">
        <f t="shared" si="12"/>
        <v>0</v>
      </c>
      <c r="Q30" s="533">
        <v>0</v>
      </c>
    </row>
    <row r="31" spans="2:17" ht="18.5" x14ac:dyDescent="0.45">
      <c r="C31" s="267" t="s">
        <v>325</v>
      </c>
      <c r="D31" s="268">
        <f t="shared" si="11"/>
        <v>0</v>
      </c>
      <c r="E31" s="234">
        <f t="shared" si="11"/>
        <v>0</v>
      </c>
      <c r="F31" s="234">
        <f t="shared" si="11"/>
        <v>0</v>
      </c>
      <c r="G31" s="268">
        <f t="shared" si="11"/>
        <v>0</v>
      </c>
      <c r="H31" s="234">
        <f t="shared" si="11"/>
        <v>0</v>
      </c>
      <c r="I31" s="234">
        <f t="shared" si="11"/>
        <v>0</v>
      </c>
      <c r="J31" s="268">
        <f t="shared" si="11"/>
        <v>0</v>
      </c>
      <c r="K31" s="234">
        <f t="shared" si="11"/>
        <v>0</v>
      </c>
      <c r="L31" s="234" t="str">
        <f t="shared" si="11"/>
        <v/>
      </c>
      <c r="M31" s="268" t="str">
        <f t="shared" si="11"/>
        <v/>
      </c>
      <c r="N31" s="234" t="str">
        <f t="shared" si="11"/>
        <v/>
      </c>
      <c r="O31" s="270" t="str">
        <f t="shared" si="11"/>
        <v/>
      </c>
      <c r="P31" s="234">
        <f t="shared" si="12"/>
        <v>0</v>
      </c>
      <c r="Q31" s="533">
        <v>0</v>
      </c>
    </row>
    <row r="32" spans="2:17" ht="18.5" x14ac:dyDescent="0.45">
      <c r="C32" s="267" t="s">
        <v>247</v>
      </c>
      <c r="D32" s="268">
        <f t="shared" si="11"/>
        <v>0</v>
      </c>
      <c r="E32" s="234">
        <f t="shared" si="11"/>
        <v>0</v>
      </c>
      <c r="F32" s="269">
        <f t="shared" si="11"/>
        <v>0</v>
      </c>
      <c r="G32" s="268">
        <f t="shared" si="11"/>
        <v>0</v>
      </c>
      <c r="H32" s="234">
        <f t="shared" si="11"/>
        <v>0</v>
      </c>
      <c r="I32" s="269">
        <f t="shared" si="11"/>
        <v>0</v>
      </c>
      <c r="J32" s="234">
        <f t="shared" si="11"/>
        <v>0</v>
      </c>
      <c r="K32" s="234">
        <f t="shared" si="11"/>
        <v>0</v>
      </c>
      <c r="L32" s="234" t="str">
        <f t="shared" si="11"/>
        <v/>
      </c>
      <c r="M32" s="268" t="str">
        <f t="shared" si="11"/>
        <v/>
      </c>
      <c r="N32" s="234" t="str">
        <f t="shared" si="11"/>
        <v/>
      </c>
      <c r="O32" s="270" t="str">
        <f t="shared" si="11"/>
        <v/>
      </c>
      <c r="P32" s="234">
        <f t="shared" si="12"/>
        <v>0</v>
      </c>
      <c r="Q32" s="533">
        <v>0</v>
      </c>
    </row>
    <row r="33" spans="2:18" ht="18.5" x14ac:dyDescent="0.45">
      <c r="C33" s="267" t="s">
        <v>227</v>
      </c>
      <c r="D33" s="268">
        <f t="shared" si="11"/>
        <v>561.75</v>
      </c>
      <c r="E33" s="234">
        <f t="shared" si="10"/>
        <v>558.25</v>
      </c>
      <c r="F33" s="269">
        <f t="shared" si="10"/>
        <v>540.75</v>
      </c>
      <c r="G33" s="268">
        <f t="shared" si="10"/>
        <v>537.25</v>
      </c>
      <c r="H33" s="234">
        <f t="shared" si="10"/>
        <v>537.25</v>
      </c>
      <c r="I33" s="269">
        <f t="shared" si="10"/>
        <v>537.25</v>
      </c>
      <c r="J33" s="234">
        <f t="shared" si="10"/>
        <v>535.5</v>
      </c>
      <c r="K33" s="234">
        <f t="shared" si="10"/>
        <v>533.75</v>
      </c>
      <c r="L33" s="234" t="str">
        <f t="shared" si="10"/>
        <v/>
      </c>
      <c r="M33" s="268" t="str">
        <f t="shared" si="10"/>
        <v/>
      </c>
      <c r="N33" s="234" t="str">
        <f t="shared" si="10"/>
        <v/>
      </c>
      <c r="O33" s="270" t="str">
        <f t="shared" si="10"/>
        <v/>
      </c>
      <c r="P33" s="234">
        <f t="shared" si="12"/>
        <v>4341.75</v>
      </c>
      <c r="Q33" s="533">
        <v>1.75</v>
      </c>
    </row>
    <row r="34" spans="2:18" ht="18.5" x14ac:dyDescent="0.45">
      <c r="C34" s="267" t="s">
        <v>228</v>
      </c>
      <c r="D34" s="268">
        <f t="shared" si="11"/>
        <v>1059.3</v>
      </c>
      <c r="E34" s="234">
        <f t="shared" si="10"/>
        <v>1052.7</v>
      </c>
      <c r="F34" s="269">
        <f t="shared" si="10"/>
        <v>1019.6999999999999</v>
      </c>
      <c r="G34" s="268">
        <f t="shared" si="10"/>
        <v>1013.0999999999999</v>
      </c>
      <c r="H34" s="234">
        <f t="shared" si="10"/>
        <v>1013.0999999999999</v>
      </c>
      <c r="I34" s="269">
        <f t="shared" si="10"/>
        <v>1013.0999999999999</v>
      </c>
      <c r="J34" s="234">
        <f t="shared" si="10"/>
        <v>1009.8</v>
      </c>
      <c r="K34" s="234">
        <f t="shared" si="10"/>
        <v>1006.5</v>
      </c>
      <c r="L34" s="234" t="str">
        <f t="shared" si="10"/>
        <v/>
      </c>
      <c r="M34" s="268" t="str">
        <f t="shared" si="10"/>
        <v/>
      </c>
      <c r="N34" s="234" t="str">
        <f t="shared" si="10"/>
        <v/>
      </c>
      <c r="O34" s="270" t="str">
        <f t="shared" si="10"/>
        <v/>
      </c>
      <c r="P34" s="234">
        <f t="shared" si="12"/>
        <v>8187.3</v>
      </c>
      <c r="Q34" s="533">
        <v>3.3</v>
      </c>
    </row>
    <row r="35" spans="2:18" ht="18.5" x14ac:dyDescent="0.45">
      <c r="C35" s="267" t="s">
        <v>202</v>
      </c>
      <c r="D35" s="268">
        <f t="shared" si="11"/>
        <v>1271.1600000000001</v>
      </c>
      <c r="E35" s="234">
        <f t="shared" si="10"/>
        <v>1263.24</v>
      </c>
      <c r="F35" s="269">
        <f t="shared" si="10"/>
        <v>1223.6400000000001</v>
      </c>
      <c r="G35" s="268">
        <f t="shared" si="10"/>
        <v>1215.72</v>
      </c>
      <c r="H35" s="234">
        <f t="shared" si="10"/>
        <v>1215.72</v>
      </c>
      <c r="I35" s="269">
        <f t="shared" si="10"/>
        <v>1215.72</v>
      </c>
      <c r="J35" s="234">
        <f t="shared" si="10"/>
        <v>1211.76</v>
      </c>
      <c r="K35" s="234">
        <f t="shared" si="10"/>
        <v>1207.8</v>
      </c>
      <c r="L35" s="234" t="str">
        <f t="shared" si="10"/>
        <v/>
      </c>
      <c r="M35" s="268" t="str">
        <f t="shared" si="10"/>
        <v/>
      </c>
      <c r="N35" s="234" t="str">
        <f t="shared" si="10"/>
        <v/>
      </c>
      <c r="O35" s="270" t="str">
        <f t="shared" si="10"/>
        <v/>
      </c>
      <c r="P35" s="234">
        <f t="shared" si="12"/>
        <v>9824.76</v>
      </c>
      <c r="Q35" s="533">
        <v>3.96</v>
      </c>
    </row>
    <row r="36" spans="2:18" ht="18.5" x14ac:dyDescent="0.45">
      <c r="C36" s="272" t="s">
        <v>203</v>
      </c>
      <c r="D36" s="273">
        <f t="shared" ref="D36:P36" si="13">IF(D$8="","",SUM(D28:D35))</f>
        <v>17061.150000000001</v>
      </c>
      <c r="E36" s="274">
        <f t="shared" si="13"/>
        <v>16954.850000000002</v>
      </c>
      <c r="F36" s="275">
        <f t="shared" si="13"/>
        <v>16423.350000000002</v>
      </c>
      <c r="G36" s="273">
        <f t="shared" si="13"/>
        <v>16317.05</v>
      </c>
      <c r="H36" s="274">
        <f t="shared" si="13"/>
        <v>16317.05</v>
      </c>
      <c r="I36" s="275">
        <f t="shared" si="13"/>
        <v>16317.05</v>
      </c>
      <c r="J36" s="274">
        <f t="shared" si="13"/>
        <v>16263.9</v>
      </c>
      <c r="K36" s="274">
        <f t="shared" si="13"/>
        <v>16210.75</v>
      </c>
      <c r="L36" s="274" t="str">
        <f t="shared" si="13"/>
        <v/>
      </c>
      <c r="M36" s="273" t="str">
        <f t="shared" si="13"/>
        <v/>
      </c>
      <c r="N36" s="274" t="str">
        <f t="shared" si="13"/>
        <v/>
      </c>
      <c r="O36" s="276" t="str">
        <f t="shared" si="13"/>
        <v/>
      </c>
      <c r="P36" s="274">
        <f t="shared" si="13"/>
        <v>131865.15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31705.17</v>
      </c>
      <c r="E38" s="234">
        <f t="shared" ref="E38:O41" si="14">IF(E$8="","",E$8*$Q38)</f>
        <v>31507.629999999997</v>
      </c>
      <c r="F38" s="269">
        <f t="shared" si="14"/>
        <v>30519.93</v>
      </c>
      <c r="G38" s="268">
        <f t="shared" si="14"/>
        <v>30322.39</v>
      </c>
      <c r="H38" s="234">
        <f t="shared" si="14"/>
        <v>30322.39</v>
      </c>
      <c r="I38" s="269">
        <f t="shared" si="14"/>
        <v>30322.39</v>
      </c>
      <c r="J38" s="234">
        <f t="shared" si="14"/>
        <v>30223.62</v>
      </c>
      <c r="K38" s="234">
        <f t="shared" si="14"/>
        <v>30124.85</v>
      </c>
      <c r="L38" s="234" t="str">
        <f t="shared" si="14"/>
        <v/>
      </c>
      <c r="M38" s="268" t="str">
        <f t="shared" si="14"/>
        <v/>
      </c>
      <c r="N38" s="234" t="str">
        <f t="shared" si="14"/>
        <v/>
      </c>
      <c r="O38" s="270" t="str">
        <f t="shared" si="14"/>
        <v/>
      </c>
      <c r="P38" s="234">
        <f>SUM(D38:O38)</f>
        <v>245048.37000000002</v>
      </c>
      <c r="Q38" s="533">
        <v>98.77</v>
      </c>
    </row>
    <row r="39" spans="2:18" ht="18.5" x14ac:dyDescent="0.45">
      <c r="C39" s="267" t="s">
        <v>205</v>
      </c>
      <c r="D39" s="268">
        <f t="shared" ref="D39:D41" si="15">IF(D$8="","",D$8*$Q39)</f>
        <v>120567.6</v>
      </c>
      <c r="E39" s="234">
        <f t="shared" si="14"/>
        <v>119816.40000000001</v>
      </c>
      <c r="F39" s="269">
        <f t="shared" si="14"/>
        <v>116060.40000000001</v>
      </c>
      <c r="G39" s="268">
        <f t="shared" si="14"/>
        <v>115309.20000000001</v>
      </c>
      <c r="H39" s="234">
        <f t="shared" si="14"/>
        <v>115309.20000000001</v>
      </c>
      <c r="I39" s="269">
        <f t="shared" ref="I39:O39" si="16">IF(I$8="","",I$8*$R39)</f>
        <v>53909.200000000004</v>
      </c>
      <c r="J39" s="234">
        <f t="shared" si="16"/>
        <v>53733.600000000006</v>
      </c>
      <c r="K39" s="234">
        <f t="shared" si="16"/>
        <v>53558.000000000007</v>
      </c>
      <c r="L39" s="234" t="str">
        <f t="shared" si="16"/>
        <v/>
      </c>
      <c r="M39" s="268" t="str">
        <f t="shared" si="16"/>
        <v/>
      </c>
      <c r="N39" s="234" t="str">
        <f t="shared" si="16"/>
        <v/>
      </c>
      <c r="O39" s="270" t="str">
        <f t="shared" si="16"/>
        <v/>
      </c>
      <c r="P39" s="234">
        <f t="shared" ref="P39:P41" si="17">SUM(D39:O39)</f>
        <v>748263.6</v>
      </c>
      <c r="Q39" s="533">
        <v>375.6</v>
      </c>
      <c r="R39" s="11">
        <f>Q39-200</f>
        <v>175.60000000000002</v>
      </c>
    </row>
    <row r="40" spans="2:18" ht="18.5" x14ac:dyDescent="0.45">
      <c r="C40" s="267" t="s">
        <v>322</v>
      </c>
      <c r="D40" s="268">
        <f t="shared" ref="D40:O40" si="18">IF(D$8="","",D$8*$Q40)</f>
        <v>1284</v>
      </c>
      <c r="E40" s="234">
        <f t="shared" si="18"/>
        <v>1276</v>
      </c>
      <c r="F40" s="269">
        <f t="shared" si="18"/>
        <v>1236</v>
      </c>
      <c r="G40" s="234">
        <f t="shared" si="18"/>
        <v>1228</v>
      </c>
      <c r="H40" s="234">
        <f t="shared" si="18"/>
        <v>1228</v>
      </c>
      <c r="I40" s="269">
        <f t="shared" si="18"/>
        <v>1228</v>
      </c>
      <c r="J40" s="234">
        <f t="shared" si="18"/>
        <v>1224</v>
      </c>
      <c r="K40" s="234">
        <f t="shared" si="18"/>
        <v>1220</v>
      </c>
      <c r="L40" s="234" t="str">
        <f t="shared" si="18"/>
        <v/>
      </c>
      <c r="M40" s="268" t="str">
        <f t="shared" si="18"/>
        <v/>
      </c>
      <c r="N40" s="234" t="str">
        <f t="shared" si="18"/>
        <v/>
      </c>
      <c r="O40" s="270" t="str">
        <f t="shared" si="18"/>
        <v/>
      </c>
      <c r="P40" s="234">
        <f>SUM(D40:O40)</f>
        <v>9924</v>
      </c>
      <c r="Q40" s="533">
        <v>4</v>
      </c>
    </row>
    <row r="41" spans="2:18" ht="18.5" x14ac:dyDescent="0.45">
      <c r="C41" s="267" t="s">
        <v>206</v>
      </c>
      <c r="D41" s="268">
        <f t="shared" si="15"/>
        <v>924.48</v>
      </c>
      <c r="E41" s="234">
        <f t="shared" si="14"/>
        <v>918.71999999999991</v>
      </c>
      <c r="F41" s="269">
        <f t="shared" si="14"/>
        <v>889.92</v>
      </c>
      <c r="G41" s="268">
        <f t="shared" si="14"/>
        <v>884.16</v>
      </c>
      <c r="H41" s="234">
        <f t="shared" si="14"/>
        <v>884.16</v>
      </c>
      <c r="I41" s="269">
        <f t="shared" si="14"/>
        <v>884.16</v>
      </c>
      <c r="J41" s="234">
        <f t="shared" si="14"/>
        <v>881.28</v>
      </c>
      <c r="K41" s="234">
        <f t="shared" si="14"/>
        <v>878.4</v>
      </c>
      <c r="L41" s="234" t="str">
        <f t="shared" si="14"/>
        <v/>
      </c>
      <c r="M41" s="268" t="str">
        <f t="shared" si="14"/>
        <v/>
      </c>
      <c r="N41" s="234" t="str">
        <f t="shared" si="14"/>
        <v/>
      </c>
      <c r="O41" s="270" t="str">
        <f t="shared" si="14"/>
        <v/>
      </c>
      <c r="P41" s="234">
        <f t="shared" si="17"/>
        <v>7145.2799999999988</v>
      </c>
      <c r="Q41" s="533">
        <v>2.88</v>
      </c>
    </row>
    <row r="42" spans="2:18" ht="18.5" x14ac:dyDescent="0.45">
      <c r="C42" s="272" t="s">
        <v>207</v>
      </c>
      <c r="D42" s="273">
        <f t="shared" ref="D42:P42" si="19">IF(D$8="","",SUM(D38:D41))</f>
        <v>154481.25000000003</v>
      </c>
      <c r="E42" s="274">
        <f t="shared" si="19"/>
        <v>153518.75</v>
      </c>
      <c r="F42" s="275">
        <f t="shared" si="19"/>
        <v>148706.25000000003</v>
      </c>
      <c r="G42" s="273">
        <f t="shared" si="19"/>
        <v>147743.75000000003</v>
      </c>
      <c r="H42" s="274">
        <f t="shared" si="19"/>
        <v>147743.75000000003</v>
      </c>
      <c r="I42" s="275">
        <f t="shared" si="19"/>
        <v>86343.75</v>
      </c>
      <c r="J42" s="274">
        <f t="shared" si="19"/>
        <v>86062.5</v>
      </c>
      <c r="K42" s="274">
        <f t="shared" si="19"/>
        <v>85781.25</v>
      </c>
      <c r="L42" s="274" t="str">
        <f t="shared" si="19"/>
        <v/>
      </c>
      <c r="M42" s="273" t="str">
        <f t="shared" si="19"/>
        <v/>
      </c>
      <c r="N42" s="274" t="str">
        <f t="shared" si="19"/>
        <v/>
      </c>
      <c r="O42" s="276" t="str">
        <f t="shared" si="19"/>
        <v/>
      </c>
      <c r="P42" s="274">
        <f t="shared" si="19"/>
        <v>1010381.25</v>
      </c>
      <c r="Q42" s="53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535"/>
    </row>
    <row r="44" spans="2:18" ht="18.5" x14ac:dyDescent="0.45">
      <c r="B44" s="213" t="s">
        <v>191</v>
      </c>
      <c r="C44" s="267" t="s">
        <v>209</v>
      </c>
      <c r="D44" s="268">
        <f t="shared" ref="D44:O47" si="20">IF(D$8="","",0)</f>
        <v>0</v>
      </c>
      <c r="E44" s="234">
        <f t="shared" si="20"/>
        <v>0</v>
      </c>
      <c r="F44" s="234">
        <f t="shared" si="20"/>
        <v>0</v>
      </c>
      <c r="G44" s="268">
        <f>416.5/19</f>
        <v>21.921052631578949</v>
      </c>
      <c r="H44" s="234">
        <f t="shared" si="20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20"/>
        <v/>
      </c>
      <c r="M44" s="268" t="str">
        <f t="shared" si="20"/>
        <v/>
      </c>
      <c r="N44" s="234" t="str">
        <f t="shared" si="20"/>
        <v/>
      </c>
      <c r="O44" s="234" t="str">
        <f t="shared" si="20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20"/>
        <v>0</v>
      </c>
      <c r="E45" s="234">
        <f t="shared" si="20"/>
        <v>0</v>
      </c>
      <c r="F45" s="269">
        <f t="shared" si="20"/>
        <v>0</v>
      </c>
      <c r="G45" s="268">
        <f t="shared" si="20"/>
        <v>0</v>
      </c>
      <c r="H45" s="234">
        <f>15600/19</f>
        <v>821.0526315789474</v>
      </c>
      <c r="I45" s="234">
        <f t="shared" si="20"/>
        <v>0</v>
      </c>
      <c r="J45" s="268">
        <f t="shared" si="20"/>
        <v>0</v>
      </c>
      <c r="K45" s="234">
        <f t="shared" si="20"/>
        <v>0</v>
      </c>
      <c r="L45" s="234" t="str">
        <f t="shared" si="20"/>
        <v/>
      </c>
      <c r="M45" s="268" t="str">
        <f t="shared" si="20"/>
        <v/>
      </c>
      <c r="N45" s="234" t="str">
        <f t="shared" si="20"/>
        <v/>
      </c>
      <c r="O45" s="234" t="str">
        <f t="shared" si="20"/>
        <v/>
      </c>
      <c r="P45" s="474">
        <f t="shared" ref="P45:P48" si="21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20"/>
        <v>0</v>
      </c>
      <c r="E46" s="234">
        <f t="shared" si="20"/>
        <v>0</v>
      </c>
      <c r="F46" s="269">
        <f t="shared" si="20"/>
        <v>0</v>
      </c>
      <c r="G46" s="268">
        <f t="shared" si="20"/>
        <v>0</v>
      </c>
      <c r="H46" s="234">
        <f t="shared" si="20"/>
        <v>0</v>
      </c>
      <c r="I46" s="234">
        <f t="shared" si="20"/>
        <v>0</v>
      </c>
      <c r="J46" s="268">
        <f t="shared" si="20"/>
        <v>0</v>
      </c>
      <c r="K46" s="234">
        <f t="shared" si="20"/>
        <v>0</v>
      </c>
      <c r="L46" s="234" t="str">
        <f t="shared" si="20"/>
        <v/>
      </c>
      <c r="M46" s="268" t="str">
        <f t="shared" si="20"/>
        <v/>
      </c>
      <c r="N46" s="234" t="str">
        <f t="shared" si="20"/>
        <v/>
      </c>
      <c r="O46" s="234" t="str">
        <f t="shared" si="20"/>
        <v/>
      </c>
      <c r="P46" s="474">
        <f t="shared" si="21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20"/>
        <v>0</v>
      </c>
      <c r="E47" s="234">
        <f t="shared" si="20"/>
        <v>0</v>
      </c>
      <c r="F47" s="234">
        <f t="shared" si="20"/>
        <v>0</v>
      </c>
      <c r="G47" s="268">
        <f t="shared" si="20"/>
        <v>0</v>
      </c>
      <c r="H47" s="234">
        <f t="shared" si="20"/>
        <v>0</v>
      </c>
      <c r="I47" s="234">
        <f t="shared" si="20"/>
        <v>0</v>
      </c>
      <c r="J47" s="268">
        <f t="shared" si="20"/>
        <v>0</v>
      </c>
      <c r="K47" s="234">
        <f t="shared" si="20"/>
        <v>0</v>
      </c>
      <c r="L47" s="234" t="str">
        <f t="shared" si="20"/>
        <v/>
      </c>
      <c r="M47" s="268" t="str">
        <f t="shared" si="20"/>
        <v/>
      </c>
      <c r="N47" s="234" t="str">
        <f t="shared" si="20"/>
        <v/>
      </c>
      <c r="O47" s="270" t="str">
        <f t="shared" si="20"/>
        <v/>
      </c>
      <c r="P47" s="234">
        <f t="shared" si="21"/>
        <v>0</v>
      </c>
      <c r="Q47" s="244"/>
    </row>
    <row r="48" spans="2:18" ht="18.5" x14ac:dyDescent="0.45">
      <c r="B48" s="213"/>
      <c r="C48" s="267" t="s">
        <v>211</v>
      </c>
      <c r="D48" s="268">
        <v>636</v>
      </c>
      <c r="E48" s="457">
        <v>614</v>
      </c>
      <c r="F48" s="456">
        <v>614</v>
      </c>
      <c r="G48" s="458">
        <v>614</v>
      </c>
      <c r="H48" s="234">
        <v>612</v>
      </c>
      <c r="I48" s="456">
        <v>612</v>
      </c>
      <c r="J48" s="268">
        <v>610</v>
      </c>
      <c r="K48" s="457">
        <v>606</v>
      </c>
      <c r="L48" s="456" t="str">
        <f t="shared" ref="K48:O48" si="22">IF(L$8="","",L$8*$Q$48)</f>
        <v/>
      </c>
      <c r="M48" s="458" t="str">
        <f t="shared" si="22"/>
        <v/>
      </c>
      <c r="N48" s="234" t="str">
        <f t="shared" si="22"/>
        <v/>
      </c>
      <c r="O48" s="525" t="str">
        <f t="shared" si="22"/>
        <v/>
      </c>
      <c r="P48" s="475">
        <f t="shared" si="21"/>
        <v>4918</v>
      </c>
      <c r="Q48" s="533">
        <v>0</v>
      </c>
    </row>
    <row r="49" spans="2:17" ht="18.5" x14ac:dyDescent="0.45">
      <c r="C49" s="272" t="s">
        <v>229</v>
      </c>
      <c r="D49" s="273">
        <f t="shared" ref="D49:P49" si="23">IF(D$8="","",SUM(D44:D48))</f>
        <v>636</v>
      </c>
      <c r="E49" s="274">
        <f t="shared" si="23"/>
        <v>614</v>
      </c>
      <c r="F49" s="275">
        <f t="shared" si="23"/>
        <v>614</v>
      </c>
      <c r="G49" s="273">
        <f t="shared" si="23"/>
        <v>635.92105263157896</v>
      </c>
      <c r="H49" s="274">
        <f t="shared" si="23"/>
        <v>1433.0526315789475</v>
      </c>
      <c r="I49" s="275">
        <f t="shared" si="23"/>
        <v>624.10263157894735</v>
      </c>
      <c r="J49" s="274">
        <f t="shared" si="23"/>
        <v>641.31578947368416</v>
      </c>
      <c r="K49" s="274">
        <f t="shared" si="23"/>
        <v>662.36842105263156</v>
      </c>
      <c r="L49" s="274" t="str">
        <f t="shared" si="23"/>
        <v/>
      </c>
      <c r="M49" s="273" t="str">
        <f t="shared" si="23"/>
        <v/>
      </c>
      <c r="N49" s="274" t="str">
        <f t="shared" si="23"/>
        <v/>
      </c>
      <c r="O49" s="276" t="str">
        <f t="shared" si="23"/>
        <v/>
      </c>
      <c r="P49" s="557">
        <f t="shared" si="23"/>
        <v>5860.7605263157893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-87629.329999999958</v>
      </c>
      <c r="E51" s="289">
        <f>IF(E8="","",E14-SUM(E26,E36,E42,E49))</f>
        <v>-523029.24</v>
      </c>
      <c r="F51" s="290">
        <f>IF(F8="","",F14-SUM(F26,F36,F42,F49))</f>
        <v>-23546.900000000023</v>
      </c>
      <c r="G51" s="288">
        <f>IF(G8="","",G14-SUM(G26,G36,G42,G49))</f>
        <v>89189.888947368367</v>
      </c>
      <c r="H51" s="289">
        <f>IF(H8="","",H14-SUM(H26,H36,H42,H49))</f>
        <v>-130953.46263157914</v>
      </c>
      <c r="I51" s="290">
        <f>IF(I8="","",I14-SUM(I26,I36,I42,I49))</f>
        <v>7473.3573684211588</v>
      </c>
      <c r="J51" s="289">
        <f>IF(J8="","",J14-SUM(J26,J36,J42,J49))</f>
        <v>-76795.13578947389</v>
      </c>
      <c r="K51" s="289">
        <f>IF(K8="","",K14-SUM(K26,K36,K42,K49))</f>
        <v>-57065.468421052443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-802356.29052631836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-2558738.54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-3361094.8305263184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963</v>
      </c>
      <c r="E56" s="234">
        <f>IF(E12="","",-E12)</f>
        <v>957</v>
      </c>
      <c r="F56" s="269">
        <f>IF(F12="","",-F12)</f>
        <v>927</v>
      </c>
      <c r="G56" s="268">
        <f>IF(G12="","",-G12)</f>
        <v>921</v>
      </c>
      <c r="H56" s="234">
        <f>IF(H12="","",-H12)</f>
        <v>921</v>
      </c>
      <c r="I56" s="269">
        <f>IF(I12="","",-I12)</f>
        <v>921</v>
      </c>
      <c r="J56" s="234">
        <f>IF(J12="","",-J12)</f>
        <v>918</v>
      </c>
      <c r="K56" s="234">
        <f>IF(K12="","",-K12)</f>
        <v>915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7443</v>
      </c>
      <c r="Q56" s="244"/>
    </row>
    <row r="57" spans="2:17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4">IF(E$8="","",0)</f>
        <v>0</v>
      </c>
      <c r="F57" s="269">
        <f t="shared" si="24"/>
        <v>0</v>
      </c>
      <c r="G57" s="268">
        <f t="shared" si="24"/>
        <v>0</v>
      </c>
      <c r="H57" s="234">
        <f t="shared" si="24"/>
        <v>0</v>
      </c>
      <c r="I57" s="269">
        <f t="shared" si="24"/>
        <v>0</v>
      </c>
      <c r="J57" s="234">
        <f t="shared" si="24"/>
        <v>0</v>
      </c>
      <c r="K57" s="234">
        <f t="shared" si="24"/>
        <v>0</v>
      </c>
      <c r="L57" s="234" t="str">
        <f t="shared" si="24"/>
        <v/>
      </c>
      <c r="M57" s="268" t="str">
        <f t="shared" si="24"/>
        <v/>
      </c>
      <c r="N57" s="234" t="str">
        <f t="shared" si="24"/>
        <v/>
      </c>
      <c r="O57" s="270" t="str">
        <f t="shared" si="24"/>
        <v/>
      </c>
      <c r="P57" s="234">
        <f>SUM(D57:O57)</f>
        <v>0</v>
      </c>
      <c r="Q57" s="244"/>
    </row>
    <row r="58" spans="2:17" ht="18.5" x14ac:dyDescent="0.45">
      <c r="C58" s="296" t="s">
        <v>234</v>
      </c>
      <c r="D58" s="297">
        <f>IF(D$8="","",SUM(D56:D57))</f>
        <v>963</v>
      </c>
      <c r="E58" s="298">
        <f t="shared" ref="E58:O58" si="25">IF(E$8="","",SUM(E56:E57))</f>
        <v>957</v>
      </c>
      <c r="F58" s="299">
        <f t="shared" si="25"/>
        <v>927</v>
      </c>
      <c r="G58" s="297">
        <f t="shared" si="25"/>
        <v>921</v>
      </c>
      <c r="H58" s="298">
        <f t="shared" si="25"/>
        <v>921</v>
      </c>
      <c r="I58" s="299">
        <f t="shared" si="25"/>
        <v>921</v>
      </c>
      <c r="J58" s="298">
        <f t="shared" si="25"/>
        <v>918</v>
      </c>
      <c r="K58" s="298">
        <f t="shared" si="25"/>
        <v>915</v>
      </c>
      <c r="L58" s="298" t="str">
        <f t="shared" si="25"/>
        <v/>
      </c>
      <c r="M58" s="297" t="str">
        <f t="shared" si="25"/>
        <v/>
      </c>
      <c r="N58" s="298" t="str">
        <f t="shared" si="25"/>
        <v/>
      </c>
      <c r="O58" s="300" t="str">
        <f t="shared" si="25"/>
        <v/>
      </c>
      <c r="P58" s="298">
        <f>SUM(P56:P57)</f>
        <v>7443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11892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19335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136725.4</v>
      </c>
      <c r="E68" s="246">
        <v>85249.89</v>
      </c>
      <c r="F68" s="246">
        <v>131122.29</v>
      </c>
      <c r="G68" s="246">
        <v>200806.78</v>
      </c>
      <c r="H68" s="246">
        <v>0</v>
      </c>
      <c r="I68" s="308">
        <v>-18717.48</v>
      </c>
      <c r="J68" s="309">
        <f>SUM(D68:I68)</f>
        <v>535186.88</v>
      </c>
      <c r="K68" s="310">
        <v>318</v>
      </c>
      <c r="L68" s="307">
        <f>261.45-892.69+979.44</f>
        <v>348.20000000000005</v>
      </c>
      <c r="M68" s="246">
        <v>0</v>
      </c>
      <c r="N68" s="246">
        <v>0</v>
      </c>
      <c r="O68" s="246">
        <f>280+550+880</f>
        <v>1710</v>
      </c>
      <c r="P68" s="246">
        <f>111.45</f>
        <v>111.45</v>
      </c>
      <c r="Q68" s="246">
        <f>624.97+316.96</f>
        <v>941.93000000000006</v>
      </c>
      <c r="R68" s="246">
        <v>0</v>
      </c>
      <c r="S68" s="246">
        <v>0</v>
      </c>
      <c r="T68" s="246">
        <v>0</v>
      </c>
      <c r="U68" s="323">
        <v>-3208.01</v>
      </c>
    </row>
    <row r="69" spans="3:21" ht="18.5" x14ac:dyDescent="0.45">
      <c r="C69" s="306" t="str">
        <f>Addendum!E11</f>
        <v>August</v>
      </c>
      <c r="D69" s="307">
        <v>182507.03</v>
      </c>
      <c r="E69" s="246">
        <v>172468.38</v>
      </c>
      <c r="F69" s="246">
        <v>343439.34</v>
      </c>
      <c r="G69" s="246">
        <v>190126.42</v>
      </c>
      <c r="H69" s="246">
        <v>292048.33</v>
      </c>
      <c r="I69" s="308">
        <v>-18070.02</v>
      </c>
      <c r="J69" s="309">
        <f t="shared" ref="J69:J79" si="26">SUM(D69:I69)</f>
        <v>1162519.48</v>
      </c>
      <c r="K69" s="311">
        <v>307</v>
      </c>
      <c r="L69" s="307">
        <f>314.78+392.88+84.11+8.23-1.43</f>
        <v>798.57</v>
      </c>
      <c r="M69" s="246">
        <v>0</v>
      </c>
      <c r="N69" s="246">
        <f>101.26</f>
        <v>101.26</v>
      </c>
      <c r="O69" s="246">
        <f>440+770+990</f>
        <v>2200</v>
      </c>
      <c r="P69" s="246">
        <f>400</f>
        <v>400</v>
      </c>
      <c r="Q69" s="246">
        <f>87.3+275.92+757.33</f>
        <v>1120.5500000000002</v>
      </c>
      <c r="R69" s="246">
        <v>0</v>
      </c>
      <c r="S69" s="246">
        <v>0</v>
      </c>
      <c r="T69" s="246">
        <v>0</v>
      </c>
      <c r="U69" s="323">
        <v>0</v>
      </c>
    </row>
    <row r="70" spans="3:21" ht="18.5" x14ac:dyDescent="0.45">
      <c r="C70" s="306" t="str">
        <f>Addendum!E12</f>
        <v>September</v>
      </c>
      <c r="D70" s="307">
        <v>125537.36</v>
      </c>
      <c r="E70" s="246">
        <v>132803.35999999999</v>
      </c>
      <c r="F70" s="246">
        <v>83437.179999999993</v>
      </c>
      <c r="G70" s="246">
        <v>179303.6</v>
      </c>
      <c r="H70" s="246">
        <v>0</v>
      </c>
      <c r="I70" s="308">
        <v>-18070.02</v>
      </c>
      <c r="J70" s="309">
        <f>SUM(D70:I70)</f>
        <v>503011.48</v>
      </c>
      <c r="K70" s="311">
        <v>307</v>
      </c>
      <c r="L70" s="307">
        <f>18.94+5.62+237.31+437.88</f>
        <v>699.75</v>
      </c>
      <c r="M70" s="246">
        <v>0</v>
      </c>
      <c r="N70" s="246">
        <v>0</v>
      </c>
      <c r="O70" s="246">
        <f>280+110+550</f>
        <v>940</v>
      </c>
      <c r="P70" s="246">
        <f>1974.45</f>
        <v>1974.45</v>
      </c>
      <c r="Q70" s="246">
        <f>1128.3</f>
        <v>1128.3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147378.82999999999</v>
      </c>
      <c r="E71" s="246">
        <v>107600</v>
      </c>
      <c r="F71" s="246">
        <v>96093.19</v>
      </c>
      <c r="G71" s="246">
        <v>157018.76</v>
      </c>
      <c r="H71" s="246">
        <v>0</v>
      </c>
      <c r="I71" s="308">
        <v>-18070.02</v>
      </c>
      <c r="J71" s="309">
        <f t="shared" si="26"/>
        <v>490020.76</v>
      </c>
      <c r="K71" s="311">
        <v>307</v>
      </c>
      <c r="L71" s="307">
        <f>130.76-5.02+170.97+118.64</f>
        <v>415.34999999999997</v>
      </c>
      <c r="M71" s="246">
        <f>2033+75.43</f>
        <v>2108.4299999999998</v>
      </c>
      <c r="N71" s="246">
        <v>0</v>
      </c>
      <c r="O71" s="246">
        <f>340+220+550</f>
        <v>1110</v>
      </c>
      <c r="P71" s="246">
        <v>0</v>
      </c>
      <c r="Q71" s="246">
        <f>-87.3+211.1</f>
        <v>123.8</v>
      </c>
      <c r="R71" s="246">
        <v>0</v>
      </c>
      <c r="S71" s="246">
        <v>0</v>
      </c>
      <c r="T71" s="246">
        <v>0</v>
      </c>
      <c r="U71" s="323">
        <v>-44485.32</v>
      </c>
    </row>
    <row r="72" spans="3:21" ht="18.5" x14ac:dyDescent="0.45">
      <c r="C72" s="306" t="str">
        <f>Addendum!E14</f>
        <v>November</v>
      </c>
      <c r="D72" s="307">
        <v>137981.87</v>
      </c>
      <c r="E72" s="246">
        <v>200009.46</v>
      </c>
      <c r="F72" s="246">
        <v>157365.10999999999</v>
      </c>
      <c r="G72" s="246">
        <v>123991.97</v>
      </c>
      <c r="H72" s="246">
        <v>147119.67000000001</v>
      </c>
      <c r="I72" s="308">
        <v>-18011.16</v>
      </c>
      <c r="J72" s="309">
        <f t="shared" si="26"/>
        <v>748456.91999999993</v>
      </c>
      <c r="K72" s="311">
        <v>306</v>
      </c>
      <c r="L72" s="307">
        <f>-160.58-61.49+64.84+586.1+32.88</f>
        <v>461.75</v>
      </c>
      <c r="M72" s="246">
        <f>23.47</f>
        <v>23.47</v>
      </c>
      <c r="N72" s="246">
        <v>0</v>
      </c>
      <c r="O72" s="246">
        <f>180+330+990</f>
        <v>1500</v>
      </c>
      <c r="P72" s="246">
        <f>14.87+16.73</f>
        <v>31.6</v>
      </c>
      <c r="Q72" s="246">
        <v>0</v>
      </c>
      <c r="R72" s="246">
        <v>0</v>
      </c>
      <c r="S72" s="246">
        <v>0</v>
      </c>
      <c r="T72" s="246">
        <v>0</v>
      </c>
      <c r="U72" s="323">
        <v>-216</v>
      </c>
    </row>
    <row r="73" spans="3:21" ht="18.5" x14ac:dyDescent="0.45">
      <c r="C73" s="306" t="str">
        <f>Addendum!E15</f>
        <v>December</v>
      </c>
      <c r="D73" s="307">
        <v>362271.46</v>
      </c>
      <c r="E73" s="246">
        <v>122581.01</v>
      </c>
      <c r="F73" s="246">
        <v>254007.15</v>
      </c>
      <c r="G73" s="246">
        <v>117915.92</v>
      </c>
      <c r="H73" s="246">
        <v>0</v>
      </c>
      <c r="I73" s="308">
        <v>-18011.16</v>
      </c>
      <c r="J73" s="309">
        <f t="shared" si="26"/>
        <v>838764.38</v>
      </c>
      <c r="K73" s="311">
        <v>306</v>
      </c>
      <c r="L73" s="307">
        <f>144.83-59.54+7.66+684.82</f>
        <v>777.7700000000001</v>
      </c>
      <c r="M73" s="246">
        <v>0</v>
      </c>
      <c r="N73" s="246">
        <v>1.93</v>
      </c>
      <c r="O73" s="246">
        <f>180+550+990</f>
        <v>1720</v>
      </c>
      <c r="P73" s="246">
        <f>54.62+281.56</f>
        <v>336.18</v>
      </c>
      <c r="Q73" s="246">
        <v>0</v>
      </c>
      <c r="R73" s="246">
        <v>0</v>
      </c>
      <c r="S73" s="246">
        <v>0</v>
      </c>
      <c r="T73" s="246">
        <v>0</v>
      </c>
      <c r="U73" s="323">
        <v>0</v>
      </c>
    </row>
    <row r="74" spans="3:21" ht="18.5" x14ac:dyDescent="0.45">
      <c r="C74" s="306" t="str">
        <f>Addendum!E16</f>
        <v>January 2025</v>
      </c>
      <c r="D74" s="307">
        <v>99924.01</v>
      </c>
      <c r="E74" s="246">
        <v>194658.2</v>
      </c>
      <c r="F74" s="246">
        <v>236628.1</v>
      </c>
      <c r="G74" s="246">
        <v>117699.54</v>
      </c>
      <c r="H74" s="246">
        <v>152203.46</v>
      </c>
      <c r="I74" s="308">
        <v>-17952.3</v>
      </c>
      <c r="J74" s="309">
        <f t="shared" si="26"/>
        <v>783161.01</v>
      </c>
      <c r="K74" s="311">
        <v>305</v>
      </c>
      <c r="L74" s="307">
        <f>631.66+394.61+300.92+12.43</f>
        <v>1339.6200000000001</v>
      </c>
      <c r="M74" s="246">
        <v>0</v>
      </c>
      <c r="N74" s="246">
        <v>0</v>
      </c>
      <c r="O74" s="246">
        <f>320+660+880</f>
        <v>1860</v>
      </c>
      <c r="P74" s="246">
        <f>247.06+27.12+6946.93</f>
        <v>7221.1100000000006</v>
      </c>
      <c r="Q74" s="246">
        <f>349.58</f>
        <v>349.58</v>
      </c>
      <c r="R74" s="246">
        <v>0</v>
      </c>
      <c r="S74" s="246">
        <v>0</v>
      </c>
      <c r="T74" s="246">
        <v>0</v>
      </c>
      <c r="U74" s="323">
        <v>-72194.41</v>
      </c>
    </row>
    <row r="75" spans="3:21" ht="18.5" x14ac:dyDescent="0.45">
      <c r="C75" s="306" t="str">
        <f>Addendum!E17</f>
        <v>February</v>
      </c>
      <c r="D75" s="307">
        <v>76116.72</v>
      </c>
      <c r="E75" s="246">
        <v>127513.92</v>
      </c>
      <c r="F75" s="246">
        <v>300000.14</v>
      </c>
      <c r="G75" s="246">
        <v>227850.25</v>
      </c>
      <c r="H75" s="246">
        <v>0</v>
      </c>
      <c r="I75" s="308">
        <v>-17834.580000000002</v>
      </c>
      <c r="J75" s="309">
        <f t="shared" si="26"/>
        <v>713646.45000000007</v>
      </c>
      <c r="K75" s="311">
        <v>303</v>
      </c>
      <c r="L75" s="307">
        <f>149.52+592.78+48.37+0.9</f>
        <v>791.56999999999994</v>
      </c>
      <c r="M75" s="246">
        <v>0</v>
      </c>
      <c r="N75" s="246">
        <v>0</v>
      </c>
      <c r="O75" s="246">
        <f>540+1100+770</f>
        <v>2410</v>
      </c>
      <c r="P75" s="246">
        <f>170.99+8569.38</f>
        <v>8740.369999999999</v>
      </c>
      <c r="Q75" s="246">
        <f>1370.08+81.07</f>
        <v>1451.1499999999999</v>
      </c>
      <c r="R75" s="246">
        <v>0</v>
      </c>
      <c r="S75" s="246">
        <v>-38176</v>
      </c>
      <c r="T75" s="246">
        <v>0</v>
      </c>
      <c r="U75" s="323">
        <v>-50573.440000000002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6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6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6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6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1268442.68</v>
      </c>
      <c r="E80" s="314">
        <f t="shared" ref="E80:J80" si="27">SUM(E68:E79)</f>
        <v>1142884.22</v>
      </c>
      <c r="F80" s="314">
        <f t="shared" si="27"/>
        <v>1602092.5</v>
      </c>
      <c r="G80" s="314">
        <f t="shared" si="27"/>
        <v>1314713.24</v>
      </c>
      <c r="H80" s="314">
        <f t="shared" si="27"/>
        <v>591371.46</v>
      </c>
      <c r="I80" s="315">
        <f t="shared" si="27"/>
        <v>-144736.74000000002</v>
      </c>
      <c r="J80" s="316">
        <f t="shared" si="27"/>
        <v>5774767.3599999994</v>
      </c>
      <c r="K80" s="317">
        <f>SUM(K68:K79)</f>
        <v>2459</v>
      </c>
      <c r="L80" s="313">
        <f>SUM(L68:L79)</f>
        <v>5632.58</v>
      </c>
      <c r="M80" s="314">
        <f t="shared" ref="M80:U80" si="28">SUM(M68:M79)</f>
        <v>2131.8999999999996</v>
      </c>
      <c r="N80" s="314">
        <f t="shared" si="28"/>
        <v>103.19000000000001</v>
      </c>
      <c r="O80" s="314">
        <f t="shared" si="28"/>
        <v>13450</v>
      </c>
      <c r="P80" s="314">
        <f t="shared" si="28"/>
        <v>18815.16</v>
      </c>
      <c r="Q80" s="314">
        <f t="shared" si="28"/>
        <v>5115.3100000000004</v>
      </c>
      <c r="R80" s="314">
        <f t="shared" si="28"/>
        <v>0</v>
      </c>
      <c r="S80" s="314">
        <f t="shared" si="28"/>
        <v>-38176</v>
      </c>
      <c r="T80" s="314">
        <f t="shared" si="28"/>
        <v>0</v>
      </c>
      <c r="U80" s="322">
        <f t="shared" si="28"/>
        <v>-170677.18</v>
      </c>
    </row>
  </sheetData>
  <mergeCells count="20">
    <mergeCell ref="L66:U66"/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D66:H66"/>
    <mergeCell ref="I66:I67"/>
    <mergeCell ref="J66:J67"/>
    <mergeCell ref="K66:K67"/>
  </mergeCells>
  <conditionalFormatting sqref="D51:P51">
    <cfRule type="cellIs" dxfId="4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36CAB-9B0D-4D28-B237-825A06F47C21}">
  <sheetPr codeName="Sheet25">
    <tabColor theme="6" tint="0.39997558519241921"/>
    <pageSetUpPr fitToPage="1"/>
  </sheetPr>
  <dimension ref="B1:U80"/>
  <sheetViews>
    <sheetView view="pageBreakPreview" topLeftCell="A40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179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Entry'!$D$3:$D$500,MATCH(1,INDEX((StMarys!$C$7='Cash Flow Entry'!$B$3:$B$500)*(VALUE(StMarys!D$7)='Cash Flow Entry'!$C$3:$C$500),0,1),0)),"")</f>
        <v>192</v>
      </c>
      <c r="E8" s="256" cm="1">
        <f t="array" ref="E8">IFERROR(INDEX('Cash Flow Entry'!$D$3:$D$500,MATCH(1,INDEX((StMarys!$C$7='Cash Flow Entry'!$B$3:$B$500)*(VALUE(StMarys!E$7)='Cash Flow Entry'!$C$3:$C$500),0,1),0)),"")</f>
        <v>190</v>
      </c>
      <c r="F8" s="257" cm="1">
        <f t="array" ref="F8">IFERROR(INDEX('Cash Flow Entry'!$D$3:$D$500,MATCH(1,INDEX((StMarys!$C$7='Cash Flow Entry'!$B$3:$B$500)*(VALUE(StMarys!F$7)='Cash Flow Entry'!$C$3:$C$500),0,1),0)),"")</f>
        <v>194</v>
      </c>
      <c r="G8" s="255" cm="1">
        <f t="array" ref="G8">IFERROR(INDEX('Cash Flow Entry'!$D$3:$D$500,MATCH(1,INDEX((StMarys!$C$7='Cash Flow Entry'!$B$3:$B$500)*(VALUE(StMarys!G$7)='Cash Flow Entry'!$C$3:$C$500),0,1),0)),"")</f>
        <v>191</v>
      </c>
      <c r="H8" s="256" cm="1">
        <f t="array" ref="H8">IFERROR(INDEX('Cash Flow Entry'!$D$3:$D$500,MATCH(1,INDEX((StMarys!$C$7='Cash Flow Entry'!$B$3:$B$500)*(VALUE(StMarys!H$7)='Cash Flow Entry'!$C$3:$C$500),0,1),0)),"")</f>
        <v>190</v>
      </c>
      <c r="I8" s="257" cm="1">
        <f t="array" ref="I8">IFERROR(INDEX('Cash Flow Entry'!$D$3:$D$500,MATCH(1,INDEX((StMarys!$C$7='Cash Flow Entry'!$B$3:$B$500)*(VALUE(StMarys!I$7)='Cash Flow Entry'!$C$3:$C$500),0,1),0)),"")</f>
        <v>189</v>
      </c>
      <c r="J8" s="256" cm="1">
        <f t="array" ref="J8">IFERROR(INDEX('Cash Flow Entry'!$D$3:$D$500,MATCH(1,INDEX((StMarys!$C$7='Cash Flow Entry'!$B$3:$B$500)*(VALUE(StMarys!J$7)='Cash Flow Entry'!$C$3:$C$500),0,1),0)),"")</f>
        <v>190</v>
      </c>
      <c r="K8" s="256" cm="1">
        <f t="array" ref="K8">IFERROR(INDEX('Cash Flow Entry'!$D$3:$D$500,MATCH(1,INDEX((StMarys!$C$7='Cash Flow Entry'!$B$3:$B$500)*(VALUE(StMarys!K$7)='Cash Flow Entry'!$C$3:$C$500),0,1),0)),"")</f>
        <v>188</v>
      </c>
      <c r="L8" s="256" t="str" cm="1">
        <f t="array" ref="L8">IFERROR(INDEX('Cash Flow Entry'!$D$3:$D$500,MATCH(1,INDEX((StMarys!$C$7='Cash Flow Entry'!$B$3:$B$500)*(VALUE(StMarys!L$7)='Cash Flow Entry'!$C$3:$C$500),0,1),0)),"")</f>
        <v/>
      </c>
      <c r="M8" s="255" t="str" cm="1">
        <f t="array" ref="M8">IFERROR(INDEX('Cash Flow Entry'!$D$3:$D$500,MATCH(1,INDEX((StMarys!$C$7='Cash Flow Entry'!$B$3:$B$500)*(VALUE(StMarys!M$7)='Cash Flow Entry'!$C$3:$C$500),0,1),0)),"")</f>
        <v/>
      </c>
      <c r="N8" s="256" t="str" cm="1">
        <f t="array" ref="N8">IFERROR(INDEX('Cash Flow Entry'!$D$3:$D$500,MATCH(1,INDEX((StMarys!$C$7='Cash Flow Entry'!$B$3:$B$500)*(VALUE(StMarys!N$7)='Cash Flow Entry'!$C$3:$C$500),0,1),0)),"")</f>
        <v/>
      </c>
      <c r="O8" s="258" t="str" cm="1">
        <f t="array" ref="O8">IFERROR(INDEX('Cash Flow Entry'!$D$3:$D$500,MATCH(1,INDEX((StMarys!$C$7='Cash Flow Entry'!$B$3:$B$500)*(VALUE(StMarys!O$7)='Cash Flow Entry'!$C$3:$C$500),0,1),0)),"")</f>
        <v/>
      </c>
      <c r="P8" s="259">
        <f>SUM(D8:O8)</f>
        <v>1524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Entry'!$E$3:$E$500,MATCH(1,INDEX((StMarys!$C$7='Cash Flow Entry'!$B$3:$B$500)*(VALUE(StMarys!D$7)='Cash Flow Entry'!$C$3:$C$500),0,1),0)),"")</f>
        <v>574</v>
      </c>
      <c r="E9" s="256" cm="1">
        <f t="array" ref="E9">IFERROR(INDEX('Cash Flow Entry'!$E$3:$E$500,MATCH(1,INDEX((StMarys!$C$7='Cash Flow Entry'!$B$3:$B$500)*(VALUE(StMarys!E$7)='Cash Flow Entry'!$C$3:$C$500),0,1),0)),"")</f>
        <v>571</v>
      </c>
      <c r="F9" s="257" cm="1">
        <f t="array" ref="F9">IFERROR(INDEX('Cash Flow Entry'!$E$3:$E$500,MATCH(1,INDEX((StMarys!$C$7='Cash Flow Entry'!$B$3:$B$500)*(VALUE(StMarys!F$7)='Cash Flow Entry'!$C$3:$C$500),0,1),0)),"")</f>
        <v>579</v>
      </c>
      <c r="G9" s="255" cm="1">
        <f t="array" ref="G9">IFERROR(INDEX('Cash Flow Entry'!$E$3:$E$500,MATCH(1,INDEX((StMarys!$C$7='Cash Flow Entry'!$B$3:$B$500)*(VALUE(StMarys!G$7)='Cash Flow Entry'!$C$3:$C$500),0,1),0)),"")</f>
        <v>575</v>
      </c>
      <c r="H9" s="256" cm="1">
        <f t="array" ref="H9">IFERROR(INDEX('Cash Flow Entry'!$E$3:$E$500,MATCH(1,INDEX((StMarys!$C$7='Cash Flow Entry'!$B$3:$B$500)*(VALUE(StMarys!H$7)='Cash Flow Entry'!$C$3:$C$500),0,1),0)),"")</f>
        <v>576</v>
      </c>
      <c r="I9" s="257" cm="1">
        <f t="array" ref="I9">IFERROR(INDEX('Cash Flow Entry'!$E$3:$E$500,MATCH(1,INDEX((StMarys!$C$7='Cash Flow Entry'!$B$3:$B$500)*(VALUE(StMarys!I$7)='Cash Flow Entry'!$C$3:$C$500),0,1),0)),"")</f>
        <v>575</v>
      </c>
      <c r="J9" s="256" cm="1">
        <f t="array" ref="J9">IFERROR(INDEX('Cash Flow Entry'!$E$3:$E$500,MATCH(1,INDEX((StMarys!$C$7='Cash Flow Entry'!$B$3:$B$500)*(VALUE(StMarys!J$7)='Cash Flow Entry'!$C$3:$C$500),0,1),0)),"")</f>
        <v>578</v>
      </c>
      <c r="K9" s="256" cm="1">
        <f t="array" ref="K9">IFERROR(INDEX('Cash Flow Entry'!$E$3:$E$500,MATCH(1,INDEX((StMarys!$C$7='Cash Flow Entry'!$B$3:$B$500)*(VALUE(StMarys!K$7)='Cash Flow Entry'!$C$3:$C$500),0,1),0)),"")</f>
        <v>574</v>
      </c>
      <c r="L9" s="256" t="str" cm="1">
        <f t="array" ref="L9">IFERROR(INDEX('Cash Flow Entry'!$E$3:$E$500,MATCH(1,INDEX((StMarys!$C$7='Cash Flow Entry'!$B$3:$B$500)*(VALUE(StMarys!L$7)='Cash Flow Entry'!$C$3:$C$500),0,1),0)),"")</f>
        <v/>
      </c>
      <c r="M9" s="255" t="str" cm="1">
        <f t="array" ref="M9">IFERROR(INDEX('Cash Flow Entry'!$E$3:$E$500,MATCH(1,INDEX((StMarys!$C$7='Cash Flow Entry'!$B$3:$B$500)*(VALUE(StMarys!M$7)='Cash Flow Entry'!$C$3:$C$500),0,1),0)),"")</f>
        <v/>
      </c>
      <c r="N9" s="256" t="str" cm="1">
        <f t="array" ref="N9">IFERROR(INDEX('Cash Flow Entry'!$E$3:$E$500,MATCH(1,INDEX((StMarys!$C$7='Cash Flow Entry'!$B$3:$B$500)*(VALUE(StMarys!N$7)='Cash Flow Entry'!$C$3:$C$500),0,1),0)),"")</f>
        <v/>
      </c>
      <c r="O9" s="258" t="str" cm="1">
        <f t="array" ref="O9">IFERROR(INDEX('Cash Flow Entry'!$E$3:$E$500,MATCH(1,INDEX((StMarys!$C$7='Cash Flow Entry'!$B$3:$B$500)*(VALUE(StMarys!O$7)='Cash Flow Entry'!$C$3:$C$500),0,1),0)),"")</f>
        <v/>
      </c>
      <c r="P9" s="259">
        <f>SUM(D9:O9)</f>
        <v>4602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$1,752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$1,889.46</v>
      </c>
      <c r="N10" s="645"/>
      <c r="O10" s="647"/>
      <c r="P10" s="265">
        <f>P14</f>
        <v>2879539.32</v>
      </c>
      <c r="Q10" s="534">
        <v>1752.28</v>
      </c>
      <c r="R10" s="305">
        <f>Q10*P8</f>
        <v>2670474.7199999997</v>
      </c>
      <c r="S10" s="305"/>
    </row>
    <row r="11" spans="2:20" ht="18.5" x14ac:dyDescent="0.45">
      <c r="B11" s="213" t="s">
        <v>191</v>
      </c>
      <c r="C11" s="267" t="s">
        <v>194</v>
      </c>
      <c r="D11" s="268">
        <v>326695.95</v>
      </c>
      <c r="E11" s="234">
        <v>326695.95</v>
      </c>
      <c r="F11" s="234">
        <v>326695.95</v>
      </c>
      <c r="G11" s="268">
        <v>356901.79</v>
      </c>
      <c r="H11" s="234">
        <v>331180.92</v>
      </c>
      <c r="I11" s="269">
        <v>550759.19999999995</v>
      </c>
      <c r="J11" s="234">
        <v>331180.92</v>
      </c>
      <c r="K11" s="234">
        <v>329428.64</v>
      </c>
      <c r="L11" s="234"/>
      <c r="M11" s="268"/>
      <c r="N11" s="234"/>
      <c r="O11" s="270"/>
      <c r="P11" s="234">
        <f>SUM(D11:O11)</f>
        <v>2879539.32</v>
      </c>
      <c r="Q11" s="302"/>
    </row>
    <row r="12" spans="2:20" ht="18.5" x14ac:dyDescent="0.45">
      <c r="C12" s="267" t="s">
        <v>195</v>
      </c>
      <c r="D12" s="268">
        <f>IF(D$8="","",IF(D$11=0,0,D$8*$Q12))</f>
        <v>0</v>
      </c>
      <c r="E12" s="234">
        <f t="shared" ref="E12:O12" si="0">IF(E$8="","",IF(E$11=0,0,E$8*$Q12))</f>
        <v>0</v>
      </c>
      <c r="F12" s="269">
        <f t="shared" si="0"/>
        <v>0</v>
      </c>
      <c r="G12" s="268">
        <f t="shared" si="0"/>
        <v>0</v>
      </c>
      <c r="H12" s="234">
        <f t="shared" si="0"/>
        <v>0</v>
      </c>
      <c r="I12" s="269">
        <f t="shared" si="0"/>
        <v>0</v>
      </c>
      <c r="J12" s="234">
        <f t="shared" si="0"/>
        <v>0</v>
      </c>
      <c r="K12" s="234">
        <f t="shared" si="0"/>
        <v>0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0</v>
      </c>
      <c r="Q12" s="533">
        <v>0</v>
      </c>
    </row>
    <row r="13" spans="2:20" ht="18.5" x14ac:dyDescent="0.45">
      <c r="B13" s="213" t="s">
        <v>191</v>
      </c>
      <c r="C13" s="267" t="s">
        <v>196</v>
      </c>
      <c r="D13" s="458">
        <f t="shared" ref="D13:O13" si="2">IF(D$8="","",0)</f>
        <v>0</v>
      </c>
      <c r="E13" s="457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326695.95</v>
      </c>
      <c r="E14" s="274">
        <f t="shared" ref="E14:O14" si="3">IF(E8="","",SUM(E11:E13))</f>
        <v>326695.95</v>
      </c>
      <c r="F14" s="275">
        <f t="shared" si="3"/>
        <v>326695.95</v>
      </c>
      <c r="G14" s="273">
        <f t="shared" si="3"/>
        <v>356901.79</v>
      </c>
      <c r="H14" s="274">
        <f t="shared" si="3"/>
        <v>331180.92</v>
      </c>
      <c r="I14" s="275">
        <f t="shared" si="3"/>
        <v>550759.19999999995</v>
      </c>
      <c r="J14" s="274">
        <f t="shared" si="3"/>
        <v>331180.92</v>
      </c>
      <c r="K14" s="274">
        <f t="shared" si="3"/>
        <v>329428.64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2879539.32</v>
      </c>
      <c r="Q14" s="533"/>
    </row>
    <row r="15" spans="2:20" ht="18.5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$1,598</v>
      </c>
      <c r="E16" s="645"/>
      <c r="F16" s="646"/>
      <c r="G16" s="644" t="str">
        <f>"Admin, Reinsurance, &amp; Misc. PEPM: "&amp;DOLLAR(SUM($P36,$P42,$P49)/$P$8,0)</f>
        <v>Admin, Reinsurance, &amp; Misc. PEPM: $475</v>
      </c>
      <c r="H16" s="645"/>
      <c r="I16" s="646"/>
      <c r="J16" s="644" t="str">
        <f>"Total Expenses PEPM: "&amp;DOLLAR($P16/$P$8,0)</f>
        <v>Total Expenses PEPM: $2,073</v>
      </c>
      <c r="K16" s="645"/>
      <c r="L16" s="646"/>
      <c r="M16" s="644" t="str">
        <f>"Projection Variance: "&amp;TEXT(($P$16/$P$8)/$Q$10-1,"0.00%")</f>
        <v>Projection Variance: 18.29%</v>
      </c>
      <c r="N16" s="645"/>
      <c r="O16" s="647"/>
      <c r="P16" s="265">
        <f>SUM(P26,P36,P42,P49)</f>
        <v>3158801.0605263161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Entry'!$F$3:$F$500,MATCH(1,INDEX((StMarys!$C$7='Cash Flow Entry'!$B$3:$B$500)*(VALUE(StMarys!D$7)='Cash Flow Entry'!$C$3:$C$500),0,1),0)),"")+IFERROR(INDEX('Cash Flow Entry'!$H$3:$H$500,MATCH(1,INDEX((StMarys!$C$7='Cash Flow Entry'!$B$3:$B$500)*(VALUE(StMarys!D$7)='Cash Flow Entry'!$C$3:$C$500),0,1),0)),""),"")</f>
        <v>158403.91999999998</v>
      </c>
      <c r="E18" s="234" cm="1">
        <f t="array" ref="E18">IFERROR(IFERROR(INDEX('Cash Flow Entry'!$F$3:$F$500,MATCH(1,INDEX((StMarys!$C$7='Cash Flow Entry'!$B$3:$B$500)*(VALUE(StMarys!E$7)='Cash Flow Entry'!$C$3:$C$500),0,1),0)),"")+IFERROR(INDEX('Cash Flow Entry'!$H$3:$H$500,MATCH(1,INDEX((StMarys!$C$7='Cash Flow Entry'!$B$3:$B$500)*(VALUE(StMarys!E$7)='Cash Flow Entry'!$C$3:$C$500),0,1),0)),""),"")</f>
        <v>339428.95</v>
      </c>
      <c r="F18" s="269" cm="1">
        <f t="array" ref="F18">IFERROR(IFERROR(INDEX('Cash Flow Entry'!$F$3:$F$500,MATCH(1,INDEX((StMarys!$C$7='Cash Flow Entry'!$B$3:$B$500)*(VALUE(StMarys!F$7)='Cash Flow Entry'!$C$3:$C$500),0,1),0)),"")+IFERROR(INDEX('Cash Flow Entry'!$H$3:$H$500,MATCH(1,INDEX((StMarys!$C$7='Cash Flow Entry'!$B$3:$B$500)*(VALUE(StMarys!F$7)='Cash Flow Entry'!$C$3:$C$500),0,1),0)),""),"")</f>
        <v>145825.76</v>
      </c>
      <c r="G18" s="268" cm="1">
        <f t="array" ref="G18">IFERROR(IFERROR(INDEX('Cash Flow Entry'!$F$3:$F$500,MATCH(1,INDEX((StMarys!$C$7='Cash Flow Entry'!$B$3:$B$500)*(VALUE(StMarys!G$7)='Cash Flow Entry'!$C$3:$C$500),0,1),0)),"")+IFERROR(INDEX('Cash Flow Entry'!$H$3:$H$500,MATCH(1,INDEX((StMarys!$C$7='Cash Flow Entry'!$B$3:$B$500)*(VALUE(StMarys!G$7)='Cash Flow Entry'!$C$3:$C$500),0,1),0)),""),"")</f>
        <v>204582.65</v>
      </c>
      <c r="H18" s="234" cm="1">
        <f t="array" ref="H18">IFERROR(IFERROR(INDEX('Cash Flow Entry'!$F$3:$F$500,MATCH(1,INDEX((StMarys!$C$7='Cash Flow Entry'!$B$3:$B$500)*(VALUE(StMarys!H$7)='Cash Flow Entry'!$C$3:$C$500),0,1),0)),"")+IFERROR(INDEX('Cash Flow Entry'!$H$3:$H$500,MATCH(1,INDEX((StMarys!$C$7='Cash Flow Entry'!$B$3:$B$500)*(VALUE(StMarys!H$7)='Cash Flow Entry'!$C$3:$C$500),0,1),0)),""),"")</f>
        <v>227457.76</v>
      </c>
      <c r="I18" s="269" cm="1">
        <f t="array" ref="I18">IFERROR(IFERROR(INDEX('Cash Flow Entry'!$F$3:$F$500,MATCH(1,INDEX((StMarys!$C$7='Cash Flow Entry'!$B$3:$B$500)*(VALUE(StMarys!I$7)='Cash Flow Entry'!$C$3:$C$500),0,1),0)),"")+IFERROR(INDEX('Cash Flow Entry'!$H$3:$H$500,MATCH(1,INDEX((StMarys!$C$7='Cash Flow Entry'!$B$3:$B$500)*(VALUE(StMarys!I$7)='Cash Flow Entry'!$C$3:$C$500),0,1),0)),""),"")</f>
        <v>234257.76</v>
      </c>
      <c r="J18" s="234" cm="1">
        <f t="array" ref="J18">IFERROR(IFERROR(INDEX('Cash Flow Entry'!$F$3:$F$500,MATCH(1,INDEX((StMarys!$C$7='Cash Flow Entry'!$B$3:$B$500)*(VALUE(StMarys!J$7)='Cash Flow Entry'!$C$3:$C$500),0,1),0)),"")+IFERROR(INDEX('Cash Flow Entry'!$H$3:$H$500,MATCH(1,INDEX((StMarys!$C$7='Cash Flow Entry'!$B$3:$B$500)*(VALUE(StMarys!J$7)='Cash Flow Entry'!$C$3:$C$500),0,1),0)),""),"")</f>
        <v>367447.3</v>
      </c>
      <c r="K18" s="234" cm="1">
        <f t="array" ref="K18">IFERROR(IFERROR(INDEX('Cash Flow Entry'!$F$3:$F$500,MATCH(1,INDEX((StMarys!$C$7='Cash Flow Entry'!$B$3:$B$500)*(VALUE(StMarys!K$7)='Cash Flow Entry'!$C$3:$C$500),0,1),0)),"")+IFERROR(INDEX('Cash Flow Entry'!$H$3:$H$500,MATCH(1,INDEX((StMarys!$C$7='Cash Flow Entry'!$B$3:$B$500)*(VALUE(StMarys!K$7)='Cash Flow Entry'!$C$3:$C$500),0,1),0)),""),"")</f>
        <v>252029.01</v>
      </c>
      <c r="L18" s="234" t="str" cm="1">
        <f t="array" ref="L18">IFERROR(IFERROR(INDEX('Cash Flow Entry'!$F$3:$F$500,MATCH(1,INDEX((StMarys!$C$7='Cash Flow Entry'!$B$3:$B$500)*(VALUE(StMarys!L$7)='Cash Flow Entry'!$C$3:$C$500),0,1),0)),"")+IFERROR(INDEX('Cash Flow Entry'!$H$3:$H$500,MATCH(1,INDEX((StMarys!$C$7='Cash Flow Entry'!$B$3:$B$500)*(VALUE(StMarys!L$7)='Cash Flow Entry'!$C$3:$C$500),0,1),0)),""),"")</f>
        <v/>
      </c>
      <c r="M18" s="268" t="str" cm="1">
        <f t="array" ref="M18">IFERROR(IFERROR(INDEX('Cash Flow Entry'!$F$3:$F$500,MATCH(1,INDEX((StMarys!$C$7='Cash Flow Entry'!$B$3:$B$500)*(VALUE(StMarys!M$7)='Cash Flow Entry'!$C$3:$C$500),0,1),0)),"")+IFERROR(INDEX('Cash Flow Entry'!$H$3:$H$500,MATCH(1,INDEX((StMarys!$C$7='Cash Flow Entry'!$B$3:$B$500)*(VALUE(StMarys!M$7)='Cash Flow Entry'!$C$3:$C$500),0,1),0)),""),"")</f>
        <v/>
      </c>
      <c r="N18" s="234" t="str" cm="1">
        <f t="array" ref="N18">IFERROR(IFERROR(INDEX('Cash Flow Entry'!$F$3:$F$500,MATCH(1,INDEX((StMarys!$C$7='Cash Flow Entry'!$B$3:$B$500)*(VALUE(StMarys!N$7)='Cash Flow Entry'!$C$3:$C$500),0,1),0)),"")+IFERROR(INDEX('Cash Flow Entry'!$H$3:$H$500,MATCH(1,INDEX((StMarys!$C$7='Cash Flow Entry'!$B$3:$B$500)*(VALUE(StMarys!N$7)='Cash Flow Entry'!$C$3:$C$500),0,1),0)),""),"")</f>
        <v/>
      </c>
      <c r="O18" s="270" t="str" cm="1">
        <f t="array" ref="O18">IFERROR(IFERROR(INDEX('Cash Flow Entry'!$F$3:$F$500,MATCH(1,INDEX((StMarys!$C$7='Cash Flow Entry'!$B$3:$B$500)*(VALUE(StMarys!O$7)='Cash Flow Entry'!$C$3:$C$500),0,1),0)),"")+IFERROR(INDEX('Cash Flow Entry'!$H$3:$H$500,MATCH(1,INDEX((StMarys!$C$7='Cash Flow Entry'!$B$3:$B$500)*(VALUE(StMarys!O$7)='Cash Flow Entry'!$C$3:$C$500),0,1),0)),""),"")</f>
        <v/>
      </c>
      <c r="P18" s="234">
        <f>SUM(D18:O18)</f>
        <v>1929433.11</v>
      </c>
      <c r="Q18" s="533">
        <v>863.29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Entry'!$G$3:$G$500,MATCH(1,INDEX((StMarys!$C$7='Cash Flow Entry'!$B$3:$B$500)*(VALUE(StMarys!D$7)='Cash Flow Entry'!$C$3:$C$500),0,1),0)),"")</f>
        <v>55196.55</v>
      </c>
      <c r="E19" s="234" cm="1">
        <f t="array" ref="E19">IFERROR(INDEX('Cash Flow Entry'!$G$3:$G$500,MATCH(1,INDEX((StMarys!$C$7='Cash Flow Entry'!$B$3:$B$500)*(VALUE(StMarys!E$7)='Cash Flow Entry'!$C$3:$C$500),0,1),0)),"")</f>
        <v>96702.28</v>
      </c>
      <c r="F19" s="269" cm="1">
        <f t="array" ref="F19">IFERROR(INDEX('Cash Flow Entry'!$G$3:$G$500,MATCH(1,INDEX((StMarys!$C$7='Cash Flow Entry'!$B$3:$B$500)*(VALUE(StMarys!F$7)='Cash Flow Entry'!$C$3:$C$500),0,1),0)),"")</f>
        <v>84598.95</v>
      </c>
      <c r="G19" s="268" cm="1">
        <f t="array" ref="G19">IFERROR(INDEX('Cash Flow Entry'!$G$3:$G$500,MATCH(1,INDEX((StMarys!$C$7='Cash Flow Entry'!$B$3:$B$500)*(VALUE(StMarys!G$7)='Cash Flow Entry'!$C$3:$C$500),0,1),0)),"")</f>
        <v>118927.92</v>
      </c>
      <c r="H19" s="234" cm="1">
        <f t="array" ref="H19">IFERROR(INDEX('Cash Flow Entry'!$G$3:$G$500,MATCH(1,INDEX((StMarys!$C$7='Cash Flow Entry'!$B$3:$B$500)*(VALUE(StMarys!H$7)='Cash Flow Entry'!$C$3:$C$500),0,1),0)),"")</f>
        <v>130574.51</v>
      </c>
      <c r="I19" s="269" cm="1">
        <f t="array" ref="I19">IFERROR(INDEX('Cash Flow Entry'!$G$3:$G$500,MATCH(1,INDEX((StMarys!$C$7='Cash Flow Entry'!$B$3:$B$500)*(VALUE(StMarys!I$7)='Cash Flow Entry'!$C$3:$C$500),0,1),0)),"")</f>
        <v>102451.34</v>
      </c>
      <c r="J19" s="234" cm="1">
        <f t="array" ref="J19">IFERROR(INDEX('Cash Flow Entry'!$G$3:$G$500,MATCH(1,INDEX((StMarys!$C$7='Cash Flow Entry'!$B$3:$B$500)*(VALUE(StMarys!J$7)='Cash Flow Entry'!$C$3:$C$500),0,1),0)),"")</f>
        <v>175560.7</v>
      </c>
      <c r="K19" s="234" cm="1">
        <f t="array" ref="K19">IFERROR(INDEX('Cash Flow Entry'!$G$3:$G$500,MATCH(1,INDEX((StMarys!$C$7='Cash Flow Entry'!$B$3:$B$500)*(VALUE(StMarys!K$7)='Cash Flow Entry'!$C$3:$C$500),0,1),0)),"")</f>
        <v>97222.26</v>
      </c>
      <c r="L19" s="234" t="str" cm="1">
        <f t="array" ref="L19">IFERROR(INDEX('Cash Flow Entry'!$G$3:$G$500,MATCH(1,INDEX((StMarys!$C$7='Cash Flow Entry'!$B$3:$B$500)*(VALUE(StMarys!L$7)='Cash Flow Entry'!$C$3:$C$500),0,1),0)),"")</f>
        <v/>
      </c>
      <c r="M19" s="268" t="str" cm="1">
        <f t="array" ref="M19">IFERROR(INDEX('Cash Flow Entry'!$G$3:$G$500,MATCH(1,INDEX((StMarys!$C$7='Cash Flow Entry'!$B$3:$B$500)*(VALUE(StMarys!M$7)='Cash Flow Entry'!$C$3:$C$500),0,1),0)),"")</f>
        <v/>
      </c>
      <c r="N19" s="234" t="str" cm="1">
        <f t="array" ref="N19">IFERROR(INDEX('Cash Flow Entry'!$G$3:$G$500,MATCH(1,INDEX((StMarys!$C$7='Cash Flow Entry'!$B$3:$B$500)*(VALUE(StMarys!N$7)='Cash Flow Entry'!$C$3:$C$500),0,1),0)),"")</f>
        <v/>
      </c>
      <c r="O19" s="270" t="str" cm="1">
        <f t="array" ref="O19">IFERROR(INDEX('Cash Flow Entry'!$G$3:$G$500,MATCH(1,INDEX((StMarys!$C$7='Cash Flow Entry'!$B$3:$B$500)*(VALUE(StMarys!O$7)='Cash Flow Entry'!$C$3:$C$500),0,1),0)),"")</f>
        <v/>
      </c>
      <c r="P19" s="234">
        <f>SUM(D19:O19)</f>
        <v>861234.51</v>
      </c>
      <c r="Q19" s="533">
        <v>381.03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ht="18.5" x14ac:dyDescent="0.45">
      <c r="B21" s="219">
        <f>INDEX('HCC Summary'!$I$9:$I$27,MATCH(StMarys!C7,'HCC Summary'!B9:B27, 0))</f>
        <v>148149.02000000002</v>
      </c>
      <c r="C21" s="282" t="s">
        <v>225</v>
      </c>
      <c r="D21" s="283">
        <v>0</v>
      </c>
      <c r="E21" s="284">
        <v>61640.58</v>
      </c>
      <c r="F21" s="285">
        <v>68988.66</v>
      </c>
      <c r="G21" s="283">
        <v>76080.05</v>
      </c>
      <c r="H21" s="284">
        <v>84934.76</v>
      </c>
      <c r="I21" s="285">
        <v>98873.26</v>
      </c>
      <c r="J21" s="284">
        <v>123646.69</v>
      </c>
      <c r="K21" s="284">
        <v>148149.01999999999</v>
      </c>
      <c r="L21" s="284"/>
      <c r="M21" s="283"/>
      <c r="N21" s="284"/>
      <c r="O21" s="286"/>
      <c r="P21" s="641">
        <f>SUM(D22:O22)</f>
        <v>-148149.01999999999</v>
      </c>
      <c r="Q21" s="533"/>
    </row>
    <row r="22" spans="2:17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-61640.58</v>
      </c>
      <c r="F22" s="269">
        <f t="shared" si="5"/>
        <v>-7348.0800000000017</v>
      </c>
      <c r="G22" s="268">
        <f t="shared" si="5"/>
        <v>-7091.3899999999994</v>
      </c>
      <c r="H22" s="234">
        <f t="shared" si="5"/>
        <v>-8854.7099999999919</v>
      </c>
      <c r="I22" s="269">
        <f t="shared" si="5"/>
        <v>-13938.5</v>
      </c>
      <c r="J22" s="234">
        <f t="shared" si="5"/>
        <v>-24773.430000000008</v>
      </c>
      <c r="K22" s="234">
        <f t="shared" si="5"/>
        <v>-24502.329999999987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7" ht="18.5" x14ac:dyDescent="0.45">
      <c r="C23" s="267" t="s">
        <v>363</v>
      </c>
      <c r="D23" s="268">
        <f>IF(D$8="","",$U68)</f>
        <v>0</v>
      </c>
      <c r="E23" s="234">
        <f>IF(E$8="","",$U69)</f>
        <v>-40615.370000000003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0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-40615.370000000003</v>
      </c>
      <c r="Q23" s="533"/>
    </row>
    <row r="24" spans="2:17" ht="18.5" x14ac:dyDescent="0.45">
      <c r="C24" s="267" t="s">
        <v>25</v>
      </c>
      <c r="D24" s="268">
        <f t="shared" ref="D24:O24" si="7">IF(D$8="","",D$8*$Q$24)</f>
        <v>-21120</v>
      </c>
      <c r="E24" s="234">
        <f t="shared" si="7"/>
        <v>-20900</v>
      </c>
      <c r="F24" s="269">
        <f t="shared" si="7"/>
        <v>-21340</v>
      </c>
      <c r="G24" s="268">
        <f t="shared" si="7"/>
        <v>-21010</v>
      </c>
      <c r="H24" s="234">
        <f>IF(H$8="","",H$8*$Q$24)</f>
        <v>-20900</v>
      </c>
      <c r="I24" s="269">
        <f t="shared" si="7"/>
        <v>-20790</v>
      </c>
      <c r="J24" s="234">
        <f>IF(J$8="","",J$8*$Q$24)</f>
        <v>-20900</v>
      </c>
      <c r="K24" s="234">
        <f t="shared" si="7"/>
        <v>-20680</v>
      </c>
      <c r="L24" s="234" t="str">
        <f t="shared" si="7"/>
        <v/>
      </c>
      <c r="M24" s="268" t="str">
        <f t="shared" si="7"/>
        <v/>
      </c>
      <c r="N24" s="234" t="str">
        <f t="shared" si="7"/>
        <v/>
      </c>
      <c r="O24" s="270" t="str">
        <f t="shared" si="7"/>
        <v/>
      </c>
      <c r="P24" s="234">
        <f t="shared" si="6"/>
        <v>-167640</v>
      </c>
      <c r="Q24" s="533">
        <v>-110</v>
      </c>
    </row>
    <row r="25" spans="2:17" ht="18.5" x14ac:dyDescent="0.45">
      <c r="B25" s="213"/>
      <c r="C25" s="267" t="s">
        <v>199</v>
      </c>
      <c r="D25" s="268">
        <f>IF(D$8="","",SUM($L68:$R68))</f>
        <v>2209.75</v>
      </c>
      <c r="E25" s="234">
        <f>IF(E$8="","",SUM($L69:$R69))</f>
        <v>3838.7599999999998</v>
      </c>
      <c r="F25" s="269">
        <f>IF(F$8="","",SUM($L70:$R70))</f>
        <v>1034.1600000000001</v>
      </c>
      <c r="G25" s="268">
        <f>IF(G$8="","",SUM($L71:$R71))</f>
        <v>4843.9800000000005</v>
      </c>
      <c r="H25" s="234">
        <f>IF(H$8="","",SUM($L72:$R72))</f>
        <v>2432.65</v>
      </c>
      <c r="I25" s="269">
        <f>IF(I$8="","",SUM($L73:$R73))</f>
        <v>3557.53</v>
      </c>
      <c r="J25" s="234">
        <f>IF(J$8="","",SUM($L74:$R74))</f>
        <v>2001.38</v>
      </c>
      <c r="K25" s="234">
        <f>IF(K$8="","",SUM($L75:$S75))</f>
        <v>-19446.740000000002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471.47000000000116</v>
      </c>
      <c r="Q25" s="533"/>
    </row>
    <row r="26" spans="2:17" ht="18.5" x14ac:dyDescent="0.45">
      <c r="C26" s="272" t="s">
        <v>200</v>
      </c>
      <c r="D26" s="273">
        <f>IF(D8="","",SUM(D18:D20,D22:D25))</f>
        <v>194690.21999999997</v>
      </c>
      <c r="E26" s="274">
        <f t="shared" ref="E26:L26" si="8">IF(E8="","",SUM(E18:E20,E22:E25))</f>
        <v>316814.03999999998</v>
      </c>
      <c r="F26" s="275">
        <f t="shared" si="8"/>
        <v>202770.79</v>
      </c>
      <c r="G26" s="273">
        <f t="shared" si="8"/>
        <v>300253.15999999997</v>
      </c>
      <c r="H26" s="274">
        <f t="shared" si="8"/>
        <v>330710.21000000008</v>
      </c>
      <c r="I26" s="275">
        <f t="shared" si="8"/>
        <v>305538.13</v>
      </c>
      <c r="J26" s="273">
        <f t="shared" si="8"/>
        <v>499335.95</v>
      </c>
      <c r="K26" s="274">
        <f t="shared" si="8"/>
        <v>284622.20000000007</v>
      </c>
      <c r="L26" s="275" t="str">
        <f t="shared" si="8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9">IF(O8="","",SUM(O18:O19,O22:O25))</f>
        <v/>
      </c>
      <c r="P26" s="274">
        <f>SUM(P18:P25)</f>
        <v>2434734.7000000002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ht="18.5" x14ac:dyDescent="0.45">
      <c r="C28" s="267" t="s">
        <v>223</v>
      </c>
      <c r="D28" s="268">
        <f>IF(D$8="","",D$8*$Q28)</f>
        <v>7706.88</v>
      </c>
      <c r="E28" s="234">
        <f t="shared" ref="E28:O35" si="10">IF(E$8="","",E$8*$Q28)</f>
        <v>7626.6</v>
      </c>
      <c r="F28" s="269">
        <f t="shared" si="10"/>
        <v>7787.16</v>
      </c>
      <c r="G28" s="268">
        <f t="shared" si="10"/>
        <v>7666.74</v>
      </c>
      <c r="H28" s="234">
        <f t="shared" si="10"/>
        <v>7626.6</v>
      </c>
      <c r="I28" s="269">
        <f t="shared" si="10"/>
        <v>7586.46</v>
      </c>
      <c r="J28" s="234">
        <f t="shared" si="10"/>
        <v>7626.6</v>
      </c>
      <c r="K28" s="234">
        <f t="shared" si="10"/>
        <v>7546.32</v>
      </c>
      <c r="L28" s="234" t="str">
        <f t="shared" si="10"/>
        <v/>
      </c>
      <c r="M28" s="268" t="str">
        <f t="shared" si="10"/>
        <v/>
      </c>
      <c r="N28" s="234" t="str">
        <f t="shared" si="10"/>
        <v/>
      </c>
      <c r="O28" s="270" t="str">
        <f t="shared" si="10"/>
        <v/>
      </c>
      <c r="P28" s="234">
        <f>SUM(D28:O28)</f>
        <v>61173.359999999993</v>
      </c>
      <c r="Q28" s="533">
        <v>40.14</v>
      </c>
    </row>
    <row r="29" spans="2:17" ht="18.5" x14ac:dyDescent="0.45">
      <c r="C29" s="267" t="s">
        <v>224</v>
      </c>
      <c r="D29" s="268">
        <f t="shared" ref="D29:O35" si="11">IF(D$8="","",D$8*$Q29)</f>
        <v>768</v>
      </c>
      <c r="E29" s="234">
        <f t="shared" si="10"/>
        <v>760</v>
      </c>
      <c r="F29" s="269">
        <f t="shared" si="10"/>
        <v>776</v>
      </c>
      <c r="G29" s="268">
        <f t="shared" si="10"/>
        <v>764</v>
      </c>
      <c r="H29" s="234">
        <f t="shared" si="10"/>
        <v>760</v>
      </c>
      <c r="I29" s="269">
        <f t="shared" si="10"/>
        <v>756</v>
      </c>
      <c r="J29" s="234">
        <f t="shared" si="10"/>
        <v>760</v>
      </c>
      <c r="K29" s="234">
        <f t="shared" si="10"/>
        <v>752</v>
      </c>
      <c r="L29" s="234" t="str">
        <f t="shared" si="10"/>
        <v/>
      </c>
      <c r="M29" s="268" t="str">
        <f t="shared" si="10"/>
        <v/>
      </c>
      <c r="N29" s="234" t="str">
        <f t="shared" si="10"/>
        <v/>
      </c>
      <c r="O29" s="270" t="str">
        <f t="shared" si="10"/>
        <v/>
      </c>
      <c r="P29" s="234">
        <f t="shared" ref="P29:P35" si="12">SUM(D29:O29)</f>
        <v>6096</v>
      </c>
      <c r="Q29" s="533">
        <v>4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10"/>
        <v>0</v>
      </c>
      <c r="F30" s="234">
        <f t="shared" si="10"/>
        <v>0</v>
      </c>
      <c r="G30" s="268">
        <f t="shared" si="10"/>
        <v>0</v>
      </c>
      <c r="H30" s="234">
        <f t="shared" si="10"/>
        <v>0</v>
      </c>
      <c r="I30" s="234">
        <f t="shared" si="10"/>
        <v>0</v>
      </c>
      <c r="J30" s="268">
        <f t="shared" si="10"/>
        <v>0</v>
      </c>
      <c r="K30" s="234">
        <f t="shared" si="10"/>
        <v>0</v>
      </c>
      <c r="L30" s="234" t="str">
        <f t="shared" si="10"/>
        <v/>
      </c>
      <c r="M30" s="268" t="str">
        <f t="shared" si="10"/>
        <v/>
      </c>
      <c r="N30" s="234" t="str">
        <f t="shared" si="10"/>
        <v/>
      </c>
      <c r="O30" s="270" t="str">
        <f t="shared" si="10"/>
        <v/>
      </c>
      <c r="P30" s="234">
        <f t="shared" si="12"/>
        <v>0</v>
      </c>
      <c r="Q30" s="533">
        <v>0</v>
      </c>
    </row>
    <row r="31" spans="2:17" ht="18.5" x14ac:dyDescent="0.45">
      <c r="C31" s="267" t="s">
        <v>325</v>
      </c>
      <c r="D31" s="268">
        <f t="shared" si="11"/>
        <v>0</v>
      </c>
      <c r="E31" s="234">
        <f t="shared" si="11"/>
        <v>0</v>
      </c>
      <c r="F31" s="234">
        <f t="shared" si="11"/>
        <v>0</v>
      </c>
      <c r="G31" s="268">
        <f t="shared" si="11"/>
        <v>0</v>
      </c>
      <c r="H31" s="234">
        <f t="shared" si="11"/>
        <v>0</v>
      </c>
      <c r="I31" s="234">
        <f t="shared" si="11"/>
        <v>0</v>
      </c>
      <c r="J31" s="268">
        <f t="shared" si="11"/>
        <v>0</v>
      </c>
      <c r="K31" s="234">
        <f t="shared" si="11"/>
        <v>0</v>
      </c>
      <c r="L31" s="234" t="str">
        <f t="shared" si="11"/>
        <v/>
      </c>
      <c r="M31" s="268" t="str">
        <f t="shared" si="11"/>
        <v/>
      </c>
      <c r="N31" s="234" t="str">
        <f t="shared" si="11"/>
        <v/>
      </c>
      <c r="O31" s="270" t="str">
        <f t="shared" si="11"/>
        <v/>
      </c>
      <c r="P31" s="234">
        <f t="shared" si="12"/>
        <v>0</v>
      </c>
      <c r="Q31" s="533">
        <v>0</v>
      </c>
    </row>
    <row r="32" spans="2:17" ht="18.5" x14ac:dyDescent="0.45">
      <c r="C32" s="267" t="s">
        <v>247</v>
      </c>
      <c r="D32" s="268">
        <f t="shared" si="11"/>
        <v>0</v>
      </c>
      <c r="E32" s="234">
        <f t="shared" si="11"/>
        <v>0</v>
      </c>
      <c r="F32" s="269">
        <f t="shared" si="11"/>
        <v>0</v>
      </c>
      <c r="G32" s="268">
        <f t="shared" si="11"/>
        <v>0</v>
      </c>
      <c r="H32" s="234">
        <f t="shared" si="11"/>
        <v>0</v>
      </c>
      <c r="I32" s="269">
        <f t="shared" si="11"/>
        <v>0</v>
      </c>
      <c r="J32" s="234">
        <f t="shared" si="11"/>
        <v>0</v>
      </c>
      <c r="K32" s="234">
        <f t="shared" si="11"/>
        <v>0</v>
      </c>
      <c r="L32" s="234" t="str">
        <f t="shared" si="11"/>
        <v/>
      </c>
      <c r="M32" s="268" t="str">
        <f t="shared" si="11"/>
        <v/>
      </c>
      <c r="N32" s="234" t="str">
        <f t="shared" si="11"/>
        <v/>
      </c>
      <c r="O32" s="270" t="str">
        <f t="shared" si="11"/>
        <v/>
      </c>
      <c r="P32" s="234">
        <f t="shared" si="12"/>
        <v>0</v>
      </c>
      <c r="Q32" s="533">
        <v>0</v>
      </c>
    </row>
    <row r="33" spans="2:18" ht="18.5" x14ac:dyDescent="0.45">
      <c r="C33" s="267" t="s">
        <v>227</v>
      </c>
      <c r="D33" s="268">
        <f t="shared" si="11"/>
        <v>336</v>
      </c>
      <c r="E33" s="234">
        <f t="shared" si="10"/>
        <v>332.5</v>
      </c>
      <c r="F33" s="269">
        <f t="shared" si="10"/>
        <v>339.5</v>
      </c>
      <c r="G33" s="268">
        <f t="shared" si="10"/>
        <v>334.25</v>
      </c>
      <c r="H33" s="234">
        <f t="shared" si="10"/>
        <v>332.5</v>
      </c>
      <c r="I33" s="269">
        <f t="shared" si="10"/>
        <v>330.75</v>
      </c>
      <c r="J33" s="234">
        <f t="shared" si="10"/>
        <v>332.5</v>
      </c>
      <c r="K33" s="234">
        <f t="shared" si="10"/>
        <v>329</v>
      </c>
      <c r="L33" s="234" t="str">
        <f t="shared" si="10"/>
        <v/>
      </c>
      <c r="M33" s="268" t="str">
        <f t="shared" si="10"/>
        <v/>
      </c>
      <c r="N33" s="234" t="str">
        <f t="shared" si="10"/>
        <v/>
      </c>
      <c r="O33" s="270" t="str">
        <f t="shared" si="10"/>
        <v/>
      </c>
      <c r="P33" s="234">
        <f t="shared" si="12"/>
        <v>2667</v>
      </c>
      <c r="Q33" s="533">
        <v>1.75</v>
      </c>
    </row>
    <row r="34" spans="2:18" ht="18.5" x14ac:dyDescent="0.45">
      <c r="C34" s="267" t="s">
        <v>228</v>
      </c>
      <c r="D34" s="268">
        <f t="shared" si="11"/>
        <v>633.59999999999991</v>
      </c>
      <c r="E34" s="234">
        <f t="shared" si="10"/>
        <v>627</v>
      </c>
      <c r="F34" s="269">
        <f t="shared" si="10"/>
        <v>640.19999999999993</v>
      </c>
      <c r="G34" s="268">
        <f t="shared" si="10"/>
        <v>630.29999999999995</v>
      </c>
      <c r="H34" s="234">
        <f t="shared" si="10"/>
        <v>627</v>
      </c>
      <c r="I34" s="269">
        <f t="shared" si="10"/>
        <v>623.69999999999993</v>
      </c>
      <c r="J34" s="234">
        <f t="shared" si="10"/>
        <v>627</v>
      </c>
      <c r="K34" s="234">
        <f t="shared" si="10"/>
        <v>620.4</v>
      </c>
      <c r="L34" s="234" t="str">
        <f t="shared" si="10"/>
        <v/>
      </c>
      <c r="M34" s="268" t="str">
        <f t="shared" si="10"/>
        <v/>
      </c>
      <c r="N34" s="234" t="str">
        <f t="shared" si="10"/>
        <v/>
      </c>
      <c r="O34" s="270" t="str">
        <f t="shared" si="10"/>
        <v/>
      </c>
      <c r="P34" s="234">
        <f t="shared" si="12"/>
        <v>5029.1999999999989</v>
      </c>
      <c r="Q34" s="533">
        <v>3.3</v>
      </c>
    </row>
    <row r="35" spans="2:18" ht="18.5" x14ac:dyDescent="0.45">
      <c r="C35" s="267" t="s">
        <v>202</v>
      </c>
      <c r="D35" s="268">
        <f t="shared" si="11"/>
        <v>760.31999999999994</v>
      </c>
      <c r="E35" s="234">
        <f t="shared" si="10"/>
        <v>752.4</v>
      </c>
      <c r="F35" s="269">
        <f t="shared" si="10"/>
        <v>768.24</v>
      </c>
      <c r="G35" s="268">
        <f t="shared" si="10"/>
        <v>756.36</v>
      </c>
      <c r="H35" s="234">
        <f t="shared" si="10"/>
        <v>752.4</v>
      </c>
      <c r="I35" s="269">
        <f t="shared" si="10"/>
        <v>748.43999999999994</v>
      </c>
      <c r="J35" s="234">
        <f t="shared" si="10"/>
        <v>752.4</v>
      </c>
      <c r="K35" s="234">
        <f t="shared" si="10"/>
        <v>744.48</v>
      </c>
      <c r="L35" s="234" t="str">
        <f t="shared" si="10"/>
        <v/>
      </c>
      <c r="M35" s="268" t="str">
        <f t="shared" si="10"/>
        <v/>
      </c>
      <c r="N35" s="234" t="str">
        <f t="shared" si="10"/>
        <v/>
      </c>
      <c r="O35" s="270" t="str">
        <f t="shared" si="10"/>
        <v/>
      </c>
      <c r="P35" s="234">
        <f t="shared" si="12"/>
        <v>6035.0399999999991</v>
      </c>
      <c r="Q35" s="533">
        <v>3.96</v>
      </c>
    </row>
    <row r="36" spans="2:18" ht="18.5" x14ac:dyDescent="0.45">
      <c r="C36" s="272" t="s">
        <v>203</v>
      </c>
      <c r="D36" s="273">
        <f t="shared" ref="D36:P36" si="13">IF(D$8="","",SUM(D28:D35))</f>
        <v>10204.800000000001</v>
      </c>
      <c r="E36" s="274">
        <f t="shared" si="13"/>
        <v>10098.5</v>
      </c>
      <c r="F36" s="275">
        <f t="shared" si="13"/>
        <v>10311.1</v>
      </c>
      <c r="G36" s="273">
        <f t="shared" si="13"/>
        <v>10151.65</v>
      </c>
      <c r="H36" s="274">
        <f t="shared" si="13"/>
        <v>10098.5</v>
      </c>
      <c r="I36" s="275">
        <f t="shared" si="13"/>
        <v>10045.35</v>
      </c>
      <c r="J36" s="274">
        <f t="shared" si="13"/>
        <v>10098.5</v>
      </c>
      <c r="K36" s="274">
        <f t="shared" si="13"/>
        <v>9992.1999999999989</v>
      </c>
      <c r="L36" s="274" t="str">
        <f t="shared" si="13"/>
        <v/>
      </c>
      <c r="M36" s="273" t="str">
        <f t="shared" si="13"/>
        <v/>
      </c>
      <c r="N36" s="274" t="str">
        <f t="shared" si="13"/>
        <v/>
      </c>
      <c r="O36" s="276" t="str">
        <f t="shared" si="13"/>
        <v/>
      </c>
      <c r="P36" s="274">
        <f t="shared" si="13"/>
        <v>81000.599999999977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18963.84</v>
      </c>
      <c r="E38" s="234">
        <f t="shared" ref="E38:O41" si="14">IF(E$8="","",E$8*$Q38)</f>
        <v>18766.3</v>
      </c>
      <c r="F38" s="269">
        <f t="shared" si="14"/>
        <v>19161.38</v>
      </c>
      <c r="G38" s="268">
        <f t="shared" si="14"/>
        <v>18865.07</v>
      </c>
      <c r="H38" s="234">
        <f t="shared" si="14"/>
        <v>18766.3</v>
      </c>
      <c r="I38" s="269">
        <f t="shared" si="14"/>
        <v>18667.53</v>
      </c>
      <c r="J38" s="234">
        <f t="shared" si="14"/>
        <v>18766.3</v>
      </c>
      <c r="K38" s="234">
        <f t="shared" si="14"/>
        <v>18568.759999999998</v>
      </c>
      <c r="L38" s="234" t="str">
        <f t="shared" si="14"/>
        <v/>
      </c>
      <c r="M38" s="268" t="str">
        <f t="shared" si="14"/>
        <v/>
      </c>
      <c r="N38" s="234" t="str">
        <f t="shared" si="14"/>
        <v/>
      </c>
      <c r="O38" s="270" t="str">
        <f t="shared" si="14"/>
        <v/>
      </c>
      <c r="P38" s="234">
        <f>SUM(D38:O38)</f>
        <v>150525.48000000001</v>
      </c>
      <c r="Q38" s="533">
        <v>98.77</v>
      </c>
    </row>
    <row r="39" spans="2:18" ht="18.5" x14ac:dyDescent="0.45">
      <c r="C39" s="267" t="s">
        <v>205</v>
      </c>
      <c r="D39" s="268">
        <f t="shared" ref="D39:D41" si="15">IF(D$8="","",D$8*$Q39)</f>
        <v>74899.200000000012</v>
      </c>
      <c r="E39" s="234">
        <f t="shared" si="14"/>
        <v>74119</v>
      </c>
      <c r="F39" s="269">
        <f t="shared" si="14"/>
        <v>75679.400000000009</v>
      </c>
      <c r="G39" s="268">
        <f t="shared" si="14"/>
        <v>74509.100000000006</v>
      </c>
      <c r="H39" s="234">
        <f t="shared" si="14"/>
        <v>74119</v>
      </c>
      <c r="I39" s="269">
        <f t="shared" ref="I39:O39" si="16">IF(I$8="","",I$8*$R39)</f>
        <v>35928.9</v>
      </c>
      <c r="J39" s="234">
        <f t="shared" si="16"/>
        <v>36119.000000000007</v>
      </c>
      <c r="K39" s="234">
        <f t="shared" si="16"/>
        <v>35738.800000000003</v>
      </c>
      <c r="L39" s="234" t="str">
        <f t="shared" si="16"/>
        <v/>
      </c>
      <c r="M39" s="268" t="str">
        <f t="shared" si="16"/>
        <v/>
      </c>
      <c r="N39" s="234" t="str">
        <f t="shared" si="16"/>
        <v/>
      </c>
      <c r="O39" s="270" t="str">
        <f t="shared" si="16"/>
        <v/>
      </c>
      <c r="P39" s="234">
        <f t="shared" ref="P39:P41" si="17">SUM(D39:O39)</f>
        <v>481112.40000000008</v>
      </c>
      <c r="Q39" s="533">
        <v>390.1</v>
      </c>
      <c r="R39" s="11">
        <f>Q39-200</f>
        <v>190.10000000000002</v>
      </c>
    </row>
    <row r="40" spans="2:18" ht="18.5" x14ac:dyDescent="0.45">
      <c r="C40" s="267" t="s">
        <v>322</v>
      </c>
      <c r="D40" s="268">
        <f t="shared" ref="D40:O40" si="18">IF(D$8="","",D$8*$Q40)</f>
        <v>768</v>
      </c>
      <c r="E40" s="234">
        <f t="shared" si="18"/>
        <v>760</v>
      </c>
      <c r="F40" s="269">
        <f t="shared" si="18"/>
        <v>776</v>
      </c>
      <c r="G40" s="234">
        <f t="shared" si="18"/>
        <v>764</v>
      </c>
      <c r="H40" s="234">
        <f t="shared" si="18"/>
        <v>760</v>
      </c>
      <c r="I40" s="269">
        <f t="shared" si="18"/>
        <v>756</v>
      </c>
      <c r="J40" s="234">
        <f t="shared" si="18"/>
        <v>760</v>
      </c>
      <c r="K40" s="234">
        <f t="shared" si="18"/>
        <v>752</v>
      </c>
      <c r="L40" s="234" t="str">
        <f t="shared" si="18"/>
        <v/>
      </c>
      <c r="M40" s="268" t="str">
        <f t="shared" si="18"/>
        <v/>
      </c>
      <c r="N40" s="234" t="str">
        <f t="shared" si="18"/>
        <v/>
      </c>
      <c r="O40" s="270" t="str">
        <f t="shared" si="18"/>
        <v/>
      </c>
      <c r="P40" s="234">
        <f>SUM(D40:O40)</f>
        <v>6096</v>
      </c>
      <c r="Q40" s="533">
        <v>4</v>
      </c>
    </row>
    <row r="41" spans="2:18" ht="18.5" x14ac:dyDescent="0.45">
      <c r="C41" s="267" t="s">
        <v>206</v>
      </c>
      <c r="D41" s="268">
        <f t="shared" si="15"/>
        <v>552.96</v>
      </c>
      <c r="E41" s="234">
        <f t="shared" si="14"/>
        <v>547.19999999999993</v>
      </c>
      <c r="F41" s="269">
        <f t="shared" si="14"/>
        <v>558.72</v>
      </c>
      <c r="G41" s="268">
        <f t="shared" si="14"/>
        <v>550.07999999999993</v>
      </c>
      <c r="H41" s="234">
        <f t="shared" si="14"/>
        <v>547.19999999999993</v>
      </c>
      <c r="I41" s="269">
        <f t="shared" si="14"/>
        <v>544.31999999999994</v>
      </c>
      <c r="J41" s="234">
        <f t="shared" si="14"/>
        <v>547.19999999999993</v>
      </c>
      <c r="K41" s="234">
        <f t="shared" si="14"/>
        <v>541.43999999999994</v>
      </c>
      <c r="L41" s="234" t="str">
        <f t="shared" si="14"/>
        <v/>
      </c>
      <c r="M41" s="268" t="str">
        <f t="shared" si="14"/>
        <v/>
      </c>
      <c r="N41" s="234" t="str">
        <f t="shared" si="14"/>
        <v/>
      </c>
      <c r="O41" s="270" t="str">
        <f t="shared" si="14"/>
        <v/>
      </c>
      <c r="P41" s="234">
        <f t="shared" si="17"/>
        <v>4389.119999999999</v>
      </c>
      <c r="Q41" s="533">
        <v>2.88</v>
      </c>
    </row>
    <row r="42" spans="2:18" ht="18.5" x14ac:dyDescent="0.45">
      <c r="C42" s="272" t="s">
        <v>207</v>
      </c>
      <c r="D42" s="273">
        <f t="shared" ref="D42:P42" si="19">IF(D$8="","",SUM(D38:D41))</f>
        <v>95184.000000000015</v>
      </c>
      <c r="E42" s="274">
        <f t="shared" si="19"/>
        <v>94192.5</v>
      </c>
      <c r="F42" s="275">
        <f t="shared" si="19"/>
        <v>96175.500000000015</v>
      </c>
      <c r="G42" s="273">
        <f t="shared" si="19"/>
        <v>94688.250000000015</v>
      </c>
      <c r="H42" s="274">
        <f t="shared" si="19"/>
        <v>94192.5</v>
      </c>
      <c r="I42" s="275">
        <f t="shared" si="19"/>
        <v>55896.75</v>
      </c>
      <c r="J42" s="274">
        <f t="shared" si="19"/>
        <v>56192.5</v>
      </c>
      <c r="K42" s="274">
        <f t="shared" si="19"/>
        <v>55601</v>
      </c>
      <c r="L42" s="274" t="str">
        <f t="shared" si="19"/>
        <v/>
      </c>
      <c r="M42" s="273" t="str">
        <f t="shared" si="19"/>
        <v/>
      </c>
      <c r="N42" s="274" t="str">
        <f t="shared" si="19"/>
        <v/>
      </c>
      <c r="O42" s="276" t="str">
        <f t="shared" si="19"/>
        <v/>
      </c>
      <c r="P42" s="274">
        <f t="shared" si="19"/>
        <v>642123.00000000012</v>
      </c>
      <c r="Q42" s="30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271"/>
    </row>
    <row r="44" spans="2:18" ht="18.5" x14ac:dyDescent="0.45">
      <c r="B44" s="213" t="s">
        <v>191</v>
      </c>
      <c r="C44" s="267" t="s">
        <v>209</v>
      </c>
      <c r="D44" s="268">
        <f t="shared" ref="D44:O48" si="20">IF(D$8="","",0)</f>
        <v>0</v>
      </c>
      <c r="E44" s="234">
        <f t="shared" si="20"/>
        <v>0</v>
      </c>
      <c r="F44" s="234">
        <f t="shared" si="20"/>
        <v>0</v>
      </c>
      <c r="G44" s="268">
        <f>416.5/19</f>
        <v>21.921052631578949</v>
      </c>
      <c r="H44" s="234">
        <f t="shared" si="20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20"/>
        <v/>
      </c>
      <c r="M44" s="268" t="str">
        <f t="shared" si="20"/>
        <v/>
      </c>
      <c r="N44" s="234" t="str">
        <f t="shared" si="20"/>
        <v/>
      </c>
      <c r="O44" s="234" t="str">
        <f t="shared" si="20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20"/>
        <v>0</v>
      </c>
      <c r="E45" s="234">
        <f t="shared" si="20"/>
        <v>0</v>
      </c>
      <c r="F45" s="269">
        <f t="shared" si="20"/>
        <v>0</v>
      </c>
      <c r="G45" s="268">
        <f t="shared" si="20"/>
        <v>0</v>
      </c>
      <c r="H45" s="234">
        <f>15600/19</f>
        <v>821.0526315789474</v>
      </c>
      <c r="I45" s="234">
        <f t="shared" si="20"/>
        <v>0</v>
      </c>
      <c r="J45" s="268">
        <f t="shared" si="20"/>
        <v>0</v>
      </c>
      <c r="K45" s="234">
        <f t="shared" si="20"/>
        <v>0</v>
      </c>
      <c r="L45" s="234" t="str">
        <f t="shared" si="20"/>
        <v/>
      </c>
      <c r="M45" s="268" t="str">
        <f t="shared" si="20"/>
        <v/>
      </c>
      <c r="N45" s="234" t="str">
        <f t="shared" si="20"/>
        <v/>
      </c>
      <c r="O45" s="234" t="str">
        <f t="shared" si="20"/>
        <v/>
      </c>
      <c r="P45" s="474">
        <f t="shared" ref="P45:P48" si="21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20"/>
        <v>0</v>
      </c>
      <c r="E46" s="234">
        <f t="shared" si="20"/>
        <v>0</v>
      </c>
      <c r="F46" s="269">
        <f t="shared" si="20"/>
        <v>0</v>
      </c>
      <c r="G46" s="268">
        <f t="shared" si="20"/>
        <v>0</v>
      </c>
      <c r="H46" s="234">
        <f t="shared" si="20"/>
        <v>0</v>
      </c>
      <c r="I46" s="234">
        <f t="shared" si="20"/>
        <v>0</v>
      </c>
      <c r="J46" s="268">
        <f t="shared" si="20"/>
        <v>0</v>
      </c>
      <c r="K46" s="234">
        <f t="shared" si="20"/>
        <v>0</v>
      </c>
      <c r="L46" s="234" t="str">
        <f t="shared" si="20"/>
        <v/>
      </c>
      <c r="M46" s="268" t="str">
        <f t="shared" si="20"/>
        <v/>
      </c>
      <c r="N46" s="234" t="str">
        <f t="shared" si="20"/>
        <v/>
      </c>
      <c r="O46" s="234" t="str">
        <f t="shared" si="20"/>
        <v/>
      </c>
      <c r="P46" s="474">
        <f t="shared" si="21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20"/>
        <v>0</v>
      </c>
      <c r="E47" s="234">
        <f t="shared" si="20"/>
        <v>0</v>
      </c>
      <c r="F47" s="234">
        <f t="shared" si="20"/>
        <v>0</v>
      </c>
      <c r="G47" s="268">
        <f t="shared" si="20"/>
        <v>0</v>
      </c>
      <c r="H47" s="234">
        <f t="shared" si="20"/>
        <v>0</v>
      </c>
      <c r="I47" s="234">
        <f t="shared" si="20"/>
        <v>0</v>
      </c>
      <c r="J47" s="268">
        <f t="shared" si="20"/>
        <v>0</v>
      </c>
      <c r="K47" s="234">
        <f t="shared" si="20"/>
        <v>0</v>
      </c>
      <c r="L47" s="234" t="str">
        <f t="shared" si="20"/>
        <v/>
      </c>
      <c r="M47" s="268" t="str">
        <f t="shared" si="20"/>
        <v/>
      </c>
      <c r="N47" s="234" t="str">
        <f t="shared" si="20"/>
        <v/>
      </c>
      <c r="O47" s="270" t="str">
        <f t="shared" si="20"/>
        <v/>
      </c>
      <c r="P47" s="234">
        <f t="shared" si="21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20"/>
        <v>0</v>
      </c>
      <c r="F48" s="456">
        <f t="shared" si="20"/>
        <v>0</v>
      </c>
      <c r="G48" s="458">
        <f t="shared" si="20"/>
        <v>0</v>
      </c>
      <c r="H48" s="234">
        <f t="shared" si="20"/>
        <v>0</v>
      </c>
      <c r="I48" s="456">
        <f t="shared" si="20"/>
        <v>0</v>
      </c>
      <c r="J48" s="268">
        <f t="shared" si="20"/>
        <v>0</v>
      </c>
      <c r="K48" s="457">
        <f t="shared" si="20"/>
        <v>0</v>
      </c>
      <c r="L48" s="456" t="str">
        <f t="shared" si="20"/>
        <v/>
      </c>
      <c r="M48" s="458" t="str">
        <f t="shared" si="20"/>
        <v/>
      </c>
      <c r="N48" s="234" t="str">
        <f t="shared" si="20"/>
        <v/>
      </c>
      <c r="O48" s="525" t="str">
        <f t="shared" si="20"/>
        <v/>
      </c>
      <c r="P48" s="475">
        <f t="shared" si="21"/>
        <v>0</v>
      </c>
      <c r="Q48" s="244"/>
    </row>
    <row r="49" spans="2:17" ht="18.5" x14ac:dyDescent="0.45">
      <c r="C49" s="272" t="s">
        <v>229</v>
      </c>
      <c r="D49" s="273">
        <f t="shared" ref="D49:P49" si="22">IF(D$8="","",SUM(D44:D48))</f>
        <v>0</v>
      </c>
      <c r="E49" s="274">
        <f t="shared" si="22"/>
        <v>0</v>
      </c>
      <c r="F49" s="275">
        <f t="shared" si="22"/>
        <v>0</v>
      </c>
      <c r="G49" s="273">
        <f t="shared" si="22"/>
        <v>21.921052631578949</v>
      </c>
      <c r="H49" s="274">
        <f t="shared" si="22"/>
        <v>821.0526315789474</v>
      </c>
      <c r="I49" s="275">
        <f t="shared" si="22"/>
        <v>12.102631578947367</v>
      </c>
      <c r="J49" s="274">
        <f t="shared" si="22"/>
        <v>31.315789473684209</v>
      </c>
      <c r="K49" s="274">
        <f t="shared" si="22"/>
        <v>56.368421052631582</v>
      </c>
      <c r="L49" s="274" t="str">
        <f t="shared" si="22"/>
        <v/>
      </c>
      <c r="M49" s="273" t="str">
        <f t="shared" si="22"/>
        <v/>
      </c>
      <c r="N49" s="274" t="str">
        <f t="shared" si="22"/>
        <v/>
      </c>
      <c r="O49" s="276" t="str">
        <f t="shared" si="22"/>
        <v/>
      </c>
      <c r="P49" s="557">
        <f t="shared" si="22"/>
        <v>942.76052631578955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26616.930000000051</v>
      </c>
      <c r="E51" s="289">
        <f>IF(E8="","",E14-SUM(E26,E36,E42,E49))</f>
        <v>-94409.089999999967</v>
      </c>
      <c r="F51" s="290">
        <f>IF(F8="","",F14-SUM(F26,F36,F42,F49))</f>
        <v>17438.559999999998</v>
      </c>
      <c r="G51" s="288">
        <f>IF(G8="","",G14-SUM(G26,G36,G42,G49))</f>
        <v>-48213.191052631591</v>
      </c>
      <c r="H51" s="289">
        <f>IF(H8="","",H14-SUM(H26,H36,H42,H49))</f>
        <v>-104641.34263157903</v>
      </c>
      <c r="I51" s="290">
        <f>IF(I8="","",I14-SUM(I26,I36,I42,I49))</f>
        <v>179266.86736842105</v>
      </c>
      <c r="J51" s="289">
        <f>IF(J8="","",J14-SUM(J26,J36,J42,J49))</f>
        <v>-234477.34578947368</v>
      </c>
      <c r="K51" s="289">
        <f>IF(K8="","",K14-SUM(K26,K36,K42,K49))</f>
        <v>-20843.128421052708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-279261.74052631622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-217825.55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-497087.29052631621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0</v>
      </c>
      <c r="E56" s="234">
        <f>IF(E12="","",-E12)</f>
        <v>0</v>
      </c>
      <c r="F56" s="269">
        <f>IF(F12="","",-F12)</f>
        <v>0</v>
      </c>
      <c r="G56" s="268">
        <f>IF(G12="","",-G12)</f>
        <v>0</v>
      </c>
      <c r="H56" s="234">
        <f>IF(H12="","",-H12)</f>
        <v>0</v>
      </c>
      <c r="I56" s="269">
        <f>IF(I12="","",-I12)</f>
        <v>0</v>
      </c>
      <c r="J56" s="234">
        <f>IF(J12="","",-J12)</f>
        <v>0</v>
      </c>
      <c r="K56" s="234">
        <f>IF(K12="","",-K12)</f>
        <v>0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0</v>
      </c>
      <c r="Q56" s="244"/>
    </row>
    <row r="57" spans="2:17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3">IF(E$8="","",0)</f>
        <v>0</v>
      </c>
      <c r="F57" s="269">
        <f t="shared" si="23"/>
        <v>0</v>
      </c>
      <c r="G57" s="268">
        <f t="shared" si="23"/>
        <v>0</v>
      </c>
      <c r="H57" s="234">
        <f t="shared" si="23"/>
        <v>0</v>
      </c>
      <c r="I57" s="269">
        <f t="shared" si="23"/>
        <v>0</v>
      </c>
      <c r="J57" s="234">
        <f t="shared" si="23"/>
        <v>0</v>
      </c>
      <c r="K57" s="234">
        <f t="shared" si="23"/>
        <v>0</v>
      </c>
      <c r="L57" s="234" t="str">
        <f t="shared" si="23"/>
        <v/>
      </c>
      <c r="M57" s="268" t="str">
        <f t="shared" si="23"/>
        <v/>
      </c>
      <c r="N57" s="234" t="str">
        <f t="shared" si="23"/>
        <v/>
      </c>
      <c r="O57" s="270" t="str">
        <f t="shared" si="23"/>
        <v/>
      </c>
      <c r="P57" s="234">
        <f>SUM(D57:O57)</f>
        <v>0</v>
      </c>
      <c r="Q57" s="244"/>
    </row>
    <row r="58" spans="2:17" ht="18.5" x14ac:dyDescent="0.45">
      <c r="C58" s="296" t="s">
        <v>234</v>
      </c>
      <c r="D58" s="297">
        <f>IF(D$8="","",SUM(D56:D57))</f>
        <v>0</v>
      </c>
      <c r="E58" s="298">
        <f t="shared" ref="E58:O58" si="24">IF(E$8="","",SUM(E56:E57))</f>
        <v>0</v>
      </c>
      <c r="F58" s="299">
        <f t="shared" si="24"/>
        <v>0</v>
      </c>
      <c r="G58" s="297">
        <f t="shared" si="24"/>
        <v>0</v>
      </c>
      <c r="H58" s="298">
        <f t="shared" si="24"/>
        <v>0</v>
      </c>
      <c r="I58" s="299">
        <f t="shared" si="24"/>
        <v>0</v>
      </c>
      <c r="J58" s="298">
        <f t="shared" si="24"/>
        <v>0</v>
      </c>
      <c r="K58" s="298">
        <f t="shared" si="24"/>
        <v>0</v>
      </c>
      <c r="L58" s="298" t="str">
        <f t="shared" si="24"/>
        <v/>
      </c>
      <c r="M58" s="297" t="str">
        <f t="shared" si="24"/>
        <v/>
      </c>
      <c r="N58" s="298" t="str">
        <f t="shared" si="24"/>
        <v/>
      </c>
      <c r="O58" s="300" t="str">
        <f t="shared" si="24"/>
        <v/>
      </c>
      <c r="P58" s="298">
        <f>SUM(P56:P57)</f>
        <v>0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0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0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44767.48</v>
      </c>
      <c r="E68" s="246">
        <v>86299.1</v>
      </c>
      <c r="F68" s="246">
        <v>47529.21</v>
      </c>
      <c r="G68" s="246">
        <v>35004.68</v>
      </c>
      <c r="H68" s="246">
        <v>0</v>
      </c>
      <c r="I68" s="308">
        <v>-11624.26</v>
      </c>
      <c r="J68" s="309">
        <f>SUM(D68:I68)</f>
        <v>201976.21</v>
      </c>
      <c r="K68" s="310">
        <v>191</v>
      </c>
      <c r="L68" s="307">
        <f>50.47-22.92</f>
        <v>27.549999999999997</v>
      </c>
      <c r="M68" s="246">
        <v>0</v>
      </c>
      <c r="N68" s="246">
        <f>25</f>
        <v>25</v>
      </c>
      <c r="O68" s="246">
        <f>200+220+1650</f>
        <v>2070</v>
      </c>
      <c r="P68" s="246">
        <v>0</v>
      </c>
      <c r="Q68" s="246">
        <f>75.58+5.81+5.81</f>
        <v>87.2</v>
      </c>
      <c r="R68" s="246">
        <v>0</v>
      </c>
      <c r="S68" s="246">
        <v>0</v>
      </c>
      <c r="T68" s="246">
        <v>0</v>
      </c>
      <c r="U68" s="323">
        <v>0</v>
      </c>
    </row>
    <row r="69" spans="3:21" ht="18.5" x14ac:dyDescent="0.45">
      <c r="C69" s="306" t="str">
        <f>Addendum!E11</f>
        <v>August</v>
      </c>
      <c r="D69" s="307">
        <v>176118.48</v>
      </c>
      <c r="E69" s="246">
        <v>37669.24</v>
      </c>
      <c r="F69" s="246">
        <v>94594.95</v>
      </c>
      <c r="G69" s="246">
        <v>57777</v>
      </c>
      <c r="H69" s="246">
        <v>69971.56</v>
      </c>
      <c r="I69" s="308">
        <v>-11624.26</v>
      </c>
      <c r="J69" s="309">
        <f t="shared" ref="J69:J79" si="25">SUM(D69:I69)</f>
        <v>424506.97</v>
      </c>
      <c r="K69" s="311">
        <v>191</v>
      </c>
      <c r="L69" s="307">
        <f>412.8+13.95+48.58+131.06</f>
        <v>606.39</v>
      </c>
      <c r="M69" s="246">
        <v>0</v>
      </c>
      <c r="N69" s="246">
        <f>25</f>
        <v>25</v>
      </c>
      <c r="O69" s="246">
        <f>460+220+1870</f>
        <v>2550</v>
      </c>
      <c r="P69" s="246">
        <f>200</f>
        <v>200</v>
      </c>
      <c r="Q69" s="246">
        <f>5.6+415.8+27.38+8.59</f>
        <v>457.37</v>
      </c>
      <c r="R69" s="246">
        <v>0</v>
      </c>
      <c r="S69" s="246">
        <v>0</v>
      </c>
      <c r="T69" s="246">
        <v>0</v>
      </c>
      <c r="U69" s="323">
        <v>-40615.370000000003</v>
      </c>
    </row>
    <row r="70" spans="3:21" ht="18.5" x14ac:dyDescent="0.45">
      <c r="C70" s="306" t="str">
        <f>Addendum!E12</f>
        <v>September</v>
      </c>
      <c r="D70" s="307">
        <v>64674.61</v>
      </c>
      <c r="E70" s="246">
        <v>54098.89</v>
      </c>
      <c r="F70" s="246">
        <v>23533.69</v>
      </c>
      <c r="G70" s="246">
        <v>88117.52</v>
      </c>
      <c r="H70" s="246">
        <v>0</v>
      </c>
      <c r="I70" s="308">
        <v>-11563.4</v>
      </c>
      <c r="J70" s="309">
        <f>SUM(D70:I70)</f>
        <v>218861.31000000003</v>
      </c>
      <c r="K70" s="311">
        <v>190</v>
      </c>
      <c r="L70" s="307">
        <f>-55.37+83.94-59.5-66.11</f>
        <v>-97.039999999999992</v>
      </c>
      <c r="M70" s="246">
        <v>0</v>
      </c>
      <c r="N70" s="246">
        <v>0</v>
      </c>
      <c r="O70" s="246">
        <f>160+880</f>
        <v>1040</v>
      </c>
      <c r="P70" s="246">
        <f>41.88</f>
        <v>41.88</v>
      </c>
      <c r="Q70" s="246">
        <f>49.32</f>
        <v>49.32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62816.94</v>
      </c>
      <c r="E71" s="246">
        <v>119520.77</v>
      </c>
      <c r="F71" s="246">
        <v>83930.2</v>
      </c>
      <c r="G71" s="246">
        <v>57242.66</v>
      </c>
      <c r="H71" s="246">
        <v>0</v>
      </c>
      <c r="I71" s="308">
        <v>-11502.54</v>
      </c>
      <c r="J71" s="309">
        <f t="shared" si="25"/>
        <v>312008.03000000009</v>
      </c>
      <c r="K71" s="311">
        <v>189</v>
      </c>
      <c r="L71" s="307">
        <f>61.41-412.8-97.36+21.52</f>
        <v>-427.23</v>
      </c>
      <c r="M71" s="246">
        <f>3774.83</f>
        <v>3774.83</v>
      </c>
      <c r="N71" s="246">
        <v>0</v>
      </c>
      <c r="O71" s="246">
        <f>100+330+660</f>
        <v>1090</v>
      </c>
      <c r="P71" s="246">
        <v>0</v>
      </c>
      <c r="Q71" s="246">
        <f>-670.63+108.08-12.71+290.39+36.61+610.92+43.72</f>
        <v>406.38</v>
      </c>
      <c r="R71" s="246">
        <v>0</v>
      </c>
      <c r="S71" s="246">
        <v>0</v>
      </c>
      <c r="T71" s="246">
        <v>0</v>
      </c>
      <c r="U71" s="323">
        <v>0</v>
      </c>
    </row>
    <row r="72" spans="3:21" ht="18.5" x14ac:dyDescent="0.45">
      <c r="C72" s="306" t="str">
        <f>Addendum!E14</f>
        <v>November</v>
      </c>
      <c r="D72" s="307">
        <v>89898.240000000005</v>
      </c>
      <c r="E72" s="246">
        <v>96590.1</v>
      </c>
      <c r="F72" s="246">
        <v>69676.31</v>
      </c>
      <c r="G72" s="246">
        <v>43487.040000000001</v>
      </c>
      <c r="H72" s="246">
        <v>58380.58</v>
      </c>
      <c r="I72" s="308">
        <v>-11563.4</v>
      </c>
      <c r="J72" s="309">
        <f t="shared" si="25"/>
        <v>346468.87</v>
      </c>
      <c r="K72" s="311">
        <v>190</v>
      </c>
      <c r="L72" s="307">
        <f>63.33+9.58+61.6+114.43+238.28</f>
        <v>487.22</v>
      </c>
      <c r="M72" s="246">
        <v>0</v>
      </c>
      <c r="N72" s="246">
        <v>0</v>
      </c>
      <c r="O72" s="246">
        <f>180+550+1430</f>
        <v>2160</v>
      </c>
      <c r="P72" s="246">
        <v>0</v>
      </c>
      <c r="Q72" s="246">
        <f>32.1-290.39+43.72</f>
        <v>-214.56999999999996</v>
      </c>
      <c r="R72" s="246">
        <v>0</v>
      </c>
      <c r="S72" s="246">
        <v>0</v>
      </c>
      <c r="T72" s="246">
        <v>0</v>
      </c>
      <c r="U72" s="323">
        <v>0</v>
      </c>
    </row>
    <row r="73" spans="3:21" ht="18.5" x14ac:dyDescent="0.45">
      <c r="C73" s="306" t="str">
        <f>Addendum!E15</f>
        <v>December</v>
      </c>
      <c r="D73" s="307">
        <v>125312.35</v>
      </c>
      <c r="E73" s="246">
        <v>80539.27</v>
      </c>
      <c r="F73" s="246">
        <v>95701.46</v>
      </c>
      <c r="G73" s="246">
        <v>41230.1</v>
      </c>
      <c r="H73" s="246">
        <v>0</v>
      </c>
      <c r="I73" s="308">
        <v>-11502.54</v>
      </c>
      <c r="J73" s="309">
        <f t="shared" si="25"/>
        <v>331280.64000000001</v>
      </c>
      <c r="K73" s="311">
        <v>189</v>
      </c>
      <c r="L73" s="307">
        <f>136.38+40.2+53.33+468.99</f>
        <v>698.9</v>
      </c>
      <c r="M73" s="246">
        <v>0</v>
      </c>
      <c r="N73" s="246">
        <f>25+25</f>
        <v>50</v>
      </c>
      <c r="O73" s="246">
        <f>300+660+1430</f>
        <v>2390</v>
      </c>
      <c r="P73" s="246">
        <f>400</f>
        <v>400</v>
      </c>
      <c r="Q73" s="246">
        <f>5.6+13.03</f>
        <v>18.63</v>
      </c>
      <c r="R73" s="246">
        <v>0</v>
      </c>
      <c r="S73" s="246">
        <v>0</v>
      </c>
      <c r="T73" s="246">
        <v>0</v>
      </c>
      <c r="U73" s="323">
        <v>0</v>
      </c>
    </row>
    <row r="74" spans="3:21" ht="18.5" x14ac:dyDescent="0.45">
      <c r="C74" s="306" t="str">
        <f>Addendum!E16</f>
        <v>January 2025</v>
      </c>
      <c r="D74" s="307">
        <v>112558.46</v>
      </c>
      <c r="E74" s="246">
        <v>106071.42</v>
      </c>
      <c r="F74" s="246">
        <v>70250.179999999993</v>
      </c>
      <c r="G74" s="246">
        <v>116084.39</v>
      </c>
      <c r="H74" s="246">
        <v>138043.54999999999</v>
      </c>
      <c r="I74" s="308">
        <v>-11441.68</v>
      </c>
      <c r="J74" s="309">
        <f t="shared" si="25"/>
        <v>531566.31999999995</v>
      </c>
      <c r="K74" s="311">
        <v>188</v>
      </c>
      <c r="L74" s="307">
        <f>18.79+5.36-426.74+91.41+6.42</f>
        <v>-304.76000000000005</v>
      </c>
      <c r="M74" s="246">
        <v>0</v>
      </c>
      <c r="N74" s="246">
        <v>0</v>
      </c>
      <c r="O74" s="246">
        <f>200+1650</f>
        <v>1850</v>
      </c>
      <c r="P74" s="246">
        <v>0</v>
      </c>
      <c r="Q74" s="246">
        <f>-14.48+258.86+6.17+148.82+49.52+7.25</f>
        <v>456.14</v>
      </c>
      <c r="R74" s="246">
        <v>0</v>
      </c>
      <c r="S74" s="246">
        <v>0</v>
      </c>
      <c r="T74" s="246">
        <v>0</v>
      </c>
      <c r="U74" s="323">
        <v>0</v>
      </c>
    </row>
    <row r="75" spans="3:21" ht="18.5" x14ac:dyDescent="0.45">
      <c r="C75" s="306" t="str">
        <f>Addendum!E17</f>
        <v>February</v>
      </c>
      <c r="D75" s="307">
        <v>66664.52</v>
      </c>
      <c r="E75" s="246">
        <v>102418.76</v>
      </c>
      <c r="F75" s="246">
        <v>52078.78</v>
      </c>
      <c r="G75" s="246">
        <v>127089.21</v>
      </c>
      <c r="H75" s="246">
        <v>0</v>
      </c>
      <c r="I75" s="308">
        <v>-11502.54</v>
      </c>
      <c r="J75" s="309">
        <f t="shared" si="25"/>
        <v>336748.73000000004</v>
      </c>
      <c r="K75" s="311">
        <v>189</v>
      </c>
      <c r="L75" s="307">
        <f>80.3+52.03+96.66+162.26</f>
        <v>391.25</v>
      </c>
      <c r="M75" s="246">
        <v>0</v>
      </c>
      <c r="N75" s="246">
        <f>25</f>
        <v>25</v>
      </c>
      <c r="O75" s="246">
        <f>300+1210</f>
        <v>1510</v>
      </c>
      <c r="P75" s="246">
        <f>1705.04</f>
        <v>1705.04</v>
      </c>
      <c r="Q75" s="246">
        <f>57.61+21.22+129.57+185.56+31.01</f>
        <v>424.96999999999997</v>
      </c>
      <c r="R75" s="246">
        <v>0</v>
      </c>
      <c r="S75" s="246">
        <v>-23503</v>
      </c>
      <c r="T75" s="246">
        <v>0</v>
      </c>
      <c r="U75" s="323">
        <v>0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5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5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5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5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742811.08</v>
      </c>
      <c r="E80" s="314">
        <f t="shared" ref="E80:J80" si="26">SUM(E68:E79)</f>
        <v>683207.55</v>
      </c>
      <c r="F80" s="314">
        <f t="shared" si="26"/>
        <v>537294.78</v>
      </c>
      <c r="G80" s="314">
        <f t="shared" si="26"/>
        <v>566032.6</v>
      </c>
      <c r="H80" s="314">
        <f t="shared" si="26"/>
        <v>266395.69</v>
      </c>
      <c r="I80" s="315">
        <f t="shared" si="26"/>
        <v>-92324.62</v>
      </c>
      <c r="J80" s="316">
        <f t="shared" si="26"/>
        <v>2703417.08</v>
      </c>
      <c r="K80" s="317">
        <f>SUM(K68:K79)</f>
        <v>1517</v>
      </c>
      <c r="L80" s="313">
        <f>SUM(L68:L79)</f>
        <v>1382.28</v>
      </c>
      <c r="M80" s="314">
        <f t="shared" ref="M80:U80" si="27">SUM(M68:M79)</f>
        <v>3774.83</v>
      </c>
      <c r="N80" s="314">
        <f t="shared" si="27"/>
        <v>125</v>
      </c>
      <c r="O80" s="314">
        <f t="shared" si="27"/>
        <v>14660</v>
      </c>
      <c r="P80" s="314">
        <f t="shared" si="27"/>
        <v>2346.92</v>
      </c>
      <c r="Q80" s="314">
        <f t="shared" si="27"/>
        <v>1685.4400000000003</v>
      </c>
      <c r="R80" s="314">
        <f t="shared" si="27"/>
        <v>0</v>
      </c>
      <c r="S80" s="314">
        <f t="shared" si="27"/>
        <v>-23503</v>
      </c>
      <c r="T80" s="314">
        <f t="shared" si="27"/>
        <v>0</v>
      </c>
      <c r="U80" s="322">
        <f t="shared" si="27"/>
        <v>-40615.370000000003</v>
      </c>
    </row>
  </sheetData>
  <mergeCells count="20">
    <mergeCell ref="L66:U66"/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D66:H66"/>
    <mergeCell ref="I66:I67"/>
    <mergeCell ref="J66:J67"/>
    <mergeCell ref="K66:K67"/>
  </mergeCells>
  <conditionalFormatting sqref="D51:P51">
    <cfRule type="cellIs" dxfId="3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CF96E-D6DF-4120-B23C-CFDDD3D49109}">
  <sheetPr codeName="Sheet26">
    <tabColor theme="6" tint="0.39997558519241921"/>
    <pageSetUpPr fitToPage="1"/>
  </sheetPr>
  <dimension ref="B1:U80"/>
  <sheetViews>
    <sheetView view="pageBreakPreview" topLeftCell="A40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180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Entry'!$D$3:$D$500,MATCH(1,INDEX((ValleyGrove!$C$7='Cash Flow Entry'!$B$3:$B$500)*(VALUE(ValleyGrove!D$7)='Cash Flow Entry'!$C$3:$C$500),0,1),0)),"")</f>
        <v>101</v>
      </c>
      <c r="E8" s="256" cm="1">
        <f t="array" ref="E8">IFERROR(INDEX('Cash Flow Entry'!$D$3:$D$500,MATCH(1,INDEX((ValleyGrove!$C$7='Cash Flow Entry'!$B$3:$B$500)*(VALUE(ValleyGrove!E$7)='Cash Flow Entry'!$C$3:$C$500),0,1),0)),"")</f>
        <v>99</v>
      </c>
      <c r="F8" s="257" cm="1">
        <f t="array" ref="F8">IFERROR(INDEX('Cash Flow Entry'!$D$3:$D$500,MATCH(1,INDEX((ValleyGrove!$C$7='Cash Flow Entry'!$B$3:$B$500)*(VALUE(ValleyGrove!F$7)='Cash Flow Entry'!$C$3:$C$500),0,1),0)),"")</f>
        <v>102</v>
      </c>
      <c r="G8" s="255" cm="1">
        <f t="array" ref="G8">IFERROR(INDEX('Cash Flow Entry'!$D$3:$D$500,MATCH(1,INDEX((ValleyGrove!$C$7='Cash Flow Entry'!$B$3:$B$500)*(VALUE(ValleyGrove!G$7)='Cash Flow Entry'!$C$3:$C$500),0,1),0)),"")</f>
        <v>104</v>
      </c>
      <c r="H8" s="256" cm="1">
        <f t="array" ref="H8">IFERROR(INDEX('Cash Flow Entry'!$D$3:$D$500,MATCH(1,INDEX((ValleyGrove!$C$7='Cash Flow Entry'!$B$3:$B$500)*(VALUE(ValleyGrove!H$7)='Cash Flow Entry'!$C$3:$C$500),0,1),0)),"")</f>
        <v>102</v>
      </c>
      <c r="I8" s="257" cm="1">
        <f t="array" ref="I8">IFERROR(INDEX('Cash Flow Entry'!$D$3:$D$500,MATCH(1,INDEX((ValleyGrove!$C$7='Cash Flow Entry'!$B$3:$B$500)*(VALUE(ValleyGrove!I$7)='Cash Flow Entry'!$C$3:$C$500),0,1),0)),"")</f>
        <v>102</v>
      </c>
      <c r="J8" s="256" cm="1">
        <f t="array" ref="J8">IFERROR(INDEX('Cash Flow Entry'!$D$3:$D$500,MATCH(1,INDEX((ValleyGrove!$C$7='Cash Flow Entry'!$B$3:$B$500)*(VALUE(ValleyGrove!J$7)='Cash Flow Entry'!$C$3:$C$500),0,1),0)),"")</f>
        <v>103</v>
      </c>
      <c r="K8" s="256" cm="1">
        <f t="array" ref="K8">IFERROR(INDEX('Cash Flow Entry'!$D$3:$D$500,MATCH(1,INDEX((ValleyGrove!$C$7='Cash Flow Entry'!$B$3:$B$500)*(VALUE(ValleyGrove!K$7)='Cash Flow Entry'!$C$3:$C$500),0,1),0)),"")</f>
        <v>102</v>
      </c>
      <c r="L8" s="256" t="str" cm="1">
        <f t="array" ref="L8">IFERROR(INDEX('Cash Flow Entry'!$D$3:$D$500,MATCH(1,INDEX((ValleyGrove!$C$7='Cash Flow Entry'!$B$3:$B$500)*(VALUE(ValleyGrove!L$7)='Cash Flow Entry'!$C$3:$C$500),0,1),0)),"")</f>
        <v/>
      </c>
      <c r="M8" s="255" t="str" cm="1">
        <f t="array" ref="M8">IFERROR(INDEX('Cash Flow Entry'!$D$3:$D$500,MATCH(1,INDEX((ValleyGrove!$C$7='Cash Flow Entry'!$B$3:$B$500)*(VALUE(ValleyGrove!M$7)='Cash Flow Entry'!$C$3:$C$500),0,1),0)),"")</f>
        <v/>
      </c>
      <c r="N8" s="256" t="str" cm="1">
        <f t="array" ref="N8">IFERROR(INDEX('Cash Flow Entry'!$D$3:$D$500,MATCH(1,INDEX((ValleyGrove!$C$7='Cash Flow Entry'!$B$3:$B$500)*(VALUE(ValleyGrove!N$7)='Cash Flow Entry'!$C$3:$C$500),0,1),0)),"")</f>
        <v/>
      </c>
      <c r="O8" s="258" t="str" cm="1">
        <f t="array" ref="O8">IFERROR(INDEX('Cash Flow Entry'!$D$3:$D$500,MATCH(1,INDEX((ValleyGrove!$C$7='Cash Flow Entry'!$B$3:$B$500)*(VALUE(ValleyGrove!O$7)='Cash Flow Entry'!$C$3:$C$500),0,1),0)),"")</f>
        <v/>
      </c>
      <c r="P8" s="259">
        <f>SUM(D8:O8)</f>
        <v>815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Entry'!$E$3:$E$500,MATCH(1,INDEX((ValleyGrove!$C$7='Cash Flow Entry'!$B$3:$B$500)*(VALUE(ValleyGrove!D$7)='Cash Flow Entry'!$C$3:$C$500),0,1),0)),"")</f>
        <v>254</v>
      </c>
      <c r="E9" s="256" cm="1">
        <f t="array" ref="E9">IFERROR(INDEX('Cash Flow Entry'!$E$3:$E$500,MATCH(1,INDEX((ValleyGrove!$C$7='Cash Flow Entry'!$B$3:$B$500)*(VALUE(ValleyGrove!E$7)='Cash Flow Entry'!$C$3:$C$500),0,1),0)),"")</f>
        <v>250</v>
      </c>
      <c r="F9" s="257" cm="1">
        <f t="array" ref="F9">IFERROR(INDEX('Cash Flow Entry'!$E$3:$E$500,MATCH(1,INDEX((ValleyGrove!$C$7='Cash Flow Entry'!$B$3:$B$500)*(VALUE(ValleyGrove!F$7)='Cash Flow Entry'!$C$3:$C$500),0,1),0)),"")</f>
        <v>251</v>
      </c>
      <c r="G9" s="255" cm="1">
        <f t="array" ref="G9">IFERROR(INDEX('Cash Flow Entry'!$E$3:$E$500,MATCH(1,INDEX((ValleyGrove!$C$7='Cash Flow Entry'!$B$3:$B$500)*(VALUE(ValleyGrove!G$7)='Cash Flow Entry'!$C$3:$C$500),0,1),0)),"")</f>
        <v>255</v>
      </c>
      <c r="H9" s="256" cm="1">
        <f t="array" ref="H9">IFERROR(INDEX('Cash Flow Entry'!$E$3:$E$500,MATCH(1,INDEX((ValleyGrove!$C$7='Cash Flow Entry'!$B$3:$B$500)*(VALUE(ValleyGrove!H$7)='Cash Flow Entry'!$C$3:$C$500),0,1),0)),"")</f>
        <v>253</v>
      </c>
      <c r="I9" s="257" cm="1">
        <f t="array" ref="I9">IFERROR(INDEX('Cash Flow Entry'!$E$3:$E$500,MATCH(1,INDEX((ValleyGrove!$C$7='Cash Flow Entry'!$B$3:$B$500)*(VALUE(ValleyGrove!I$7)='Cash Flow Entry'!$C$3:$C$500),0,1),0)),"")</f>
        <v>251</v>
      </c>
      <c r="J9" s="256" cm="1">
        <f t="array" ref="J9">IFERROR(INDEX('Cash Flow Entry'!$E$3:$E$500,MATCH(1,INDEX((ValleyGrove!$C$7='Cash Flow Entry'!$B$3:$B$500)*(VALUE(ValleyGrove!J$7)='Cash Flow Entry'!$C$3:$C$500),0,1),0)),"")</f>
        <v>252</v>
      </c>
      <c r="K9" s="256" cm="1">
        <f t="array" ref="K9">IFERROR(INDEX('Cash Flow Entry'!$E$3:$E$500,MATCH(1,INDEX((ValleyGrove!$C$7='Cash Flow Entry'!$B$3:$B$500)*(VALUE(ValleyGrove!K$7)='Cash Flow Entry'!$C$3:$C$500),0,1),0)),"")</f>
        <v>249</v>
      </c>
      <c r="L9" s="256" t="str" cm="1">
        <f t="array" ref="L9">IFERROR(INDEX('Cash Flow Entry'!$E$3:$E$500,MATCH(1,INDEX((ValleyGrove!$C$7='Cash Flow Entry'!$B$3:$B$500)*(VALUE(ValleyGrove!L$7)='Cash Flow Entry'!$C$3:$C$500),0,1),0)),"")</f>
        <v/>
      </c>
      <c r="M9" s="255" t="str" cm="1">
        <f t="array" ref="M9">IFERROR(INDEX('Cash Flow Entry'!$E$3:$E$500,MATCH(1,INDEX((ValleyGrove!$C$7='Cash Flow Entry'!$B$3:$B$500)*(VALUE(ValleyGrove!M$7)='Cash Flow Entry'!$C$3:$C$500),0,1),0)),"")</f>
        <v/>
      </c>
      <c r="N9" s="256" t="str" cm="1">
        <f t="array" ref="N9">IFERROR(INDEX('Cash Flow Entry'!$E$3:$E$500,MATCH(1,INDEX((ValleyGrove!$C$7='Cash Flow Entry'!$B$3:$B$500)*(VALUE(ValleyGrove!N$7)='Cash Flow Entry'!$C$3:$C$500),0,1),0)),"")</f>
        <v/>
      </c>
      <c r="O9" s="258" t="str" cm="1">
        <f t="array" ref="O9">IFERROR(INDEX('Cash Flow Entry'!$E$3:$E$500,MATCH(1,INDEX((ValleyGrove!$C$7='Cash Flow Entry'!$B$3:$B$500)*(VALUE(ValleyGrove!O$7)='Cash Flow Entry'!$C$3:$C$500),0,1),0)),"")</f>
        <v/>
      </c>
      <c r="P9" s="259">
        <f>SUM(D9:O9)</f>
        <v>2015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$1,880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$1,409.09</v>
      </c>
      <c r="N10" s="645"/>
      <c r="O10" s="647"/>
      <c r="P10" s="265">
        <f>P14</f>
        <v>1148406.0999999999</v>
      </c>
      <c r="Q10" s="534">
        <v>1879.99</v>
      </c>
      <c r="R10" s="305">
        <f>Q10*P8</f>
        <v>1532191.85</v>
      </c>
      <c r="S10" s="305"/>
    </row>
    <row r="11" spans="2:20" ht="18.5" x14ac:dyDescent="0.45">
      <c r="B11" s="213" t="s">
        <v>191</v>
      </c>
      <c r="C11" s="267" t="s">
        <v>194</v>
      </c>
      <c r="D11" s="268">
        <v>0</v>
      </c>
      <c r="E11" s="234">
        <v>184141</v>
      </c>
      <c r="F11" s="234">
        <v>189665.23</v>
      </c>
      <c r="G11" s="268">
        <v>193638.97</v>
      </c>
      <c r="H11" s="234">
        <v>195518.96</v>
      </c>
      <c r="I11" s="269">
        <v>193638.97</v>
      </c>
      <c r="J11" s="234">
        <v>193638.97</v>
      </c>
      <c r="K11" s="234"/>
      <c r="L11" s="234"/>
      <c r="M11" s="268"/>
      <c r="N11" s="234"/>
      <c r="O11" s="270"/>
      <c r="P11" s="234">
        <f>SUM(D11:O11)</f>
        <v>1150242.0999999999</v>
      </c>
      <c r="Q11" s="302"/>
    </row>
    <row r="12" spans="2:20" ht="18.5" x14ac:dyDescent="0.45">
      <c r="C12" s="267" t="s">
        <v>195</v>
      </c>
      <c r="D12" s="268">
        <f>IF(D$8="","",IF(D$11=0,0,D$8*$Q12))</f>
        <v>0</v>
      </c>
      <c r="E12" s="234">
        <f t="shared" ref="E12:O12" si="0">IF(E$8="","",IF(E$11=0,0,E$8*$Q12))</f>
        <v>-297</v>
      </c>
      <c r="F12" s="269">
        <f t="shared" si="0"/>
        <v>-306</v>
      </c>
      <c r="G12" s="268">
        <f t="shared" si="0"/>
        <v>-312</v>
      </c>
      <c r="H12" s="234">
        <f t="shared" si="0"/>
        <v>-306</v>
      </c>
      <c r="I12" s="269">
        <f t="shared" si="0"/>
        <v>-306</v>
      </c>
      <c r="J12" s="234">
        <f t="shared" si="0"/>
        <v>-309</v>
      </c>
      <c r="K12" s="234">
        <f t="shared" si="0"/>
        <v>0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-1836</v>
      </c>
      <c r="Q12" s="533">
        <v>-3</v>
      </c>
    </row>
    <row r="13" spans="2:20" ht="18.5" x14ac:dyDescent="0.45">
      <c r="B13" s="213" t="s">
        <v>191</v>
      </c>
      <c r="C13" s="470" t="s">
        <v>196</v>
      </c>
      <c r="D13" s="458">
        <f t="shared" ref="D13:O13" si="2">IF(D$8="","",0)</f>
        <v>0</v>
      </c>
      <c r="E13" s="234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0</v>
      </c>
      <c r="E14" s="274">
        <f t="shared" ref="E14:O14" si="3">IF(E8="","",SUM(E11:E13))</f>
        <v>183844</v>
      </c>
      <c r="F14" s="275">
        <f t="shared" si="3"/>
        <v>189359.23</v>
      </c>
      <c r="G14" s="273">
        <f t="shared" si="3"/>
        <v>193326.97</v>
      </c>
      <c r="H14" s="274">
        <f t="shared" si="3"/>
        <v>195212.96</v>
      </c>
      <c r="I14" s="275">
        <f t="shared" si="3"/>
        <v>193332.97</v>
      </c>
      <c r="J14" s="274">
        <f t="shared" si="3"/>
        <v>193329.97</v>
      </c>
      <c r="K14" s="274">
        <f t="shared" si="3"/>
        <v>0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1148406.0999999999</v>
      </c>
      <c r="Q14" s="533"/>
    </row>
    <row r="15" spans="2:20" ht="18.5" x14ac:dyDescent="0.45">
      <c r="C15" s="161"/>
      <c r="D15" s="563" t="s">
        <v>360</v>
      </c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$1,319</v>
      </c>
      <c r="E16" s="645"/>
      <c r="F16" s="646"/>
      <c r="G16" s="644" t="str">
        <f>"Admin, Reinsurance, &amp; Misc. PEPM: "&amp;DOLLAR(SUM($P36,$P42,$P49)/$P$8,0)</f>
        <v>Admin, Reinsurance, &amp; Misc. PEPM: $571</v>
      </c>
      <c r="H16" s="645"/>
      <c r="I16" s="646"/>
      <c r="J16" s="644" t="str">
        <f>"Total Expenses PEPM: "&amp;DOLLAR($P16/$P$8,0)</f>
        <v>Total Expenses PEPM: $1,890</v>
      </c>
      <c r="K16" s="645"/>
      <c r="L16" s="646"/>
      <c r="M16" s="644" t="str">
        <f>"Projection Variance: "&amp;TEXT(($P$16/$P$8)/$Q$10-1,"0.00%")</f>
        <v>Projection Variance: 0.54%</v>
      </c>
      <c r="N16" s="645"/>
      <c r="O16" s="647"/>
      <c r="P16" s="265">
        <f>SUM(P26,P36,P42,P49)</f>
        <v>1540436.500526316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Entry'!$F$3:$F$500,MATCH(1,INDEX((ValleyGrove!$C$7='Cash Flow Entry'!$B$3:$B$500)*(VALUE(ValleyGrove!D$7)='Cash Flow Entry'!$C$3:$C$500),0,1),0)),"")+IFERROR(INDEX('Cash Flow Entry'!$H$3:$H$500,MATCH(1,INDEX((ValleyGrove!$C$7='Cash Flow Entry'!$B$3:$B$500)*(VALUE(ValleyGrove!D$7)='Cash Flow Entry'!$C$3:$C$500),0,1),0)),""),"")</f>
        <v>111649.28</v>
      </c>
      <c r="E18" s="234" cm="1">
        <f t="array" ref="E18">IFERROR(IFERROR(INDEX('Cash Flow Entry'!$F$3:$F$500,MATCH(1,INDEX((ValleyGrove!$C$7='Cash Flow Entry'!$B$3:$B$500)*(VALUE(ValleyGrove!E$7)='Cash Flow Entry'!$C$3:$C$500),0,1),0)),"")+IFERROR(INDEX('Cash Flow Entry'!$H$3:$H$500,MATCH(1,INDEX((ValleyGrove!$C$7='Cash Flow Entry'!$B$3:$B$500)*(VALUE(ValleyGrove!E$7)='Cash Flow Entry'!$C$3:$C$500),0,1),0)),""),"")</f>
        <v>219762.22</v>
      </c>
      <c r="F18" s="269" cm="1">
        <f t="array" ref="F18">IFERROR(IFERROR(INDEX('Cash Flow Entry'!$F$3:$F$500,MATCH(1,INDEX((ValleyGrove!$C$7='Cash Flow Entry'!$B$3:$B$500)*(VALUE(ValleyGrove!F$7)='Cash Flow Entry'!$C$3:$C$500),0,1),0)),"")+IFERROR(INDEX('Cash Flow Entry'!$H$3:$H$500,MATCH(1,INDEX((ValleyGrove!$C$7='Cash Flow Entry'!$B$3:$B$500)*(VALUE(ValleyGrove!F$7)='Cash Flow Entry'!$C$3:$C$500),0,1),0)),""),"")</f>
        <v>91484.659999999989</v>
      </c>
      <c r="G18" s="268" cm="1">
        <f t="array" ref="G18">IFERROR(IFERROR(INDEX('Cash Flow Entry'!$F$3:$F$500,MATCH(1,INDEX((ValleyGrove!$C$7='Cash Flow Entry'!$B$3:$B$500)*(VALUE(ValleyGrove!G$7)='Cash Flow Entry'!$C$3:$C$500),0,1),0)),"")+IFERROR(INDEX('Cash Flow Entry'!$H$3:$H$500,MATCH(1,INDEX((ValleyGrove!$C$7='Cash Flow Entry'!$B$3:$B$500)*(VALUE(ValleyGrove!G$7)='Cash Flow Entry'!$C$3:$C$500),0,1),0)),""),"")</f>
        <v>45894.65</v>
      </c>
      <c r="H18" s="234" cm="1">
        <f t="array" ref="H18">IFERROR(IFERROR(INDEX('Cash Flow Entry'!$F$3:$F$500,MATCH(1,INDEX((ValleyGrove!$C$7='Cash Flow Entry'!$B$3:$B$500)*(VALUE(ValleyGrove!H$7)='Cash Flow Entry'!$C$3:$C$500),0,1),0)),"")+IFERROR(INDEX('Cash Flow Entry'!$H$3:$H$500,MATCH(1,INDEX((ValleyGrove!$C$7='Cash Flow Entry'!$B$3:$B$500)*(VALUE(ValleyGrove!H$7)='Cash Flow Entry'!$C$3:$C$500),0,1),0)),""),"")</f>
        <v>86693.709999999992</v>
      </c>
      <c r="I18" s="269" cm="1">
        <f t="array" ref="I18">IFERROR(IFERROR(INDEX('Cash Flow Entry'!$F$3:$F$500,MATCH(1,INDEX((ValleyGrove!$C$7='Cash Flow Entry'!$B$3:$B$500)*(VALUE(ValleyGrove!I$7)='Cash Flow Entry'!$C$3:$C$500),0,1),0)),"")+IFERROR(INDEX('Cash Flow Entry'!$H$3:$H$500,MATCH(1,INDEX((ValleyGrove!$C$7='Cash Flow Entry'!$B$3:$B$500)*(VALUE(ValleyGrove!I$7)='Cash Flow Entry'!$C$3:$C$500),0,1),0)),""),"")</f>
        <v>56973.81</v>
      </c>
      <c r="J18" s="234" cm="1">
        <f t="array" ref="J18">IFERROR(IFERROR(INDEX('Cash Flow Entry'!$F$3:$F$500,MATCH(1,INDEX((ValleyGrove!$C$7='Cash Flow Entry'!$B$3:$B$500)*(VALUE(ValleyGrove!J$7)='Cash Flow Entry'!$C$3:$C$500),0,1),0)),"")+IFERROR(INDEX('Cash Flow Entry'!$H$3:$H$500,MATCH(1,INDEX((ValleyGrove!$C$7='Cash Flow Entry'!$B$3:$B$500)*(VALUE(ValleyGrove!J$7)='Cash Flow Entry'!$C$3:$C$500),0,1),0)),""),"")</f>
        <v>139450.84</v>
      </c>
      <c r="K18" s="234" cm="1">
        <f t="array" ref="K18">IFERROR(IFERROR(INDEX('Cash Flow Entry'!$F$3:$F$500,MATCH(1,INDEX((ValleyGrove!$C$7='Cash Flow Entry'!$B$3:$B$500)*(VALUE(ValleyGrove!K$7)='Cash Flow Entry'!$C$3:$C$500),0,1),0)),"")+IFERROR(INDEX('Cash Flow Entry'!$H$3:$H$500,MATCH(1,INDEX((ValleyGrove!$C$7='Cash Flow Entry'!$B$3:$B$500)*(VALUE(ValleyGrove!K$7)='Cash Flow Entry'!$C$3:$C$500),0,1),0)),""),"")</f>
        <v>234792.01</v>
      </c>
      <c r="L18" s="234" t="str" cm="1">
        <f t="array" ref="L18">IFERROR(IFERROR(INDEX('Cash Flow Entry'!$F$3:$F$500,MATCH(1,INDEX((ValleyGrove!$C$7='Cash Flow Entry'!$B$3:$B$500)*(VALUE(ValleyGrove!L$7)='Cash Flow Entry'!$C$3:$C$500),0,1),0)),"")+IFERROR(INDEX('Cash Flow Entry'!$H$3:$H$500,MATCH(1,INDEX((ValleyGrove!$C$7='Cash Flow Entry'!$B$3:$B$500)*(VALUE(ValleyGrove!L$7)='Cash Flow Entry'!$C$3:$C$500),0,1),0)),""),"")</f>
        <v/>
      </c>
      <c r="M18" s="268" t="str" cm="1">
        <f t="array" ref="M18">IFERROR(IFERROR(INDEX('Cash Flow Entry'!$F$3:$F$500,MATCH(1,INDEX((ValleyGrove!$C$7='Cash Flow Entry'!$B$3:$B$500)*(VALUE(ValleyGrove!M$7)='Cash Flow Entry'!$C$3:$C$500),0,1),0)),"")+IFERROR(INDEX('Cash Flow Entry'!$H$3:$H$500,MATCH(1,INDEX((ValleyGrove!$C$7='Cash Flow Entry'!$B$3:$B$500)*(VALUE(ValleyGrove!M$7)='Cash Flow Entry'!$C$3:$C$500),0,1),0)),""),"")</f>
        <v/>
      </c>
      <c r="N18" s="234" t="str" cm="1">
        <f t="array" ref="N18">IFERROR(IFERROR(INDEX('Cash Flow Entry'!$F$3:$F$500,MATCH(1,INDEX((ValleyGrove!$C$7='Cash Flow Entry'!$B$3:$B$500)*(VALUE(ValleyGrove!N$7)='Cash Flow Entry'!$C$3:$C$500),0,1),0)),"")+IFERROR(INDEX('Cash Flow Entry'!$H$3:$H$500,MATCH(1,INDEX((ValleyGrove!$C$7='Cash Flow Entry'!$B$3:$B$500)*(VALUE(ValleyGrove!N$7)='Cash Flow Entry'!$C$3:$C$500),0,1),0)),""),"")</f>
        <v/>
      </c>
      <c r="O18" s="270" t="str" cm="1">
        <f t="array" ref="O18">IFERROR(IFERROR(INDEX('Cash Flow Entry'!$F$3:$F$500,MATCH(1,INDEX((ValleyGrove!$C$7='Cash Flow Entry'!$B$3:$B$500)*(VALUE(ValleyGrove!O$7)='Cash Flow Entry'!$C$3:$C$500),0,1),0)),"")+IFERROR(INDEX('Cash Flow Entry'!$H$3:$H$500,MATCH(1,INDEX((ValleyGrove!$C$7='Cash Flow Entry'!$B$3:$B$500)*(VALUE(ValleyGrove!O$7)='Cash Flow Entry'!$C$3:$C$500),0,1),0)),""),"")</f>
        <v/>
      </c>
      <c r="P18" s="234">
        <f>SUM(D18:O18)</f>
        <v>986701.18</v>
      </c>
      <c r="Q18" s="533">
        <v>872.71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Entry'!$G$3:$G$500,MATCH(1,INDEX((ValleyGrove!$C$7='Cash Flow Entry'!$B$3:$B$500)*(VALUE(ValleyGrove!D$7)='Cash Flow Entry'!$C$3:$C$500),0,1),0)),"")</f>
        <v>31248.87</v>
      </c>
      <c r="E19" s="234" cm="1">
        <f t="array" ref="E19">IFERROR(INDEX('Cash Flow Entry'!$G$3:$G$500,MATCH(1,INDEX((ValleyGrove!$C$7='Cash Flow Entry'!$B$3:$B$500)*(VALUE(ValleyGrove!E$7)='Cash Flow Entry'!$C$3:$C$500),0,1),0)),"")</f>
        <v>49686.35</v>
      </c>
      <c r="F19" s="269" cm="1">
        <f t="array" ref="F19">IFERROR(INDEX('Cash Flow Entry'!$G$3:$G$500,MATCH(1,INDEX((ValleyGrove!$C$7='Cash Flow Entry'!$B$3:$B$500)*(VALUE(ValleyGrove!F$7)='Cash Flow Entry'!$C$3:$C$500),0,1),0)),"")</f>
        <v>39423.31</v>
      </c>
      <c r="G19" s="268" cm="1">
        <f t="array" ref="G19">IFERROR(INDEX('Cash Flow Entry'!$G$3:$G$500,MATCH(1,INDEX((ValleyGrove!$C$7='Cash Flow Entry'!$B$3:$B$500)*(VALUE(ValleyGrove!G$7)='Cash Flow Entry'!$C$3:$C$500),0,1),0)),"")</f>
        <v>39742.379999999997</v>
      </c>
      <c r="H19" s="234" cm="1">
        <f t="array" ref="H19">IFERROR(INDEX('Cash Flow Entry'!$G$3:$G$500,MATCH(1,INDEX((ValleyGrove!$C$7='Cash Flow Entry'!$B$3:$B$500)*(VALUE(ValleyGrove!H$7)='Cash Flow Entry'!$C$3:$C$500),0,1),0)),"")</f>
        <v>71036.350000000006</v>
      </c>
      <c r="I19" s="269" cm="1">
        <f t="array" ref="I19">IFERROR(INDEX('Cash Flow Entry'!$G$3:$G$500,MATCH(1,INDEX((ValleyGrove!$C$7='Cash Flow Entry'!$B$3:$B$500)*(VALUE(ValleyGrove!I$7)='Cash Flow Entry'!$C$3:$C$500),0,1),0)),"")</f>
        <v>42115.24</v>
      </c>
      <c r="J19" s="234" cm="1">
        <f t="array" ref="J19">IFERROR(INDEX('Cash Flow Entry'!$G$3:$G$500,MATCH(1,INDEX((ValleyGrove!$C$7='Cash Flow Entry'!$B$3:$B$500)*(VALUE(ValleyGrove!J$7)='Cash Flow Entry'!$C$3:$C$500),0,1),0)),"")</f>
        <v>51034.239999999998</v>
      </c>
      <c r="K19" s="234" cm="1">
        <f t="array" ref="K19">IFERROR(INDEX('Cash Flow Entry'!$G$3:$G$500,MATCH(1,INDEX((ValleyGrove!$C$7='Cash Flow Entry'!$B$3:$B$500)*(VALUE(ValleyGrove!K$7)='Cash Flow Entry'!$C$3:$C$500),0,1),0)),"")</f>
        <v>42215.95</v>
      </c>
      <c r="L19" s="234" t="str" cm="1">
        <f t="array" ref="L19">IFERROR(INDEX('Cash Flow Entry'!$G$3:$G$500,MATCH(1,INDEX((ValleyGrove!$C$7='Cash Flow Entry'!$B$3:$B$500)*(VALUE(ValleyGrove!L$7)='Cash Flow Entry'!$C$3:$C$500),0,1),0)),"")</f>
        <v/>
      </c>
      <c r="M19" s="268" t="str" cm="1">
        <f t="array" ref="M19">IFERROR(INDEX('Cash Flow Entry'!$G$3:$G$500,MATCH(1,INDEX((ValleyGrove!$C$7='Cash Flow Entry'!$B$3:$B$500)*(VALUE(ValleyGrove!M$7)='Cash Flow Entry'!$C$3:$C$500),0,1),0)),"")</f>
        <v/>
      </c>
      <c r="N19" s="234" t="str" cm="1">
        <f t="array" ref="N19">IFERROR(INDEX('Cash Flow Entry'!$G$3:$G$500,MATCH(1,INDEX((ValleyGrove!$C$7='Cash Flow Entry'!$B$3:$B$500)*(VALUE(ValleyGrove!N$7)='Cash Flow Entry'!$C$3:$C$500),0,1),0)),"")</f>
        <v/>
      </c>
      <c r="O19" s="270" t="str" cm="1">
        <f t="array" ref="O19">IFERROR(INDEX('Cash Flow Entry'!$G$3:$G$500,MATCH(1,INDEX((ValleyGrove!$C$7='Cash Flow Entry'!$B$3:$B$500)*(VALUE(ValleyGrove!O$7)='Cash Flow Entry'!$C$3:$C$500),0,1),0)),"")</f>
        <v/>
      </c>
      <c r="P19" s="234">
        <f>SUM(D19:O19)</f>
        <v>366502.69</v>
      </c>
      <c r="Q19" s="533">
        <v>388.06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ht="18.5" x14ac:dyDescent="0.45">
      <c r="B21" s="219">
        <f>INDEX('HCC Summary'!$I$9:$I$27,MATCH(ValleyGrove!C7,'HCC Summary'!B9:B27, 0))</f>
        <v>192656.02</v>
      </c>
      <c r="C21" s="282" t="s">
        <v>225</v>
      </c>
      <c r="D21" s="283">
        <v>0</v>
      </c>
      <c r="E21" s="284">
        <v>73266.649999999994</v>
      </c>
      <c r="F21" s="285">
        <v>77900.14</v>
      </c>
      <c r="G21" s="283">
        <v>78328.600000000006</v>
      </c>
      <c r="H21" s="284">
        <v>78328.600000000006</v>
      </c>
      <c r="I21" s="285">
        <v>78328.600000000006</v>
      </c>
      <c r="J21" s="284">
        <v>78328.600000000006</v>
      </c>
      <c r="K21" s="284">
        <v>192656.02</v>
      </c>
      <c r="L21" s="284"/>
      <c r="M21" s="283"/>
      <c r="N21" s="284"/>
      <c r="O21" s="286"/>
      <c r="P21" s="641">
        <f>SUM(D22:O22)</f>
        <v>-192656.02</v>
      </c>
      <c r="Q21" s="533"/>
    </row>
    <row r="22" spans="2:17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-73266.649999999994</v>
      </c>
      <c r="F22" s="269">
        <f t="shared" si="5"/>
        <v>-4633.4900000000052</v>
      </c>
      <c r="G22" s="268">
        <f t="shared" si="5"/>
        <v>-428.4600000000064</v>
      </c>
      <c r="H22" s="234">
        <f t="shared" si="5"/>
        <v>0</v>
      </c>
      <c r="I22" s="269">
        <f t="shared" si="5"/>
        <v>0</v>
      </c>
      <c r="J22" s="234">
        <f t="shared" si="5"/>
        <v>0</v>
      </c>
      <c r="K22" s="234">
        <f t="shared" si="5"/>
        <v>-114327.41999999998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7" ht="18.5" x14ac:dyDescent="0.45">
      <c r="C23" s="267" t="s">
        <v>363</v>
      </c>
      <c r="D23" s="268">
        <f>IF(D$8="","",$U68)</f>
        <v>0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0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0</v>
      </c>
      <c r="Q23" s="533"/>
    </row>
    <row r="24" spans="2:17" ht="18.5" x14ac:dyDescent="0.45">
      <c r="C24" s="267" t="s">
        <v>25</v>
      </c>
      <c r="D24" s="268">
        <f t="shared" ref="D24:O24" si="7">IF(D$8="","",D$8*$Q$24)</f>
        <v>-11110</v>
      </c>
      <c r="E24" s="234">
        <f t="shared" si="7"/>
        <v>-10890</v>
      </c>
      <c r="F24" s="269">
        <f t="shared" si="7"/>
        <v>-11220</v>
      </c>
      <c r="G24" s="268">
        <f t="shared" si="7"/>
        <v>-11440</v>
      </c>
      <c r="H24" s="234">
        <f t="shared" si="7"/>
        <v>-11220</v>
      </c>
      <c r="I24" s="269">
        <f t="shared" si="7"/>
        <v>-11220</v>
      </c>
      <c r="J24" s="234">
        <f t="shared" si="7"/>
        <v>-11330</v>
      </c>
      <c r="K24" s="234">
        <f t="shared" si="7"/>
        <v>-11220</v>
      </c>
      <c r="L24" s="234" t="str">
        <f t="shared" si="7"/>
        <v/>
      </c>
      <c r="M24" s="268" t="str">
        <f t="shared" si="7"/>
        <v/>
      </c>
      <c r="N24" s="234" t="str">
        <f t="shared" si="7"/>
        <v/>
      </c>
      <c r="O24" s="270" t="str">
        <f t="shared" si="7"/>
        <v/>
      </c>
      <c r="P24" s="234">
        <f t="shared" si="6"/>
        <v>-89650</v>
      </c>
      <c r="Q24" s="533">
        <v>-110</v>
      </c>
    </row>
    <row r="25" spans="2:17" ht="18.5" x14ac:dyDescent="0.45">
      <c r="B25" s="213"/>
      <c r="C25" s="267" t="s">
        <v>199</v>
      </c>
      <c r="D25" s="268">
        <f>IF(D$8="","",SUM($L68:$R68))</f>
        <v>3026.01</v>
      </c>
      <c r="E25" s="234">
        <f>IF(E$8="","",SUM($L69:$R69))</f>
        <v>1407.87</v>
      </c>
      <c r="F25" s="269">
        <f>IF(F$8="","",SUM($L70:$R70))</f>
        <v>1482.44</v>
      </c>
      <c r="G25" s="268">
        <f>IF(G$8="","",SUM($L71:$R71))</f>
        <v>1573.42</v>
      </c>
      <c r="H25" s="234">
        <f>IF(H$8="","",SUM($L72:$R72))</f>
        <v>2388.5099999999998</v>
      </c>
      <c r="I25" s="269">
        <f>IF(I$8="","",SUM($L73:$R73))</f>
        <v>1792.8</v>
      </c>
      <c r="J25" s="234">
        <f>IF(J$8="","",SUM($L74:$R74))</f>
        <v>3539.3</v>
      </c>
      <c r="K25" s="234">
        <f>IF(K$8="","",SUM($L75:$S75))</f>
        <v>-11411.06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3799.2899999999991</v>
      </c>
      <c r="Q25" s="533"/>
    </row>
    <row r="26" spans="2:17" ht="18.5" x14ac:dyDescent="0.45">
      <c r="C26" s="272" t="s">
        <v>200</v>
      </c>
      <c r="D26" s="273">
        <f>IF(D8="","",SUM(D18:D20,D22:D25))</f>
        <v>134814.16</v>
      </c>
      <c r="E26" s="274">
        <f t="shared" ref="E26:L26" si="8">IF(E8="","",SUM(E18:E20,E22:E25))</f>
        <v>186699.79</v>
      </c>
      <c r="F26" s="275">
        <f t="shared" si="8"/>
        <v>116536.91999999998</v>
      </c>
      <c r="G26" s="273">
        <f t="shared" si="8"/>
        <v>75341.989999999991</v>
      </c>
      <c r="H26" s="274">
        <f t="shared" si="8"/>
        <v>148898.57</v>
      </c>
      <c r="I26" s="275">
        <f t="shared" si="8"/>
        <v>89661.849999999991</v>
      </c>
      <c r="J26" s="273">
        <f t="shared" si="8"/>
        <v>182694.37999999998</v>
      </c>
      <c r="K26" s="274">
        <f t="shared" si="8"/>
        <v>140049.48000000004</v>
      </c>
      <c r="L26" s="275" t="str">
        <f t="shared" si="8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9">IF(O8="","",SUM(O18:O19,O22:O25))</f>
        <v/>
      </c>
      <c r="P26" s="274">
        <f>SUM(P18:P25)</f>
        <v>1074697.1400000001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ht="18.5" x14ac:dyDescent="0.45">
      <c r="C28" s="267" t="s">
        <v>223</v>
      </c>
      <c r="D28" s="268">
        <f>IF(D$8="","",D$8*$Q28)</f>
        <v>4054.14</v>
      </c>
      <c r="E28" s="234">
        <f t="shared" ref="E28:O35" si="10">IF(E$8="","",E$8*$Q28)</f>
        <v>3973.86</v>
      </c>
      <c r="F28" s="269">
        <f t="shared" si="10"/>
        <v>4094.28</v>
      </c>
      <c r="G28" s="268">
        <f t="shared" si="10"/>
        <v>4174.5600000000004</v>
      </c>
      <c r="H28" s="234">
        <f t="shared" si="10"/>
        <v>4094.28</v>
      </c>
      <c r="I28" s="269">
        <f t="shared" si="10"/>
        <v>4094.28</v>
      </c>
      <c r="J28" s="234">
        <f t="shared" si="10"/>
        <v>4134.42</v>
      </c>
      <c r="K28" s="234">
        <f t="shared" si="10"/>
        <v>4094.28</v>
      </c>
      <c r="L28" s="234" t="str">
        <f t="shared" si="10"/>
        <v/>
      </c>
      <c r="M28" s="268" t="str">
        <f t="shared" si="10"/>
        <v/>
      </c>
      <c r="N28" s="234" t="str">
        <f t="shared" si="10"/>
        <v/>
      </c>
      <c r="O28" s="270" t="str">
        <f t="shared" si="10"/>
        <v/>
      </c>
      <c r="P28" s="234">
        <f>SUM(D28:O28)</f>
        <v>32714.1</v>
      </c>
      <c r="Q28" s="533">
        <v>40.14</v>
      </c>
    </row>
    <row r="29" spans="2:17" ht="18.5" x14ac:dyDescent="0.45">
      <c r="C29" s="267" t="s">
        <v>224</v>
      </c>
      <c r="D29" s="268">
        <f t="shared" ref="D29:O35" si="11">IF(D$8="","",D$8*$Q29)</f>
        <v>404</v>
      </c>
      <c r="E29" s="234">
        <f t="shared" si="10"/>
        <v>396</v>
      </c>
      <c r="F29" s="269">
        <f t="shared" si="10"/>
        <v>408</v>
      </c>
      <c r="G29" s="268">
        <f t="shared" si="10"/>
        <v>416</v>
      </c>
      <c r="H29" s="234">
        <f t="shared" si="10"/>
        <v>408</v>
      </c>
      <c r="I29" s="269">
        <f t="shared" si="10"/>
        <v>408</v>
      </c>
      <c r="J29" s="234">
        <f t="shared" si="10"/>
        <v>412</v>
      </c>
      <c r="K29" s="234">
        <f t="shared" si="10"/>
        <v>408</v>
      </c>
      <c r="L29" s="234" t="str">
        <f t="shared" si="10"/>
        <v/>
      </c>
      <c r="M29" s="268" t="str">
        <f t="shared" si="10"/>
        <v/>
      </c>
      <c r="N29" s="234" t="str">
        <f t="shared" si="10"/>
        <v/>
      </c>
      <c r="O29" s="270" t="str">
        <f t="shared" si="10"/>
        <v/>
      </c>
      <c r="P29" s="234">
        <f t="shared" ref="P29:P35" si="12">SUM(D29:O29)</f>
        <v>3260</v>
      </c>
      <c r="Q29" s="533">
        <v>4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10"/>
        <v>0</v>
      </c>
      <c r="F30" s="234">
        <f t="shared" si="10"/>
        <v>0</v>
      </c>
      <c r="G30" s="268">
        <f t="shared" si="10"/>
        <v>0</v>
      </c>
      <c r="H30" s="234">
        <f t="shared" si="10"/>
        <v>0</v>
      </c>
      <c r="I30" s="234">
        <f t="shared" si="10"/>
        <v>0</v>
      </c>
      <c r="J30" s="268">
        <f t="shared" si="10"/>
        <v>0</v>
      </c>
      <c r="K30" s="234">
        <f t="shared" si="10"/>
        <v>0</v>
      </c>
      <c r="L30" s="234" t="str">
        <f t="shared" si="10"/>
        <v/>
      </c>
      <c r="M30" s="268" t="str">
        <f t="shared" si="10"/>
        <v/>
      </c>
      <c r="N30" s="234" t="str">
        <f t="shared" si="10"/>
        <v/>
      </c>
      <c r="O30" s="270" t="str">
        <f t="shared" si="10"/>
        <v/>
      </c>
      <c r="P30" s="234">
        <f t="shared" si="12"/>
        <v>0</v>
      </c>
      <c r="Q30" s="533">
        <v>0</v>
      </c>
    </row>
    <row r="31" spans="2:17" ht="18.5" x14ac:dyDescent="0.45">
      <c r="C31" s="267" t="s">
        <v>325</v>
      </c>
      <c r="D31" s="268">
        <f t="shared" si="11"/>
        <v>0</v>
      </c>
      <c r="E31" s="234">
        <f t="shared" si="11"/>
        <v>0</v>
      </c>
      <c r="F31" s="234">
        <f t="shared" si="11"/>
        <v>0</v>
      </c>
      <c r="G31" s="268">
        <f t="shared" si="11"/>
        <v>0</v>
      </c>
      <c r="H31" s="234">
        <f t="shared" si="11"/>
        <v>0</v>
      </c>
      <c r="I31" s="234">
        <f t="shared" si="11"/>
        <v>0</v>
      </c>
      <c r="J31" s="268">
        <f t="shared" si="11"/>
        <v>0</v>
      </c>
      <c r="K31" s="234">
        <f t="shared" si="11"/>
        <v>0</v>
      </c>
      <c r="L31" s="234" t="str">
        <f t="shared" si="11"/>
        <v/>
      </c>
      <c r="M31" s="268" t="str">
        <f t="shared" si="11"/>
        <v/>
      </c>
      <c r="N31" s="234" t="str">
        <f t="shared" si="11"/>
        <v/>
      </c>
      <c r="O31" s="270" t="str">
        <f t="shared" si="11"/>
        <v/>
      </c>
      <c r="P31" s="234">
        <f t="shared" si="12"/>
        <v>0</v>
      </c>
      <c r="Q31" s="533">
        <v>0</v>
      </c>
    </row>
    <row r="32" spans="2:17" ht="18.5" x14ac:dyDescent="0.45">
      <c r="C32" s="267" t="s">
        <v>247</v>
      </c>
      <c r="D32" s="268">
        <f t="shared" si="11"/>
        <v>0</v>
      </c>
      <c r="E32" s="234">
        <f t="shared" si="11"/>
        <v>0</v>
      </c>
      <c r="F32" s="269">
        <f t="shared" si="11"/>
        <v>0</v>
      </c>
      <c r="G32" s="268">
        <f t="shared" si="11"/>
        <v>0</v>
      </c>
      <c r="H32" s="234">
        <f t="shared" si="11"/>
        <v>0</v>
      </c>
      <c r="I32" s="269">
        <f t="shared" si="11"/>
        <v>0</v>
      </c>
      <c r="J32" s="234">
        <f t="shared" si="11"/>
        <v>0</v>
      </c>
      <c r="K32" s="234">
        <f t="shared" si="11"/>
        <v>0</v>
      </c>
      <c r="L32" s="234" t="str">
        <f t="shared" si="11"/>
        <v/>
      </c>
      <c r="M32" s="268" t="str">
        <f t="shared" si="11"/>
        <v/>
      </c>
      <c r="N32" s="234" t="str">
        <f t="shared" si="11"/>
        <v/>
      </c>
      <c r="O32" s="270" t="str">
        <f t="shared" si="11"/>
        <v/>
      </c>
      <c r="P32" s="234">
        <f t="shared" si="12"/>
        <v>0</v>
      </c>
      <c r="Q32" s="533">
        <v>0</v>
      </c>
    </row>
    <row r="33" spans="2:18" ht="18.5" x14ac:dyDescent="0.45">
      <c r="C33" s="267" t="s">
        <v>227</v>
      </c>
      <c r="D33" s="268">
        <f t="shared" si="11"/>
        <v>176.75</v>
      </c>
      <c r="E33" s="234">
        <f t="shared" si="10"/>
        <v>173.25</v>
      </c>
      <c r="F33" s="269">
        <f t="shared" si="10"/>
        <v>178.5</v>
      </c>
      <c r="G33" s="268">
        <f t="shared" si="10"/>
        <v>182</v>
      </c>
      <c r="H33" s="234">
        <f t="shared" si="10"/>
        <v>178.5</v>
      </c>
      <c r="I33" s="269">
        <f t="shared" si="10"/>
        <v>178.5</v>
      </c>
      <c r="J33" s="234">
        <f t="shared" si="10"/>
        <v>180.25</v>
      </c>
      <c r="K33" s="234">
        <f t="shared" si="10"/>
        <v>178.5</v>
      </c>
      <c r="L33" s="234" t="str">
        <f t="shared" si="10"/>
        <v/>
      </c>
      <c r="M33" s="268" t="str">
        <f t="shared" si="10"/>
        <v/>
      </c>
      <c r="N33" s="234" t="str">
        <f t="shared" si="10"/>
        <v/>
      </c>
      <c r="O33" s="270" t="str">
        <f t="shared" si="10"/>
        <v/>
      </c>
      <c r="P33" s="234">
        <f t="shared" si="12"/>
        <v>1426.25</v>
      </c>
      <c r="Q33" s="533">
        <v>1.75</v>
      </c>
    </row>
    <row r="34" spans="2:18" ht="18.5" x14ac:dyDescent="0.45">
      <c r="C34" s="267" t="s">
        <v>228</v>
      </c>
      <c r="D34" s="268">
        <f t="shared" si="11"/>
        <v>333.29999999999995</v>
      </c>
      <c r="E34" s="234">
        <f t="shared" si="10"/>
        <v>326.7</v>
      </c>
      <c r="F34" s="269">
        <f t="shared" si="10"/>
        <v>336.59999999999997</v>
      </c>
      <c r="G34" s="268">
        <f t="shared" si="10"/>
        <v>343.2</v>
      </c>
      <c r="H34" s="234">
        <f t="shared" si="10"/>
        <v>336.59999999999997</v>
      </c>
      <c r="I34" s="269">
        <f t="shared" si="10"/>
        <v>336.59999999999997</v>
      </c>
      <c r="J34" s="234">
        <f t="shared" si="10"/>
        <v>339.9</v>
      </c>
      <c r="K34" s="234">
        <f t="shared" si="10"/>
        <v>336.59999999999997</v>
      </c>
      <c r="L34" s="234" t="str">
        <f t="shared" si="10"/>
        <v/>
      </c>
      <c r="M34" s="268" t="str">
        <f t="shared" si="10"/>
        <v/>
      </c>
      <c r="N34" s="234" t="str">
        <f t="shared" si="10"/>
        <v/>
      </c>
      <c r="O34" s="270" t="str">
        <f t="shared" si="10"/>
        <v/>
      </c>
      <c r="P34" s="234">
        <f t="shared" si="12"/>
        <v>2689.4999999999995</v>
      </c>
      <c r="Q34" s="533">
        <v>3.3</v>
      </c>
    </row>
    <row r="35" spans="2:18" ht="18.5" x14ac:dyDescent="0.45">
      <c r="C35" s="267" t="s">
        <v>202</v>
      </c>
      <c r="D35" s="268">
        <f t="shared" si="11"/>
        <v>399.96</v>
      </c>
      <c r="E35" s="234">
        <f t="shared" si="10"/>
        <v>392.04</v>
      </c>
      <c r="F35" s="269">
        <f t="shared" si="10"/>
        <v>403.92</v>
      </c>
      <c r="G35" s="268">
        <f t="shared" si="10"/>
        <v>411.84</v>
      </c>
      <c r="H35" s="234">
        <f t="shared" si="10"/>
        <v>403.92</v>
      </c>
      <c r="I35" s="269">
        <f t="shared" si="10"/>
        <v>403.92</v>
      </c>
      <c r="J35" s="234">
        <f t="shared" si="10"/>
        <v>407.88</v>
      </c>
      <c r="K35" s="234">
        <f t="shared" si="10"/>
        <v>403.92</v>
      </c>
      <c r="L35" s="234" t="str">
        <f t="shared" si="10"/>
        <v/>
      </c>
      <c r="M35" s="268" t="str">
        <f t="shared" si="10"/>
        <v/>
      </c>
      <c r="N35" s="234" t="str">
        <f t="shared" si="10"/>
        <v/>
      </c>
      <c r="O35" s="270" t="str">
        <f t="shared" si="10"/>
        <v/>
      </c>
      <c r="P35" s="234">
        <f t="shared" si="12"/>
        <v>3227.4</v>
      </c>
      <c r="Q35" s="533">
        <v>3.96</v>
      </c>
    </row>
    <row r="36" spans="2:18" ht="18.5" x14ac:dyDescent="0.45">
      <c r="C36" s="272" t="s">
        <v>203</v>
      </c>
      <c r="D36" s="273">
        <f t="shared" ref="D36:P36" si="13">IF(D$8="","",SUM(D28:D35))</f>
        <v>5368.15</v>
      </c>
      <c r="E36" s="274">
        <f t="shared" si="13"/>
        <v>5261.85</v>
      </c>
      <c r="F36" s="275">
        <f t="shared" si="13"/>
        <v>5421.3000000000011</v>
      </c>
      <c r="G36" s="273">
        <f t="shared" si="13"/>
        <v>5527.6</v>
      </c>
      <c r="H36" s="274">
        <f t="shared" si="13"/>
        <v>5421.3000000000011</v>
      </c>
      <c r="I36" s="275">
        <f t="shared" si="13"/>
        <v>5421.3000000000011</v>
      </c>
      <c r="J36" s="274">
        <f t="shared" si="13"/>
        <v>5474.45</v>
      </c>
      <c r="K36" s="274">
        <f t="shared" si="13"/>
        <v>5421.3000000000011</v>
      </c>
      <c r="L36" s="274" t="str">
        <f t="shared" si="13"/>
        <v/>
      </c>
      <c r="M36" s="273" t="str">
        <f t="shared" si="13"/>
        <v/>
      </c>
      <c r="N36" s="274" t="str">
        <f t="shared" si="13"/>
        <v/>
      </c>
      <c r="O36" s="276" t="str">
        <f t="shared" si="13"/>
        <v/>
      </c>
      <c r="P36" s="274">
        <f t="shared" si="13"/>
        <v>43317.25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9975.77</v>
      </c>
      <c r="E38" s="234">
        <f t="shared" ref="E38:O41" si="14">IF(E$8="","",E$8*$Q38)</f>
        <v>9778.23</v>
      </c>
      <c r="F38" s="269">
        <f t="shared" si="14"/>
        <v>10074.539999999999</v>
      </c>
      <c r="G38" s="268">
        <f t="shared" si="14"/>
        <v>10272.08</v>
      </c>
      <c r="H38" s="234">
        <f t="shared" si="14"/>
        <v>10074.539999999999</v>
      </c>
      <c r="I38" s="269">
        <f t="shared" si="14"/>
        <v>10074.539999999999</v>
      </c>
      <c r="J38" s="234">
        <f t="shared" si="14"/>
        <v>10173.31</v>
      </c>
      <c r="K38" s="234">
        <f t="shared" si="14"/>
        <v>10074.539999999999</v>
      </c>
      <c r="L38" s="234" t="str">
        <f t="shared" si="14"/>
        <v/>
      </c>
      <c r="M38" s="268" t="str">
        <f t="shared" si="14"/>
        <v/>
      </c>
      <c r="N38" s="234" t="str">
        <f t="shared" si="14"/>
        <v/>
      </c>
      <c r="O38" s="270" t="str">
        <f t="shared" si="14"/>
        <v/>
      </c>
      <c r="P38" s="234">
        <f>SUM(D38:O38)</f>
        <v>80497.55</v>
      </c>
      <c r="Q38" s="533">
        <v>98.77</v>
      </c>
    </row>
    <row r="39" spans="2:18" ht="18.5" x14ac:dyDescent="0.45">
      <c r="C39" s="267" t="s">
        <v>205</v>
      </c>
      <c r="D39" s="268">
        <f t="shared" ref="D39:D41" si="15">IF(D$8="","",D$8*$Q39)</f>
        <v>49170.84</v>
      </c>
      <c r="E39" s="234">
        <f t="shared" si="14"/>
        <v>48197.159999999996</v>
      </c>
      <c r="F39" s="269">
        <f t="shared" si="14"/>
        <v>49657.68</v>
      </c>
      <c r="G39" s="268">
        <f t="shared" si="14"/>
        <v>50631.360000000001</v>
      </c>
      <c r="H39" s="234">
        <f t="shared" si="14"/>
        <v>49657.68</v>
      </c>
      <c r="I39" s="269">
        <f t="shared" ref="I39:O39" si="16">IF(I$8="","",I$8*$R39)</f>
        <v>29257.679999999997</v>
      </c>
      <c r="J39" s="234">
        <f t="shared" si="16"/>
        <v>29544.519999999997</v>
      </c>
      <c r="K39" s="234">
        <f t="shared" si="16"/>
        <v>29257.679999999997</v>
      </c>
      <c r="L39" s="234" t="str">
        <f t="shared" si="16"/>
        <v/>
      </c>
      <c r="M39" s="268" t="str">
        <f t="shared" si="16"/>
        <v/>
      </c>
      <c r="N39" s="234" t="str">
        <f t="shared" si="16"/>
        <v/>
      </c>
      <c r="O39" s="270" t="str">
        <f t="shared" si="16"/>
        <v/>
      </c>
      <c r="P39" s="234">
        <f t="shared" ref="P39:P41" si="17">SUM(D39:O39)</f>
        <v>335374.59999999998</v>
      </c>
      <c r="Q39" s="533">
        <v>486.84</v>
      </c>
      <c r="R39" s="11">
        <f>Q39-200</f>
        <v>286.83999999999997</v>
      </c>
    </row>
    <row r="40" spans="2:18" ht="18.5" x14ac:dyDescent="0.45">
      <c r="C40" s="267" t="s">
        <v>322</v>
      </c>
      <c r="D40" s="268">
        <f t="shared" ref="D40:O40" si="18">IF(D$8="","",D$8*$Q40)</f>
        <v>404</v>
      </c>
      <c r="E40" s="234">
        <f t="shared" si="18"/>
        <v>396</v>
      </c>
      <c r="F40" s="269">
        <f t="shared" si="18"/>
        <v>408</v>
      </c>
      <c r="G40" s="234">
        <f t="shared" si="18"/>
        <v>416</v>
      </c>
      <c r="H40" s="234">
        <f t="shared" si="18"/>
        <v>408</v>
      </c>
      <c r="I40" s="269">
        <f t="shared" si="18"/>
        <v>408</v>
      </c>
      <c r="J40" s="234">
        <f t="shared" si="18"/>
        <v>412</v>
      </c>
      <c r="K40" s="234">
        <f t="shared" si="18"/>
        <v>408</v>
      </c>
      <c r="L40" s="234" t="str">
        <f t="shared" si="18"/>
        <v/>
      </c>
      <c r="M40" s="268" t="str">
        <f t="shared" si="18"/>
        <v/>
      </c>
      <c r="N40" s="234" t="str">
        <f t="shared" si="18"/>
        <v/>
      </c>
      <c r="O40" s="270" t="str">
        <f t="shared" si="18"/>
        <v/>
      </c>
      <c r="P40" s="234">
        <f>SUM(D40:O40)</f>
        <v>3260</v>
      </c>
      <c r="Q40" s="533">
        <v>4</v>
      </c>
    </row>
    <row r="41" spans="2:18" ht="18.5" x14ac:dyDescent="0.45">
      <c r="C41" s="267" t="s">
        <v>206</v>
      </c>
      <c r="D41" s="268">
        <f t="shared" si="15"/>
        <v>290.88</v>
      </c>
      <c r="E41" s="234">
        <f t="shared" si="14"/>
        <v>285.12</v>
      </c>
      <c r="F41" s="269">
        <f t="shared" si="14"/>
        <v>293.76</v>
      </c>
      <c r="G41" s="268">
        <f t="shared" si="14"/>
        <v>299.52</v>
      </c>
      <c r="H41" s="234">
        <f t="shared" si="14"/>
        <v>293.76</v>
      </c>
      <c r="I41" s="269">
        <f t="shared" si="14"/>
        <v>293.76</v>
      </c>
      <c r="J41" s="234">
        <f t="shared" si="14"/>
        <v>296.64</v>
      </c>
      <c r="K41" s="234">
        <f t="shared" si="14"/>
        <v>293.76</v>
      </c>
      <c r="L41" s="234" t="str">
        <f t="shared" si="14"/>
        <v/>
      </c>
      <c r="M41" s="268" t="str">
        <f t="shared" si="14"/>
        <v/>
      </c>
      <c r="N41" s="234" t="str">
        <f t="shared" si="14"/>
        <v/>
      </c>
      <c r="O41" s="270" t="str">
        <f t="shared" si="14"/>
        <v/>
      </c>
      <c r="P41" s="234">
        <f t="shared" si="17"/>
        <v>2347.1999999999998</v>
      </c>
      <c r="Q41" s="533">
        <v>2.88</v>
      </c>
    </row>
    <row r="42" spans="2:18" ht="18.5" x14ac:dyDescent="0.45">
      <c r="C42" s="272" t="s">
        <v>207</v>
      </c>
      <c r="D42" s="273">
        <f t="shared" ref="D42:P42" si="19">IF(D$8="","",SUM(D38:D41))</f>
        <v>59841.49</v>
      </c>
      <c r="E42" s="274">
        <f t="shared" si="19"/>
        <v>58656.51</v>
      </c>
      <c r="F42" s="275">
        <f t="shared" si="19"/>
        <v>60433.98</v>
      </c>
      <c r="G42" s="273">
        <f t="shared" si="19"/>
        <v>61618.96</v>
      </c>
      <c r="H42" s="274">
        <f t="shared" si="19"/>
        <v>60433.98</v>
      </c>
      <c r="I42" s="275">
        <f t="shared" si="19"/>
        <v>40033.979999999996</v>
      </c>
      <c r="J42" s="274">
        <f t="shared" si="19"/>
        <v>40426.469999999994</v>
      </c>
      <c r="K42" s="274">
        <f t="shared" si="19"/>
        <v>40033.979999999996</v>
      </c>
      <c r="L42" s="274" t="str">
        <f t="shared" si="19"/>
        <v/>
      </c>
      <c r="M42" s="273" t="str">
        <f t="shared" si="19"/>
        <v/>
      </c>
      <c r="N42" s="274" t="str">
        <f t="shared" si="19"/>
        <v/>
      </c>
      <c r="O42" s="276" t="str">
        <f t="shared" si="19"/>
        <v/>
      </c>
      <c r="P42" s="274">
        <f t="shared" si="19"/>
        <v>421479.35</v>
      </c>
      <c r="Q42" s="53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535"/>
    </row>
    <row r="44" spans="2:18" ht="18.5" x14ac:dyDescent="0.45">
      <c r="B44" s="213" t="s">
        <v>191</v>
      </c>
      <c r="C44" s="267" t="s">
        <v>209</v>
      </c>
      <c r="D44" s="268">
        <f t="shared" ref="D44:O48" si="20">IF(D$8="","",0)</f>
        <v>0</v>
      </c>
      <c r="E44" s="234">
        <f t="shared" si="20"/>
        <v>0</v>
      </c>
      <c r="F44" s="234">
        <f t="shared" si="20"/>
        <v>0</v>
      </c>
      <c r="G44" s="268">
        <f>416.5/19</f>
        <v>21.921052631578949</v>
      </c>
      <c r="H44" s="234">
        <f t="shared" si="20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20"/>
        <v/>
      </c>
      <c r="M44" s="268" t="str">
        <f t="shared" si="20"/>
        <v/>
      </c>
      <c r="N44" s="234" t="str">
        <f t="shared" si="20"/>
        <v/>
      </c>
      <c r="O44" s="234" t="str">
        <f t="shared" si="20"/>
        <v/>
      </c>
      <c r="P44" s="47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20"/>
        <v>0</v>
      </c>
      <c r="E45" s="234">
        <f t="shared" si="20"/>
        <v>0</v>
      </c>
      <c r="F45" s="269">
        <f t="shared" si="20"/>
        <v>0</v>
      </c>
      <c r="G45" s="268">
        <f t="shared" si="20"/>
        <v>0</v>
      </c>
      <c r="H45" s="234">
        <f>15600/19</f>
        <v>821.0526315789474</v>
      </c>
      <c r="I45" s="234">
        <f t="shared" si="20"/>
        <v>0</v>
      </c>
      <c r="J45" s="268">
        <f t="shared" si="20"/>
        <v>0</v>
      </c>
      <c r="K45" s="234">
        <f t="shared" si="20"/>
        <v>0</v>
      </c>
      <c r="L45" s="234" t="str">
        <f t="shared" si="20"/>
        <v/>
      </c>
      <c r="M45" s="268" t="str">
        <f t="shared" si="20"/>
        <v/>
      </c>
      <c r="N45" s="234" t="str">
        <f t="shared" si="20"/>
        <v/>
      </c>
      <c r="O45" s="234" t="str">
        <f t="shared" si="20"/>
        <v/>
      </c>
      <c r="P45" s="474">
        <f t="shared" ref="P45:P48" si="21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20"/>
        <v>0</v>
      </c>
      <c r="E46" s="234">
        <f t="shared" si="20"/>
        <v>0</v>
      </c>
      <c r="F46" s="269">
        <f t="shared" si="20"/>
        <v>0</v>
      </c>
      <c r="G46" s="268">
        <f t="shared" si="20"/>
        <v>0</v>
      </c>
      <c r="H46" s="234">
        <f t="shared" si="20"/>
        <v>0</v>
      </c>
      <c r="I46" s="234">
        <f t="shared" si="20"/>
        <v>0</v>
      </c>
      <c r="J46" s="268">
        <f t="shared" si="20"/>
        <v>0</v>
      </c>
      <c r="K46" s="234">
        <f t="shared" si="20"/>
        <v>0</v>
      </c>
      <c r="L46" s="234" t="str">
        <f t="shared" si="20"/>
        <v/>
      </c>
      <c r="M46" s="268" t="str">
        <f t="shared" si="20"/>
        <v/>
      </c>
      <c r="N46" s="234" t="str">
        <f t="shared" si="20"/>
        <v/>
      </c>
      <c r="O46" s="234" t="str">
        <f t="shared" si="20"/>
        <v/>
      </c>
      <c r="P46" s="474">
        <f t="shared" si="21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20"/>
        <v>0</v>
      </c>
      <c r="E47" s="234">
        <f t="shared" si="20"/>
        <v>0</v>
      </c>
      <c r="F47" s="234">
        <f t="shared" si="20"/>
        <v>0</v>
      </c>
      <c r="G47" s="268">
        <f t="shared" si="20"/>
        <v>0</v>
      </c>
      <c r="H47" s="234">
        <f t="shared" si="20"/>
        <v>0</v>
      </c>
      <c r="I47" s="234">
        <f t="shared" si="20"/>
        <v>0</v>
      </c>
      <c r="J47" s="268">
        <f t="shared" si="20"/>
        <v>0</v>
      </c>
      <c r="K47" s="234">
        <f t="shared" si="20"/>
        <v>0</v>
      </c>
      <c r="L47" s="234" t="str">
        <f t="shared" si="20"/>
        <v/>
      </c>
      <c r="M47" s="268" t="str">
        <f t="shared" si="20"/>
        <v/>
      </c>
      <c r="N47" s="234" t="str">
        <f t="shared" si="20"/>
        <v/>
      </c>
      <c r="O47" s="270" t="str">
        <f t="shared" si="20"/>
        <v/>
      </c>
      <c r="P47" s="234">
        <f t="shared" si="21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20"/>
        <v>0</v>
      </c>
      <c r="F48" s="456">
        <f t="shared" si="20"/>
        <v>0</v>
      </c>
      <c r="G48" s="458">
        <f t="shared" si="20"/>
        <v>0</v>
      </c>
      <c r="H48" s="234">
        <f t="shared" si="20"/>
        <v>0</v>
      </c>
      <c r="I48" s="456">
        <f t="shared" si="20"/>
        <v>0</v>
      </c>
      <c r="J48" s="268">
        <f t="shared" si="20"/>
        <v>0</v>
      </c>
      <c r="K48" s="457">
        <f t="shared" si="20"/>
        <v>0</v>
      </c>
      <c r="L48" s="456" t="str">
        <f t="shared" si="20"/>
        <v/>
      </c>
      <c r="M48" s="458" t="str">
        <f t="shared" si="20"/>
        <v/>
      </c>
      <c r="N48" s="234" t="str">
        <f t="shared" si="20"/>
        <v/>
      </c>
      <c r="O48" s="525" t="str">
        <f t="shared" si="20"/>
        <v/>
      </c>
      <c r="P48" s="475">
        <f t="shared" si="21"/>
        <v>0</v>
      </c>
      <c r="Q48" s="244"/>
    </row>
    <row r="49" spans="2:17" ht="18.5" x14ac:dyDescent="0.45">
      <c r="C49" s="272" t="s">
        <v>229</v>
      </c>
      <c r="D49" s="273">
        <f t="shared" ref="D49:P49" si="22">IF(D$8="","",SUM(D44:D48))</f>
        <v>0</v>
      </c>
      <c r="E49" s="274">
        <f t="shared" si="22"/>
        <v>0</v>
      </c>
      <c r="F49" s="275">
        <f t="shared" si="22"/>
        <v>0</v>
      </c>
      <c r="G49" s="273">
        <f t="shared" si="22"/>
        <v>21.921052631578949</v>
      </c>
      <c r="H49" s="274">
        <f t="shared" si="22"/>
        <v>821.0526315789474</v>
      </c>
      <c r="I49" s="275">
        <f t="shared" si="22"/>
        <v>12.102631578947367</v>
      </c>
      <c r="J49" s="274">
        <f t="shared" si="22"/>
        <v>31.315789473684209</v>
      </c>
      <c r="K49" s="274">
        <f t="shared" si="22"/>
        <v>56.368421052631582</v>
      </c>
      <c r="L49" s="274" t="str">
        <f t="shared" si="22"/>
        <v/>
      </c>
      <c r="M49" s="273" t="str">
        <f t="shared" si="22"/>
        <v/>
      </c>
      <c r="N49" s="274" t="str">
        <f t="shared" si="22"/>
        <v/>
      </c>
      <c r="O49" s="276" t="str">
        <f t="shared" si="22"/>
        <v/>
      </c>
      <c r="P49" s="557">
        <f t="shared" si="22"/>
        <v>942.76052631578955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-200023.8</v>
      </c>
      <c r="E51" s="289">
        <f>IF(E8="","",E14-SUM(E26,E36,E42,E49))</f>
        <v>-66774.150000000023</v>
      </c>
      <c r="F51" s="290">
        <f>IF(F8="","",F14-SUM(F26,F36,F42,F49))</f>
        <v>6967.0300000000279</v>
      </c>
      <c r="G51" s="288">
        <f>IF(G8="","",G14-SUM(G26,G36,G42,G49))</f>
        <v>50816.49894736844</v>
      </c>
      <c r="H51" s="289">
        <f>IF(H8="","",H14-SUM(H26,H36,H42,H49))</f>
        <v>-20361.942631578975</v>
      </c>
      <c r="I51" s="290">
        <f>IF(I8="","",I14-SUM(I26,I36,I42,I49))</f>
        <v>58203.737368421047</v>
      </c>
      <c r="J51" s="289">
        <f>IF(J8="","",J14-SUM(J26,J36,J42,J49))</f>
        <v>-35296.645789473667</v>
      </c>
      <c r="K51" s="289">
        <f>IF(K8="","",K14-SUM(K26,K36,K42,K49))</f>
        <v>-185561.12842105265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-392030.40052631614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656789.22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264758.81947368383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0</v>
      </c>
      <c r="E56" s="234">
        <f>IF(E12="","",-E12)</f>
        <v>297</v>
      </c>
      <c r="F56" s="269">
        <f>IF(F12="","",-F12)</f>
        <v>306</v>
      </c>
      <c r="G56" s="268">
        <f>IF(G12="","",-G12)</f>
        <v>312</v>
      </c>
      <c r="H56" s="234">
        <f>IF(H12="","",-H12)</f>
        <v>306</v>
      </c>
      <c r="I56" s="269">
        <f>IF(I12="","",-I12)</f>
        <v>306</v>
      </c>
      <c r="J56" s="234">
        <f>IF(J12="","",-J12)</f>
        <v>309</v>
      </c>
      <c r="K56" s="234">
        <f>IF(K12="","",-K12)</f>
        <v>0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1836</v>
      </c>
      <c r="Q56" s="244"/>
    </row>
    <row r="57" spans="2:17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3">IF(E$8="","",0)</f>
        <v>0</v>
      </c>
      <c r="F57" s="269">
        <f t="shared" si="23"/>
        <v>0</v>
      </c>
      <c r="G57" s="268">
        <f t="shared" si="23"/>
        <v>0</v>
      </c>
      <c r="H57" s="234">
        <f t="shared" si="23"/>
        <v>0</v>
      </c>
      <c r="I57" s="269">
        <f t="shared" si="23"/>
        <v>0</v>
      </c>
      <c r="J57" s="234">
        <f t="shared" si="23"/>
        <v>0</v>
      </c>
      <c r="K57" s="234">
        <f t="shared" si="23"/>
        <v>0</v>
      </c>
      <c r="L57" s="234" t="str">
        <f t="shared" si="23"/>
        <v/>
      </c>
      <c r="M57" s="268" t="str">
        <f t="shared" si="23"/>
        <v/>
      </c>
      <c r="N57" s="234" t="str">
        <f t="shared" si="23"/>
        <v/>
      </c>
      <c r="O57" s="270" t="str">
        <f t="shared" si="23"/>
        <v/>
      </c>
      <c r="P57" s="234">
        <f>SUM(D57:O57)</f>
        <v>0</v>
      </c>
      <c r="Q57" s="244"/>
    </row>
    <row r="58" spans="2:17" ht="18.5" x14ac:dyDescent="0.45">
      <c r="C58" s="296" t="s">
        <v>234</v>
      </c>
      <c r="D58" s="297">
        <f>IF(D$8="","",SUM(D56:D57))</f>
        <v>0</v>
      </c>
      <c r="E58" s="298">
        <f t="shared" ref="E58:O58" si="24">IF(E$8="","",SUM(E56:E57))</f>
        <v>297</v>
      </c>
      <c r="F58" s="299">
        <f t="shared" si="24"/>
        <v>306</v>
      </c>
      <c r="G58" s="297">
        <f t="shared" si="24"/>
        <v>312</v>
      </c>
      <c r="H58" s="298">
        <f t="shared" si="24"/>
        <v>306</v>
      </c>
      <c r="I58" s="299">
        <f t="shared" si="24"/>
        <v>306</v>
      </c>
      <c r="J58" s="298">
        <f t="shared" si="24"/>
        <v>309</v>
      </c>
      <c r="K58" s="298">
        <f t="shared" si="24"/>
        <v>0</v>
      </c>
      <c r="L58" s="298" t="str">
        <f t="shared" si="24"/>
        <v/>
      </c>
      <c r="M58" s="297" t="str">
        <f t="shared" si="24"/>
        <v/>
      </c>
      <c r="N58" s="298" t="str">
        <f t="shared" si="24"/>
        <v/>
      </c>
      <c r="O58" s="300" t="str">
        <f t="shared" si="24"/>
        <v/>
      </c>
      <c r="P58" s="298">
        <f>SUM(P56:P57)</f>
        <v>1836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3873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5709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26309.39</v>
      </c>
      <c r="E68" s="246">
        <v>71791.83</v>
      </c>
      <c r="F68" s="246">
        <v>25960.49</v>
      </c>
      <c r="G68" s="246">
        <v>18836.439999999999</v>
      </c>
      <c r="H68" s="246">
        <v>0</v>
      </c>
      <c r="I68" s="308">
        <v>-6086</v>
      </c>
      <c r="J68" s="309">
        <f>SUM(D68:I68)</f>
        <v>136812.15</v>
      </c>
      <c r="K68" s="310">
        <v>100</v>
      </c>
      <c r="L68" s="307">
        <f>382.12+38.78+19.08+30.47</f>
        <v>470.44999999999993</v>
      </c>
      <c r="M68" s="246">
        <v>0</v>
      </c>
      <c r="N68" s="246">
        <v>0</v>
      </c>
      <c r="O68" s="246">
        <f>20+110+1650</f>
        <v>1780</v>
      </c>
      <c r="P68" s="246">
        <f>687.72</f>
        <v>687.72</v>
      </c>
      <c r="Q68" s="246">
        <f>73.18+7.83+6.83</f>
        <v>87.84</v>
      </c>
      <c r="R68" s="246">
        <v>0</v>
      </c>
      <c r="S68" s="246">
        <v>0</v>
      </c>
      <c r="T68" s="246">
        <v>0</v>
      </c>
      <c r="U68" s="323">
        <v>0</v>
      </c>
    </row>
    <row r="69" spans="3:21" ht="18.5" x14ac:dyDescent="0.45">
      <c r="C69" s="306" t="str">
        <f>Addendum!E11</f>
        <v>August</v>
      </c>
      <c r="D69" s="307">
        <v>30826.560000000001</v>
      </c>
      <c r="E69" s="246">
        <v>29250.68</v>
      </c>
      <c r="F69" s="246">
        <v>133542.32999999999</v>
      </c>
      <c r="G69" s="246">
        <v>54954.86</v>
      </c>
      <c r="H69" s="246">
        <v>20874.14</v>
      </c>
      <c r="I69" s="308">
        <v>-6025.14</v>
      </c>
      <c r="J69" s="309">
        <f t="shared" ref="J69:J79" si="25">SUM(D69:I69)</f>
        <v>263423.43</v>
      </c>
      <c r="K69" s="311">
        <v>99</v>
      </c>
      <c r="L69" s="307">
        <f>118.1+29.85+62.6+43.05</f>
        <v>253.59999999999997</v>
      </c>
      <c r="M69" s="246">
        <v>0</v>
      </c>
      <c r="N69" s="246">
        <v>0</v>
      </c>
      <c r="O69" s="246">
        <f>40+880</f>
        <v>920</v>
      </c>
      <c r="P69" s="246">
        <f>200</f>
        <v>200</v>
      </c>
      <c r="Q69" s="246">
        <f>7.25+27.02</f>
        <v>34.269999999999996</v>
      </c>
      <c r="R69" s="246">
        <v>0</v>
      </c>
      <c r="S69" s="246">
        <v>0</v>
      </c>
      <c r="T69" s="246">
        <v>0</v>
      </c>
      <c r="U69" s="323">
        <v>0</v>
      </c>
    </row>
    <row r="70" spans="3:21" ht="18.5" x14ac:dyDescent="0.45">
      <c r="C70" s="306" t="str">
        <f>Addendum!E12</f>
        <v>September</v>
      </c>
      <c r="D70" s="307">
        <v>24497.52</v>
      </c>
      <c r="E70" s="246">
        <v>20234.189999999999</v>
      </c>
      <c r="F70" s="246">
        <v>21876.3</v>
      </c>
      <c r="G70" s="246">
        <v>64299.96</v>
      </c>
      <c r="H70" s="246">
        <v>0</v>
      </c>
      <c r="I70" s="308">
        <v>-6268.58</v>
      </c>
      <c r="J70" s="309">
        <f>SUM(D70:I70)</f>
        <v>124639.39</v>
      </c>
      <c r="K70" s="311">
        <v>103</v>
      </c>
      <c r="L70" s="307">
        <f>118.91-271.03+14.56</f>
        <v>-137.55999999999997</v>
      </c>
      <c r="M70" s="246">
        <v>0</v>
      </c>
      <c r="N70" s="246">
        <v>0</v>
      </c>
      <c r="O70" s="246">
        <f>100+1320</f>
        <v>1420</v>
      </c>
      <c r="P70" s="246">
        <f>200</f>
        <v>200</v>
      </c>
      <c r="Q70" s="246">
        <v>0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19524.580000000002</v>
      </c>
      <c r="E71" s="246">
        <v>19878.830000000002</v>
      </c>
      <c r="F71" s="246">
        <v>20174.21</v>
      </c>
      <c r="G71" s="246">
        <v>26059.41</v>
      </c>
      <c r="H71" s="246">
        <v>0</v>
      </c>
      <c r="I71" s="308">
        <v>-6329.44</v>
      </c>
      <c r="J71" s="309">
        <f t="shared" si="25"/>
        <v>79307.59</v>
      </c>
      <c r="K71" s="311">
        <v>104</v>
      </c>
      <c r="L71" s="307">
        <f>438.94-84.68</f>
        <v>354.26</v>
      </c>
      <c r="M71" s="246">
        <v>0</v>
      </c>
      <c r="N71" s="246">
        <v>0</v>
      </c>
      <c r="O71" s="246">
        <f>20+1100</f>
        <v>1120</v>
      </c>
      <c r="P71" s="246">
        <v>0</v>
      </c>
      <c r="Q71" s="246">
        <f>23.95+66.46+8.75</f>
        <v>99.16</v>
      </c>
      <c r="R71" s="246">
        <v>0</v>
      </c>
      <c r="S71" s="246">
        <v>0</v>
      </c>
      <c r="T71" s="246">
        <v>0</v>
      </c>
      <c r="U71" s="323">
        <v>0</v>
      </c>
    </row>
    <row r="72" spans="3:21" ht="18.5" x14ac:dyDescent="0.45">
      <c r="C72" s="306" t="str">
        <f>Addendum!E14</f>
        <v>November</v>
      </c>
      <c r="D72" s="307">
        <v>19291.75</v>
      </c>
      <c r="E72" s="246">
        <v>20220.46</v>
      </c>
      <c r="F72" s="246">
        <v>48571.95</v>
      </c>
      <c r="G72" s="246">
        <v>43161.87</v>
      </c>
      <c r="H72" s="246">
        <v>26484.03</v>
      </c>
      <c r="I72" s="308">
        <v>-6207.72</v>
      </c>
      <c r="J72" s="309">
        <f t="shared" si="25"/>
        <v>151522.34</v>
      </c>
      <c r="K72" s="311">
        <v>102</v>
      </c>
      <c r="L72" s="307">
        <f>148.76-100.28+21.46+17.64</f>
        <v>87.58</v>
      </c>
      <c r="M72" s="246">
        <v>0</v>
      </c>
      <c r="N72" s="246">
        <v>0</v>
      </c>
      <c r="O72" s="246">
        <f>60+110+2090</f>
        <v>2260</v>
      </c>
      <c r="P72" s="246">
        <v>0</v>
      </c>
      <c r="Q72" s="246">
        <f>8.75+32.18</f>
        <v>40.93</v>
      </c>
      <c r="R72" s="246">
        <v>0</v>
      </c>
      <c r="S72" s="246">
        <v>0</v>
      </c>
      <c r="T72" s="246">
        <v>0</v>
      </c>
      <c r="U72" s="323">
        <v>0</v>
      </c>
    </row>
    <row r="73" spans="3:21" ht="18.5" x14ac:dyDescent="0.45">
      <c r="C73" s="306" t="str">
        <f>Addendum!E15</f>
        <v>December</v>
      </c>
      <c r="D73" s="307">
        <v>34532.959999999999</v>
      </c>
      <c r="E73" s="246">
        <v>16616.53</v>
      </c>
      <c r="F73" s="246">
        <v>32198.48</v>
      </c>
      <c r="G73" s="246">
        <v>17485.72</v>
      </c>
      <c r="H73" s="246">
        <v>0</v>
      </c>
      <c r="I73" s="308">
        <v>-6268.58</v>
      </c>
      <c r="J73" s="309">
        <f>SUM(D73:I73)</f>
        <v>94565.11</v>
      </c>
      <c r="K73" s="311">
        <v>103</v>
      </c>
      <c r="L73" s="307">
        <f>0.95+16.74+68.84-148.76</f>
        <v>-62.22999999999999</v>
      </c>
      <c r="M73" s="246">
        <v>0</v>
      </c>
      <c r="N73" s="246">
        <v>0</v>
      </c>
      <c r="O73" s="246">
        <f>80+660+770</f>
        <v>1510</v>
      </c>
      <c r="P73" s="246">
        <f>-39.25+400</f>
        <v>360.75</v>
      </c>
      <c r="Q73" s="246">
        <f>-15.72</f>
        <v>-15.72</v>
      </c>
      <c r="R73" s="246">
        <v>0</v>
      </c>
      <c r="S73" s="246">
        <v>0</v>
      </c>
      <c r="T73" s="246">
        <v>0</v>
      </c>
      <c r="U73" s="323">
        <v>0</v>
      </c>
    </row>
    <row r="74" spans="3:21" ht="18.5" x14ac:dyDescent="0.45">
      <c r="C74" s="306" t="str">
        <f>Addendum!E16</f>
        <v>January 2025</v>
      </c>
      <c r="D74" s="307">
        <v>25710.55</v>
      </c>
      <c r="E74" s="246">
        <v>58713.66</v>
      </c>
      <c r="F74" s="246">
        <v>32481.48</v>
      </c>
      <c r="G74" s="246">
        <v>52401.31</v>
      </c>
      <c r="H74" s="246">
        <v>21178.080000000002</v>
      </c>
      <c r="I74" s="308">
        <v>-6207.72</v>
      </c>
      <c r="J74" s="309">
        <f t="shared" si="25"/>
        <v>184277.36000000002</v>
      </c>
      <c r="K74" s="311">
        <v>102</v>
      </c>
      <c r="L74" s="307">
        <f>186.99+32.2+24.17-45.77</f>
        <v>197.59</v>
      </c>
      <c r="M74" s="246">
        <v>0</v>
      </c>
      <c r="N74" s="246">
        <v>0</v>
      </c>
      <c r="O74" s="246">
        <f>80+220+2970</f>
        <v>3270</v>
      </c>
      <c r="P74" s="246">
        <v>0</v>
      </c>
      <c r="Q74" s="246">
        <f>19.25+31.46+21</f>
        <v>71.710000000000008</v>
      </c>
      <c r="R74" s="246">
        <v>0</v>
      </c>
      <c r="S74" s="246">
        <v>0</v>
      </c>
      <c r="T74" s="246">
        <v>0</v>
      </c>
      <c r="U74" s="323">
        <v>0</v>
      </c>
    </row>
    <row r="75" spans="3:21" ht="18.5" x14ac:dyDescent="0.45">
      <c r="C75" s="306" t="str">
        <f>Addendum!E17</f>
        <v>February</v>
      </c>
      <c r="D75" s="307">
        <v>81102.460000000006</v>
      </c>
      <c r="E75" s="246">
        <v>39633.33</v>
      </c>
      <c r="F75" s="246">
        <v>50549.3</v>
      </c>
      <c r="G75" s="246">
        <v>105722.87</v>
      </c>
      <c r="H75" s="246">
        <v>0</v>
      </c>
      <c r="I75" s="308">
        <v>-6146.86</v>
      </c>
      <c r="J75" s="309">
        <f t="shared" si="25"/>
        <v>270861.10000000003</v>
      </c>
      <c r="K75" s="311">
        <v>101</v>
      </c>
      <c r="L75" s="307">
        <f>95.8+12.02+36.7</f>
        <v>144.51999999999998</v>
      </c>
      <c r="M75" s="246">
        <v>0</v>
      </c>
      <c r="N75" s="246">
        <v>0</v>
      </c>
      <c r="O75" s="246">
        <f>100+990</f>
        <v>1090</v>
      </c>
      <c r="P75" s="246">
        <f>78.9</f>
        <v>78.900000000000006</v>
      </c>
      <c r="Q75" s="246">
        <f>7.65+7.25+68.62</f>
        <v>83.52000000000001</v>
      </c>
      <c r="R75" s="246">
        <v>0</v>
      </c>
      <c r="S75" s="246">
        <v>-12808</v>
      </c>
      <c r="T75" s="246">
        <v>0</v>
      </c>
      <c r="U75" s="323">
        <v>0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5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5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5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5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261795.77000000002</v>
      </c>
      <c r="E80" s="314">
        <f t="shared" ref="E80:J80" si="26">SUM(E68:E79)</f>
        <v>276339.51</v>
      </c>
      <c r="F80" s="314">
        <f t="shared" si="26"/>
        <v>365354.53999999992</v>
      </c>
      <c r="G80" s="314">
        <f t="shared" si="26"/>
        <v>382922.44</v>
      </c>
      <c r="H80" s="314">
        <f t="shared" si="26"/>
        <v>68536.25</v>
      </c>
      <c r="I80" s="315">
        <f t="shared" si="26"/>
        <v>-49540.04</v>
      </c>
      <c r="J80" s="316">
        <f t="shared" si="26"/>
        <v>1305408.47</v>
      </c>
      <c r="K80" s="317">
        <f>SUM(K68:K79)</f>
        <v>814</v>
      </c>
      <c r="L80" s="313">
        <f>SUM(L68:L79)</f>
        <v>1308.2099999999998</v>
      </c>
      <c r="M80" s="314">
        <f t="shared" ref="M80:U80" si="27">SUM(M68:M79)</f>
        <v>0</v>
      </c>
      <c r="N80" s="314">
        <f t="shared" si="27"/>
        <v>0</v>
      </c>
      <c r="O80" s="314">
        <f t="shared" si="27"/>
        <v>13370</v>
      </c>
      <c r="P80" s="314">
        <f t="shared" si="27"/>
        <v>1527.3700000000001</v>
      </c>
      <c r="Q80" s="314">
        <f t="shared" si="27"/>
        <v>401.71000000000004</v>
      </c>
      <c r="R80" s="314">
        <f t="shared" si="27"/>
        <v>0</v>
      </c>
      <c r="S80" s="314">
        <f t="shared" si="27"/>
        <v>-12808</v>
      </c>
      <c r="T80" s="314">
        <f t="shared" si="27"/>
        <v>0</v>
      </c>
      <c r="U80" s="322">
        <f t="shared" si="27"/>
        <v>0</v>
      </c>
    </row>
  </sheetData>
  <mergeCells count="20">
    <mergeCell ref="L66:U66"/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D66:H66"/>
    <mergeCell ref="I66:I67"/>
    <mergeCell ref="J66:J67"/>
    <mergeCell ref="K66:K67"/>
  </mergeCells>
  <conditionalFormatting sqref="D51:P51">
    <cfRule type="cellIs" dxfId="2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57053-96FB-46D2-86F5-0D1584F26279}">
  <sheetPr codeName="Sheet27">
    <tabColor theme="6" tint="0.39997558519241921"/>
    <pageSetUpPr fitToPage="1"/>
  </sheetPr>
  <dimension ref="B1:U80"/>
  <sheetViews>
    <sheetView view="pageBreakPreview" topLeftCell="A44" zoomScale="60" zoomScaleNormal="100" workbookViewId="0">
      <selection activeCell="D75" sqref="D75:H75"/>
    </sheetView>
  </sheetViews>
  <sheetFormatPr defaultColWidth="9.1796875" defaultRowHeight="14.5" x14ac:dyDescent="0.35"/>
  <cols>
    <col min="1" max="1" width="1" customWidth="1"/>
    <col min="2" max="2" width="20.7265625" customWidth="1"/>
    <col min="3" max="3" width="51.7265625" customWidth="1"/>
    <col min="4" max="16" width="20.7265625" customWidth="1"/>
    <col min="17" max="17" width="20.26953125" customWidth="1"/>
    <col min="18" max="18" width="19.81640625" bestFit="1" customWidth="1"/>
    <col min="19" max="19" width="19.81640625" customWidth="1"/>
    <col min="20" max="20" width="17.81640625" customWidth="1"/>
    <col min="21" max="21" width="25.453125" customWidth="1"/>
  </cols>
  <sheetData>
    <row r="1" spans="2:20" ht="5.25" customHeight="1" x14ac:dyDescent="0.3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ht="18.5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3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ht="18.5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ht="18.5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181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ht="18.5" x14ac:dyDescent="0.45">
      <c r="B8" s="221"/>
      <c r="C8" s="254" t="s">
        <v>192</v>
      </c>
      <c r="D8" s="255" cm="1">
        <f t="array" ref="D8">IFERROR(INDEX('Cash Flow Entry'!$D$3:$D$500,MATCH(1,INDEX((Venango!$C$7='Cash Flow Entry'!$B$3:$B$500)*(VALUE(Venango!D$7)='Cash Flow Entry'!$C$3:$C$500),0,1),0)),"")</f>
        <v>52</v>
      </c>
      <c r="E8" s="256" cm="1">
        <f t="array" ref="E8">IFERROR(INDEX('Cash Flow Entry'!$D$3:$D$500,MATCH(1,INDEX((Venango!$C$7='Cash Flow Entry'!$B$3:$B$500)*(VALUE(Venango!E$7)='Cash Flow Entry'!$C$3:$C$500),0,1),0)),"")</f>
        <v>52</v>
      </c>
      <c r="F8" s="257" cm="1">
        <f t="array" ref="F8">IFERROR(INDEX('Cash Flow Entry'!$D$3:$D$500,MATCH(1,INDEX((Venango!$C$7='Cash Flow Entry'!$B$3:$B$500)*(VALUE(Venango!F$7)='Cash Flow Entry'!$C$3:$C$500),0,1),0)),"")</f>
        <v>53</v>
      </c>
      <c r="G8" s="255" cm="1">
        <f t="array" ref="G8">IFERROR(INDEX('Cash Flow Entry'!$D$3:$D$500,MATCH(1,INDEX((Venango!$C$7='Cash Flow Entry'!$B$3:$B$500)*(VALUE(Venango!G$7)='Cash Flow Entry'!$C$3:$C$500),0,1),0)),"")</f>
        <v>54</v>
      </c>
      <c r="H8" s="256" cm="1">
        <f t="array" ref="H8">IFERROR(INDEX('Cash Flow Entry'!$D$3:$D$500,MATCH(1,INDEX((Venango!$C$7='Cash Flow Entry'!$B$3:$B$500)*(VALUE(Venango!H$7)='Cash Flow Entry'!$C$3:$C$500),0,1),0)),"")</f>
        <v>55</v>
      </c>
      <c r="I8" s="257" cm="1">
        <f t="array" ref="I8">IFERROR(INDEX('Cash Flow Entry'!$D$3:$D$500,MATCH(1,INDEX((Venango!$C$7='Cash Flow Entry'!$B$3:$B$500)*(VALUE(Venango!I$7)='Cash Flow Entry'!$C$3:$C$500),0,1),0)),"")</f>
        <v>55</v>
      </c>
      <c r="J8" s="256" cm="1">
        <f t="array" ref="J8">IFERROR(INDEX('Cash Flow Entry'!$D$3:$D$500,MATCH(1,INDEX((Venango!$C$7='Cash Flow Entry'!$B$3:$B$500)*(VALUE(Venango!J$7)='Cash Flow Entry'!$C$3:$C$500),0,1),0)),"")</f>
        <v>55</v>
      </c>
      <c r="K8" s="256" cm="1">
        <f t="array" ref="K8">IFERROR(INDEX('Cash Flow Entry'!$D$3:$D$500,MATCH(1,INDEX((Venango!$C$7='Cash Flow Entry'!$B$3:$B$500)*(VALUE(Venango!K$7)='Cash Flow Entry'!$C$3:$C$500),0,1),0)),"")</f>
        <v>55</v>
      </c>
      <c r="L8" s="256" t="str" cm="1">
        <f t="array" ref="L8">IFERROR(INDEX('Cash Flow Entry'!$D$3:$D$500,MATCH(1,INDEX((Venango!$C$7='Cash Flow Entry'!$B$3:$B$500)*(VALUE(Venango!L$7)='Cash Flow Entry'!$C$3:$C$500),0,1),0)),"")</f>
        <v/>
      </c>
      <c r="M8" s="255" t="str" cm="1">
        <f t="array" ref="M8">IFERROR(INDEX('Cash Flow Entry'!$D$3:$D$500,MATCH(1,INDEX((Venango!$C$7='Cash Flow Entry'!$B$3:$B$500)*(VALUE(Venango!M$7)='Cash Flow Entry'!$C$3:$C$500),0,1),0)),"")</f>
        <v/>
      </c>
      <c r="N8" s="256" t="str" cm="1">
        <f t="array" ref="N8">IFERROR(INDEX('Cash Flow Entry'!$D$3:$D$500,MATCH(1,INDEX((Venango!$C$7='Cash Flow Entry'!$B$3:$B$500)*(VALUE(Venango!N$7)='Cash Flow Entry'!$C$3:$C$500),0,1),0)),"")</f>
        <v/>
      </c>
      <c r="O8" s="258" t="str" cm="1">
        <f t="array" ref="O8">IFERROR(INDEX('Cash Flow Entry'!$D$3:$D$500,MATCH(1,INDEX((Venango!$C$7='Cash Flow Entry'!$B$3:$B$500)*(VALUE(Venango!O$7)='Cash Flow Entry'!$C$3:$C$500),0,1),0)),"")</f>
        <v/>
      </c>
      <c r="P8" s="259">
        <f>SUM(D8:O8)</f>
        <v>431</v>
      </c>
      <c r="Q8" s="260"/>
      <c r="R8" s="221"/>
      <c r="S8" s="221"/>
    </row>
    <row r="9" spans="2:20" ht="18.5" x14ac:dyDescent="0.45">
      <c r="B9" s="221"/>
      <c r="C9" s="254" t="s">
        <v>238</v>
      </c>
      <c r="D9" s="255" cm="1">
        <f t="array" ref="D9">IFERROR(INDEX('Cash Flow Entry'!$E$3:$E$500,MATCH(1,INDEX((Venango!$C$7='Cash Flow Entry'!$B$3:$B$500)*(VALUE(Venango!D$7)='Cash Flow Entry'!$C$3:$C$500),0,1),0)),"")</f>
        <v>148</v>
      </c>
      <c r="E9" s="256" cm="1">
        <f t="array" ref="E9">IFERROR(INDEX('Cash Flow Entry'!$E$3:$E$500,MATCH(1,INDEX((Venango!$C$7='Cash Flow Entry'!$B$3:$B$500)*(VALUE(Venango!E$7)='Cash Flow Entry'!$C$3:$C$500),0,1),0)),"")</f>
        <v>148</v>
      </c>
      <c r="F9" s="257" cm="1">
        <f t="array" ref="F9">IFERROR(INDEX('Cash Flow Entry'!$E$3:$E$500,MATCH(1,INDEX((Venango!$C$7='Cash Flow Entry'!$B$3:$B$500)*(VALUE(Venango!F$7)='Cash Flow Entry'!$C$3:$C$500),0,1),0)),"")</f>
        <v>149</v>
      </c>
      <c r="G9" s="255" cm="1">
        <f t="array" ref="G9">IFERROR(INDEX('Cash Flow Entry'!$E$3:$E$500,MATCH(1,INDEX((Venango!$C$7='Cash Flow Entry'!$B$3:$B$500)*(VALUE(Venango!G$7)='Cash Flow Entry'!$C$3:$C$500),0,1),0)),"")</f>
        <v>154</v>
      </c>
      <c r="H9" s="256" cm="1">
        <f t="array" ref="H9">IFERROR(INDEX('Cash Flow Entry'!$E$3:$E$500,MATCH(1,INDEX((Venango!$C$7='Cash Flow Entry'!$B$3:$B$500)*(VALUE(Venango!H$7)='Cash Flow Entry'!$C$3:$C$500),0,1),0)),"")</f>
        <v>158</v>
      </c>
      <c r="I9" s="257" cm="1">
        <f t="array" ref="I9">IFERROR(INDEX('Cash Flow Entry'!$E$3:$E$500,MATCH(1,INDEX((Venango!$C$7='Cash Flow Entry'!$B$3:$B$500)*(VALUE(Venango!I$7)='Cash Flow Entry'!$C$3:$C$500),0,1),0)),"")</f>
        <v>158</v>
      </c>
      <c r="J9" s="256" cm="1">
        <f t="array" ref="J9">IFERROR(INDEX('Cash Flow Entry'!$E$3:$E$500,MATCH(1,INDEX((Venango!$C$7='Cash Flow Entry'!$B$3:$B$500)*(VALUE(Venango!J$7)='Cash Flow Entry'!$C$3:$C$500),0,1),0)),"")</f>
        <v>158</v>
      </c>
      <c r="K9" s="256" cm="1">
        <f t="array" ref="K9">IFERROR(INDEX('Cash Flow Entry'!$E$3:$E$500,MATCH(1,INDEX((Venango!$C$7='Cash Flow Entry'!$B$3:$B$500)*(VALUE(Venango!K$7)='Cash Flow Entry'!$C$3:$C$500),0,1),0)),"")</f>
        <v>160</v>
      </c>
      <c r="L9" s="256" t="str" cm="1">
        <f t="array" ref="L9">IFERROR(INDEX('Cash Flow Entry'!$E$3:$E$500,MATCH(1,INDEX((Venango!$C$7='Cash Flow Entry'!$B$3:$B$500)*(VALUE(Venango!L$7)='Cash Flow Entry'!$C$3:$C$500),0,1),0)),"")</f>
        <v/>
      </c>
      <c r="M9" s="255" t="str" cm="1">
        <f t="array" ref="M9">IFERROR(INDEX('Cash Flow Entry'!$E$3:$E$500,MATCH(1,INDEX((Venango!$C$7='Cash Flow Entry'!$B$3:$B$500)*(VALUE(Venango!M$7)='Cash Flow Entry'!$C$3:$C$500),0,1),0)),"")</f>
        <v/>
      </c>
      <c r="N9" s="256" t="str" cm="1">
        <f t="array" ref="N9">IFERROR(INDEX('Cash Flow Entry'!$E$3:$E$500,MATCH(1,INDEX((Venango!$C$7='Cash Flow Entry'!$B$3:$B$500)*(VALUE(Venango!N$7)='Cash Flow Entry'!$C$3:$C$500),0,1),0)),"")</f>
        <v/>
      </c>
      <c r="O9" s="258" t="str" cm="1">
        <f t="array" ref="O9">IFERROR(INDEX('Cash Flow Entry'!$E$3:$E$500,MATCH(1,INDEX((Venango!$C$7='Cash Flow Entry'!$B$3:$B$500)*(VALUE(Venango!O$7)='Cash Flow Entry'!$C$3:$C$500),0,1),0)),"")</f>
        <v/>
      </c>
      <c r="P9" s="259">
        <f>SUM(D9:O9)</f>
        <v>1233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$1,904</v>
      </c>
      <c r="E10" s="645"/>
      <c r="F10" s="646"/>
      <c r="G10" s="262"/>
      <c r="H10" s="263"/>
      <c r="I10" s="264"/>
      <c r="J10" s="263"/>
      <c r="K10" s="263"/>
      <c r="L10" s="263"/>
      <c r="M10" s="644" t="str">
        <f>"Net Actual Funding Rate: "&amp;DOLLAR($P$14/$P$8,2)</f>
        <v>Net Actual Funding Rate: $1,862.60</v>
      </c>
      <c r="N10" s="645"/>
      <c r="O10" s="647"/>
      <c r="P10" s="265">
        <f>P14</f>
        <v>802782.3</v>
      </c>
      <c r="Q10" s="534">
        <v>1904.15</v>
      </c>
      <c r="R10" s="536">
        <f>Q10*P8</f>
        <v>820688.65</v>
      </c>
      <c r="S10" s="536"/>
    </row>
    <row r="11" spans="2:20" ht="18.5" x14ac:dyDescent="0.45">
      <c r="B11" s="213" t="s">
        <v>191</v>
      </c>
      <c r="C11" s="267" t="s">
        <v>194</v>
      </c>
      <c r="D11" s="268">
        <v>92045.2</v>
      </c>
      <c r="E11" s="234">
        <v>93600</v>
      </c>
      <c r="F11" s="234">
        <v>95400</v>
      </c>
      <c r="G11" s="268">
        <v>104728.25</v>
      </c>
      <c r="H11" s="234">
        <v>102824.1</v>
      </c>
      <c r="I11" s="269">
        <v>104728.25</v>
      </c>
      <c r="J11" s="234">
        <v>104728.25</v>
      </c>
      <c r="K11" s="234">
        <v>104728.25</v>
      </c>
      <c r="L11" s="234"/>
      <c r="M11" s="268"/>
      <c r="N11" s="234"/>
      <c r="O11" s="270"/>
      <c r="P11" s="234">
        <f>SUM(D11:O11)</f>
        <v>802782.3</v>
      </c>
      <c r="Q11" s="302"/>
    </row>
    <row r="12" spans="2:20" ht="18.5" x14ac:dyDescent="0.45">
      <c r="C12" s="267" t="s">
        <v>195</v>
      </c>
      <c r="D12" s="268">
        <f>IF(D$8="","",IF(D$11=0,0,D$8*$Q12))</f>
        <v>0</v>
      </c>
      <c r="E12" s="234">
        <f t="shared" ref="E12:O12" si="0">IF(E$8="","",IF(E$11=0,0,E$8*$Q12))</f>
        <v>0</v>
      </c>
      <c r="F12" s="269">
        <f t="shared" si="0"/>
        <v>0</v>
      </c>
      <c r="G12" s="268">
        <f t="shared" si="0"/>
        <v>0</v>
      </c>
      <c r="H12" s="234">
        <f t="shared" si="0"/>
        <v>0</v>
      </c>
      <c r="I12" s="269">
        <f t="shared" si="0"/>
        <v>0</v>
      </c>
      <c r="J12" s="234">
        <f t="shared" si="0"/>
        <v>0</v>
      </c>
      <c r="K12" s="234">
        <f t="shared" si="0"/>
        <v>0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0</v>
      </c>
      <c r="Q12" s="533">
        <v>0</v>
      </c>
    </row>
    <row r="13" spans="2:20" ht="18.5" x14ac:dyDescent="0.45">
      <c r="B13" s="213" t="s">
        <v>191</v>
      </c>
      <c r="C13" s="267" t="s">
        <v>196</v>
      </c>
      <c r="D13" s="458">
        <f t="shared" ref="D13:O13" si="2">IF(D$8="","",0)</f>
        <v>0</v>
      </c>
      <c r="E13" s="457">
        <f t="shared" si="2"/>
        <v>0</v>
      </c>
      <c r="F13" s="269">
        <f t="shared" si="2"/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ht="18.5" x14ac:dyDescent="0.45">
      <c r="C14" s="272" t="s">
        <v>197</v>
      </c>
      <c r="D14" s="273">
        <f>IF(D8="","",SUM(D11:D13))</f>
        <v>92045.2</v>
      </c>
      <c r="E14" s="274">
        <f t="shared" ref="E14:O14" si="3">IF(E8="","",SUM(E11:E13))</f>
        <v>93600</v>
      </c>
      <c r="F14" s="275">
        <f t="shared" si="3"/>
        <v>95400</v>
      </c>
      <c r="G14" s="273">
        <f t="shared" si="3"/>
        <v>104728.25</v>
      </c>
      <c r="H14" s="274">
        <f t="shared" si="3"/>
        <v>102824.1</v>
      </c>
      <c r="I14" s="275">
        <f t="shared" si="3"/>
        <v>104728.25</v>
      </c>
      <c r="J14" s="274">
        <f t="shared" si="3"/>
        <v>104728.25</v>
      </c>
      <c r="K14" s="274">
        <f t="shared" si="3"/>
        <v>104728.25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802782.3</v>
      </c>
      <c r="Q14" s="533"/>
    </row>
    <row r="15" spans="2:20" ht="18.5" x14ac:dyDescent="0.45">
      <c r="C15" s="161"/>
      <c r="D15" s="277"/>
      <c r="E15" s="161"/>
      <c r="F15" s="278"/>
      <c r="G15" s="277"/>
      <c r="H15" s="158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$1,445</v>
      </c>
      <c r="E16" s="645"/>
      <c r="F16" s="646"/>
      <c r="G16" s="644" t="str">
        <f>"Admin, Reinsurance, &amp; Misc. PEPM: "&amp;DOLLAR(SUM($P36,$P42,$P49)/$P$8,0)</f>
        <v>Admin, Reinsurance, &amp; Misc. PEPM: $747</v>
      </c>
      <c r="H16" s="645"/>
      <c r="I16" s="646"/>
      <c r="J16" s="644" t="str">
        <f>"Total Expenses PEPM: "&amp;DOLLAR($P16/$P$8,0)</f>
        <v>Total Expenses PEPM: $2,192</v>
      </c>
      <c r="K16" s="645"/>
      <c r="L16" s="646"/>
      <c r="M16" s="644" t="str">
        <f>"Projection Variance: "&amp;TEXT(($P$16/$P$8)/$Q$10-1,"0.00%")</f>
        <v>Projection Variance: 15.11%</v>
      </c>
      <c r="N16" s="645"/>
      <c r="O16" s="647"/>
      <c r="P16" s="265">
        <f>SUM(P26,P36,P42,P49)</f>
        <v>944692.36052631587</v>
      </c>
      <c r="Q16" s="534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ht="18.5" x14ac:dyDescent="0.45">
      <c r="B18" s="213"/>
      <c r="C18" s="267" t="s">
        <v>91</v>
      </c>
      <c r="D18" s="268" cm="1">
        <f t="array" ref="D18">IFERROR(IFERROR(INDEX('Cash Flow Entry'!$F$3:$F$500,MATCH(1,INDEX((Venango!$C$7='Cash Flow Entry'!$B$3:$B$500)*(VALUE(Venango!D$7)='Cash Flow Entry'!$C$3:$C$500),0,1),0)),"")+IFERROR(INDEX('Cash Flow Entry'!$H$3:$H$500,MATCH(1,INDEX((Venango!$C$7='Cash Flow Entry'!$B$3:$B$500)*(VALUE(Venango!D$7)='Cash Flow Entry'!$C$3:$C$500),0,1),0)),""),"")</f>
        <v>31077</v>
      </c>
      <c r="E18" s="234" cm="1">
        <f t="array" ref="E18">IFERROR(IFERROR(INDEX('Cash Flow Entry'!$F$3:$F$500,MATCH(1,INDEX((Venango!$C$7='Cash Flow Entry'!$B$3:$B$500)*(VALUE(Venango!E$7)='Cash Flow Entry'!$C$3:$C$500),0,1),0)),"")+IFERROR(INDEX('Cash Flow Entry'!$H$3:$H$500,MATCH(1,INDEX((Venango!$C$7='Cash Flow Entry'!$B$3:$B$500)*(VALUE(Venango!E$7)='Cash Flow Entry'!$C$3:$C$500),0,1),0)),""),"")</f>
        <v>73739.900000000009</v>
      </c>
      <c r="F18" s="269" cm="1">
        <f t="array" ref="F18">IFERROR(IFERROR(INDEX('Cash Flow Entry'!$F$3:$F$500,MATCH(1,INDEX((Venango!$C$7='Cash Flow Entry'!$B$3:$B$500)*(VALUE(Venango!F$7)='Cash Flow Entry'!$C$3:$C$500),0,1),0)),"")+IFERROR(INDEX('Cash Flow Entry'!$H$3:$H$500,MATCH(1,INDEX((Venango!$C$7='Cash Flow Entry'!$B$3:$B$500)*(VALUE(Venango!F$7)='Cash Flow Entry'!$C$3:$C$500),0,1),0)),""),"")</f>
        <v>45790.92</v>
      </c>
      <c r="G18" s="268" cm="1">
        <f t="array" ref="G18">IFERROR(IFERROR(INDEX('Cash Flow Entry'!$F$3:$F$500,MATCH(1,INDEX((Venango!$C$7='Cash Flow Entry'!$B$3:$B$500)*(VALUE(Venango!G$7)='Cash Flow Entry'!$C$3:$C$500),0,1),0)),"")+IFERROR(INDEX('Cash Flow Entry'!$H$3:$H$500,MATCH(1,INDEX((Venango!$C$7='Cash Flow Entry'!$B$3:$B$500)*(VALUE(Venango!G$7)='Cash Flow Entry'!$C$3:$C$500),0,1),0)),""),"")</f>
        <v>64211.78</v>
      </c>
      <c r="H18" s="234" cm="1">
        <f t="array" ref="H18">IFERROR(IFERROR(INDEX('Cash Flow Entry'!$F$3:$F$500,MATCH(1,INDEX((Venango!$C$7='Cash Flow Entry'!$B$3:$B$500)*(VALUE(Venango!H$7)='Cash Flow Entry'!$C$3:$C$500),0,1),0)),"")+IFERROR(INDEX('Cash Flow Entry'!$H$3:$H$500,MATCH(1,INDEX((Venango!$C$7='Cash Flow Entry'!$B$3:$B$500)*(VALUE(Venango!H$7)='Cash Flow Entry'!$C$3:$C$500),0,1),0)),""),"")</f>
        <v>47354.75</v>
      </c>
      <c r="I18" s="269" cm="1">
        <f t="array" ref="I18">IFERROR(IFERROR(INDEX('Cash Flow Entry'!$F$3:$F$500,MATCH(1,INDEX((Venango!$C$7='Cash Flow Entry'!$B$3:$B$500)*(VALUE(Venango!I$7)='Cash Flow Entry'!$C$3:$C$500),0,1),0)),"")+IFERROR(INDEX('Cash Flow Entry'!$H$3:$H$500,MATCH(1,INDEX((Venango!$C$7='Cash Flow Entry'!$B$3:$B$500)*(VALUE(Venango!I$7)='Cash Flow Entry'!$C$3:$C$500),0,1),0)),""),"")</f>
        <v>58955.009999999995</v>
      </c>
      <c r="J18" s="234" cm="1">
        <f t="array" ref="J18">IFERROR(IFERROR(INDEX('Cash Flow Entry'!$F$3:$F$500,MATCH(1,INDEX((Venango!$C$7='Cash Flow Entry'!$B$3:$B$500)*(VALUE(Venango!J$7)='Cash Flow Entry'!$C$3:$C$500),0,1),0)),"")+IFERROR(INDEX('Cash Flow Entry'!$H$3:$H$500,MATCH(1,INDEX((Venango!$C$7='Cash Flow Entry'!$B$3:$B$500)*(VALUE(Venango!J$7)='Cash Flow Entry'!$C$3:$C$500),0,1),0)),""),"")</f>
        <v>70930.7</v>
      </c>
      <c r="K18" s="234" cm="1">
        <f t="array" ref="K18">IFERROR(IFERROR(INDEX('Cash Flow Entry'!$F$3:$F$500,MATCH(1,INDEX((Venango!$C$7='Cash Flow Entry'!$B$3:$B$500)*(VALUE(Venango!K$7)='Cash Flow Entry'!$C$3:$C$500),0,1),0)),"")+IFERROR(INDEX('Cash Flow Entry'!$H$3:$H$500,MATCH(1,INDEX((Venango!$C$7='Cash Flow Entry'!$B$3:$B$500)*(VALUE(Venango!K$7)='Cash Flow Entry'!$C$3:$C$500),0,1),0)),""),"")</f>
        <v>44176.84</v>
      </c>
      <c r="L18" s="234" t="str" cm="1">
        <f t="array" ref="L18">IFERROR(IFERROR(INDEX('Cash Flow Entry'!$F$3:$F$500,MATCH(1,INDEX((Venango!$C$7='Cash Flow Entry'!$B$3:$B$500)*(VALUE(Venango!L$7)='Cash Flow Entry'!$C$3:$C$500),0,1),0)),"")+IFERROR(INDEX('Cash Flow Entry'!$H$3:$H$500,MATCH(1,INDEX((Venango!$C$7='Cash Flow Entry'!$B$3:$B$500)*(VALUE(Venango!L$7)='Cash Flow Entry'!$C$3:$C$500),0,1),0)),""),"")</f>
        <v/>
      </c>
      <c r="M18" s="268" t="str" cm="1">
        <f t="array" ref="M18">IFERROR(IFERROR(INDEX('Cash Flow Entry'!$F$3:$F$500,MATCH(1,INDEX((Venango!$C$7='Cash Flow Entry'!$B$3:$B$500)*(VALUE(Venango!M$7)='Cash Flow Entry'!$C$3:$C$500),0,1),0)),"")+IFERROR(INDEX('Cash Flow Entry'!$H$3:$H$500,MATCH(1,INDEX((Venango!$C$7='Cash Flow Entry'!$B$3:$B$500)*(VALUE(Venango!M$7)='Cash Flow Entry'!$C$3:$C$500),0,1),0)),""),"")</f>
        <v/>
      </c>
      <c r="N18" s="234" t="str" cm="1">
        <f t="array" ref="N18">IFERROR(IFERROR(INDEX('Cash Flow Entry'!$F$3:$F$500,MATCH(1,INDEX((Venango!$C$7='Cash Flow Entry'!$B$3:$B$500)*(VALUE(Venango!N$7)='Cash Flow Entry'!$C$3:$C$500),0,1),0)),"")+IFERROR(INDEX('Cash Flow Entry'!$H$3:$H$500,MATCH(1,INDEX((Venango!$C$7='Cash Flow Entry'!$B$3:$B$500)*(VALUE(Venango!N$7)='Cash Flow Entry'!$C$3:$C$500),0,1),0)),""),"")</f>
        <v/>
      </c>
      <c r="O18" s="270" t="str" cm="1">
        <f t="array" ref="O18">IFERROR(IFERROR(INDEX('Cash Flow Entry'!$F$3:$F$500,MATCH(1,INDEX((Venango!$C$7='Cash Flow Entry'!$B$3:$B$500)*(VALUE(Venango!O$7)='Cash Flow Entry'!$C$3:$C$500),0,1),0)),"")+IFERROR(INDEX('Cash Flow Entry'!$H$3:$H$500,MATCH(1,INDEX((Venango!$C$7='Cash Flow Entry'!$B$3:$B$500)*(VALUE(Venango!O$7)='Cash Flow Entry'!$C$3:$C$500),0,1),0)),""),"")</f>
        <v/>
      </c>
      <c r="P18" s="234">
        <f>SUM(D18:O18)</f>
        <v>436236.9</v>
      </c>
      <c r="Q18" s="533">
        <v>875.8</v>
      </c>
    </row>
    <row r="19" spans="2:17" ht="18.5" x14ac:dyDescent="0.45">
      <c r="B19" s="213"/>
      <c r="C19" s="267" t="s">
        <v>93</v>
      </c>
      <c r="D19" s="268" cm="1">
        <f t="array" ref="D19">IFERROR(INDEX('Cash Flow Entry'!$G$3:$G$500,MATCH(1,INDEX((Venango!$C$7='Cash Flow Entry'!$B$3:$B$500)*(VALUE(Venango!D$7)='Cash Flow Entry'!$C$3:$C$500),0,1),0)),"")</f>
        <v>20448.349999999999</v>
      </c>
      <c r="E19" s="234" cm="1">
        <f t="array" ref="E19">IFERROR(INDEX('Cash Flow Entry'!$G$3:$G$500,MATCH(1,INDEX((Venango!$C$7='Cash Flow Entry'!$B$3:$B$500)*(VALUE(Venango!E$7)='Cash Flow Entry'!$C$3:$C$500),0,1),0)),"")</f>
        <v>33526.49</v>
      </c>
      <c r="F19" s="269" cm="1">
        <f t="array" ref="F19">IFERROR(INDEX('Cash Flow Entry'!$G$3:$G$500,MATCH(1,INDEX((Venango!$C$7='Cash Flow Entry'!$B$3:$B$500)*(VALUE(Venango!F$7)='Cash Flow Entry'!$C$3:$C$500),0,1),0)),"")</f>
        <v>30146.77</v>
      </c>
      <c r="G19" s="268" cm="1">
        <f t="array" ref="G19">IFERROR(INDEX('Cash Flow Entry'!$G$3:$G$500,MATCH(1,INDEX((Venango!$C$7='Cash Flow Entry'!$B$3:$B$500)*(VALUE(Venango!G$7)='Cash Flow Entry'!$C$3:$C$500),0,1),0)),"")</f>
        <v>25994.36</v>
      </c>
      <c r="H19" s="234" cm="1">
        <f t="array" ref="H19">IFERROR(INDEX('Cash Flow Entry'!$G$3:$G$500,MATCH(1,INDEX((Venango!$C$7='Cash Flow Entry'!$B$3:$B$500)*(VALUE(Venango!H$7)='Cash Flow Entry'!$C$3:$C$500),0,1),0)),"")</f>
        <v>30069.77</v>
      </c>
      <c r="I19" s="269" cm="1">
        <f t="array" ref="I19">IFERROR(INDEX('Cash Flow Entry'!$G$3:$G$500,MATCH(1,INDEX((Venango!$C$7='Cash Flow Entry'!$B$3:$B$500)*(VALUE(Venango!I$7)='Cash Flow Entry'!$C$3:$C$500),0,1),0)),"")</f>
        <v>25749.22</v>
      </c>
      <c r="J19" s="234" cm="1">
        <f t="array" ref="J19">IFERROR(INDEX('Cash Flow Entry'!$G$3:$G$500,MATCH(1,INDEX((Venango!$C$7='Cash Flow Entry'!$B$3:$B$500)*(VALUE(Venango!J$7)='Cash Flow Entry'!$C$3:$C$500),0,1),0)),"")</f>
        <v>40859.99</v>
      </c>
      <c r="K19" s="234" cm="1">
        <f t="array" ref="K19">IFERROR(INDEX('Cash Flow Entry'!$G$3:$G$500,MATCH(1,INDEX((Venango!$C$7='Cash Flow Entry'!$B$3:$B$500)*(VALUE(Venango!K$7)='Cash Flow Entry'!$C$3:$C$500),0,1),0)),"")</f>
        <v>28114.18</v>
      </c>
      <c r="L19" s="234" t="str" cm="1">
        <f t="array" ref="L19">IFERROR(INDEX('Cash Flow Entry'!$G$3:$G$500,MATCH(1,INDEX((Venango!$C$7='Cash Flow Entry'!$B$3:$B$500)*(VALUE(Venango!L$7)='Cash Flow Entry'!$C$3:$C$500),0,1),0)),"")</f>
        <v/>
      </c>
      <c r="M19" s="268" t="str" cm="1">
        <f t="array" ref="M19">IFERROR(INDEX('Cash Flow Entry'!$G$3:$G$500,MATCH(1,INDEX((Venango!$C$7='Cash Flow Entry'!$B$3:$B$500)*(VALUE(Venango!M$7)='Cash Flow Entry'!$C$3:$C$500),0,1),0)),"")</f>
        <v/>
      </c>
      <c r="N19" s="234" t="str" cm="1">
        <f t="array" ref="N19">IFERROR(INDEX('Cash Flow Entry'!$G$3:$G$500,MATCH(1,INDEX((Venango!$C$7='Cash Flow Entry'!$B$3:$B$500)*(VALUE(Venango!N$7)='Cash Flow Entry'!$C$3:$C$500),0,1),0)),"")</f>
        <v/>
      </c>
      <c r="O19" s="270" t="str" cm="1">
        <f t="array" ref="O19">IFERROR(INDEX('Cash Flow Entry'!$G$3:$G$500,MATCH(1,INDEX((Venango!$C$7='Cash Flow Entry'!$B$3:$B$500)*(VALUE(Venango!O$7)='Cash Flow Entry'!$C$3:$C$500),0,1),0)),"")</f>
        <v/>
      </c>
      <c r="P19" s="234">
        <f>SUM(D19:O19)</f>
        <v>234909.12999999998</v>
      </c>
      <c r="Q19" s="533">
        <v>206.84</v>
      </c>
    </row>
    <row r="20" spans="2:17" ht="18.5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ht="18.5" x14ac:dyDescent="0.45">
      <c r="B21" s="219">
        <f>INDEX('HCC Summary'!$I$9:$I$27,MATCH(Venango!C7,'HCC Summary'!B9:B27, 0))</f>
        <v>0</v>
      </c>
      <c r="C21" s="282" t="s">
        <v>225</v>
      </c>
      <c r="D21" s="283">
        <v>0</v>
      </c>
      <c r="E21" s="284">
        <v>0</v>
      </c>
      <c r="F21" s="285">
        <v>0</v>
      </c>
      <c r="G21" s="283">
        <v>0</v>
      </c>
      <c r="H21" s="284">
        <v>0</v>
      </c>
      <c r="I21" s="285">
        <v>0</v>
      </c>
      <c r="J21" s="284">
        <v>0</v>
      </c>
      <c r="K21" s="284">
        <v>0</v>
      </c>
      <c r="L21" s="284"/>
      <c r="M21" s="283"/>
      <c r="N21" s="284"/>
      <c r="O21" s="286"/>
      <c r="P21" s="641">
        <f>SUM(D22:O22)</f>
        <v>0</v>
      </c>
      <c r="Q21" s="533"/>
    </row>
    <row r="22" spans="2:17" ht="18.5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0</v>
      </c>
      <c r="F22" s="269">
        <f t="shared" si="5"/>
        <v>0</v>
      </c>
      <c r="G22" s="268">
        <f t="shared" si="5"/>
        <v>0</v>
      </c>
      <c r="H22" s="234">
        <f t="shared" si="5"/>
        <v>0</v>
      </c>
      <c r="I22" s="269">
        <f t="shared" si="5"/>
        <v>0</v>
      </c>
      <c r="J22" s="234">
        <f t="shared" si="5"/>
        <v>0</v>
      </c>
      <c r="K22" s="234">
        <f t="shared" si="5"/>
        <v>0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7" ht="18.5" x14ac:dyDescent="0.45">
      <c r="C23" s="267" t="s">
        <v>363</v>
      </c>
      <c r="D23" s="268">
        <f>IF(D$8="","",$U68)</f>
        <v>0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0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0</v>
      </c>
      <c r="Q23" s="533"/>
    </row>
    <row r="24" spans="2:17" ht="18.5" x14ac:dyDescent="0.45">
      <c r="C24" s="267" t="s">
        <v>25</v>
      </c>
      <c r="D24" s="268">
        <f t="shared" ref="D24:O24" si="7">IF(D$8="","",D$8*$Q$24)</f>
        <v>-5720</v>
      </c>
      <c r="E24" s="234">
        <f t="shared" si="7"/>
        <v>-5720</v>
      </c>
      <c r="F24" s="269">
        <f t="shared" si="7"/>
        <v>-5830</v>
      </c>
      <c r="G24" s="268">
        <f t="shared" si="7"/>
        <v>-5940</v>
      </c>
      <c r="H24" s="234">
        <f t="shared" si="7"/>
        <v>-6050</v>
      </c>
      <c r="I24" s="269">
        <f t="shared" si="7"/>
        <v>-6050</v>
      </c>
      <c r="J24" s="234">
        <f t="shared" si="7"/>
        <v>-6050</v>
      </c>
      <c r="K24" s="234">
        <f t="shared" si="7"/>
        <v>-6050</v>
      </c>
      <c r="L24" s="234" t="str">
        <f t="shared" si="7"/>
        <v/>
      </c>
      <c r="M24" s="268" t="str">
        <f t="shared" si="7"/>
        <v/>
      </c>
      <c r="N24" s="234" t="str">
        <f t="shared" si="7"/>
        <v/>
      </c>
      <c r="O24" s="270" t="str">
        <f t="shared" si="7"/>
        <v/>
      </c>
      <c r="P24" s="234">
        <f t="shared" si="6"/>
        <v>-47410</v>
      </c>
      <c r="Q24" s="533">
        <v>-110</v>
      </c>
    </row>
    <row r="25" spans="2:17" ht="18.5" x14ac:dyDescent="0.45">
      <c r="B25" s="213"/>
      <c r="C25" s="267" t="s">
        <v>199</v>
      </c>
      <c r="D25" s="268">
        <f>IF(D$8="","",SUM($L68:$R68))</f>
        <v>300</v>
      </c>
      <c r="E25" s="234">
        <f>IF(E$8="","",SUM($L69:$R69))</f>
        <v>930.51</v>
      </c>
      <c r="F25" s="269">
        <f>IF(F$8="","",SUM($L70:$R70))</f>
        <v>56.449999999999989</v>
      </c>
      <c r="G25" s="268">
        <f>IF(G$8="","",SUM($L71:$R71))</f>
        <v>1033.21</v>
      </c>
      <c r="H25" s="234">
        <f>IF(H$8="","",SUM($L72:$R72))</f>
        <v>1238.98</v>
      </c>
      <c r="I25" s="269">
        <f>IF(I$8="","",SUM($L73:$R73))</f>
        <v>316.48999999999995</v>
      </c>
      <c r="J25" s="234">
        <f>IF(J$8="","",SUM($L74:$R74))</f>
        <v>1066.96</v>
      </c>
      <c r="K25" s="234">
        <f>IF(K$8="","",SUM($L75:$S75))</f>
        <v>-6012.77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-1070.17</v>
      </c>
      <c r="Q25" s="533"/>
    </row>
    <row r="26" spans="2:17" ht="18.5" x14ac:dyDescent="0.45">
      <c r="C26" s="272" t="s">
        <v>200</v>
      </c>
      <c r="D26" s="273">
        <f>IF(D8="","",SUM(D18:D20,D22:D25))</f>
        <v>46105.35</v>
      </c>
      <c r="E26" s="274">
        <f t="shared" ref="E26:L26" si="8">IF(E8="","",SUM(E18:E20,E22:E25))</f>
        <v>102476.90000000001</v>
      </c>
      <c r="F26" s="275">
        <f t="shared" si="8"/>
        <v>70164.14</v>
      </c>
      <c r="G26" s="273">
        <f t="shared" si="8"/>
        <v>85299.35</v>
      </c>
      <c r="H26" s="274">
        <f t="shared" si="8"/>
        <v>72613.5</v>
      </c>
      <c r="I26" s="275">
        <f t="shared" si="8"/>
        <v>78970.720000000001</v>
      </c>
      <c r="J26" s="273">
        <f t="shared" si="8"/>
        <v>106807.65000000001</v>
      </c>
      <c r="K26" s="274">
        <f t="shared" si="8"/>
        <v>60228.249999999985</v>
      </c>
      <c r="L26" s="275" t="str">
        <f t="shared" si="8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 t="shared" ref="O26" si="9">IF(O8="","",SUM(O18:O19,O22:O25))</f>
        <v/>
      </c>
      <c r="P26" s="274">
        <f>SUM(P18:P25)</f>
        <v>622665.86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ht="18.5" x14ac:dyDescent="0.45">
      <c r="C28" s="267" t="s">
        <v>223</v>
      </c>
      <c r="D28" s="268">
        <f>IF(D$8="","",D$8*$Q28)</f>
        <v>2087.2800000000002</v>
      </c>
      <c r="E28" s="234">
        <f t="shared" ref="E28:O35" si="10">IF(E$8="","",E$8*$Q28)</f>
        <v>2087.2800000000002</v>
      </c>
      <c r="F28" s="269">
        <f t="shared" si="10"/>
        <v>2127.42</v>
      </c>
      <c r="G28" s="268">
        <f t="shared" si="10"/>
        <v>2167.56</v>
      </c>
      <c r="H28" s="234">
        <f t="shared" si="10"/>
        <v>2207.6999999999998</v>
      </c>
      <c r="I28" s="269">
        <f t="shared" si="10"/>
        <v>2207.6999999999998</v>
      </c>
      <c r="J28" s="234">
        <f t="shared" si="10"/>
        <v>2207.6999999999998</v>
      </c>
      <c r="K28" s="234">
        <f t="shared" si="10"/>
        <v>2207.6999999999998</v>
      </c>
      <c r="L28" s="234" t="str">
        <f t="shared" si="10"/>
        <v/>
      </c>
      <c r="M28" s="268" t="str">
        <f t="shared" si="10"/>
        <v/>
      </c>
      <c r="N28" s="234" t="str">
        <f t="shared" si="10"/>
        <v/>
      </c>
      <c r="O28" s="270" t="str">
        <f t="shared" si="10"/>
        <v/>
      </c>
      <c r="P28" s="234">
        <f>SUM(D28:O28)</f>
        <v>17300.340000000004</v>
      </c>
      <c r="Q28" s="533">
        <v>40.14</v>
      </c>
    </row>
    <row r="29" spans="2:17" ht="18.5" x14ac:dyDescent="0.45">
      <c r="C29" s="267" t="s">
        <v>224</v>
      </c>
      <c r="D29" s="268">
        <f t="shared" ref="D29:O35" si="11">IF(D$8="","",D$8*$Q29)</f>
        <v>208</v>
      </c>
      <c r="E29" s="234">
        <f t="shared" si="10"/>
        <v>208</v>
      </c>
      <c r="F29" s="269">
        <f t="shared" si="10"/>
        <v>212</v>
      </c>
      <c r="G29" s="268">
        <f t="shared" si="10"/>
        <v>216</v>
      </c>
      <c r="H29" s="234">
        <f t="shared" si="10"/>
        <v>220</v>
      </c>
      <c r="I29" s="269">
        <f t="shared" si="10"/>
        <v>220</v>
      </c>
      <c r="J29" s="234">
        <f t="shared" si="10"/>
        <v>220</v>
      </c>
      <c r="K29" s="234">
        <f t="shared" si="10"/>
        <v>220</v>
      </c>
      <c r="L29" s="234" t="str">
        <f t="shared" si="10"/>
        <v/>
      </c>
      <c r="M29" s="268" t="str">
        <f t="shared" si="10"/>
        <v/>
      </c>
      <c r="N29" s="234" t="str">
        <f t="shared" si="10"/>
        <v/>
      </c>
      <c r="O29" s="270" t="str">
        <f t="shared" si="10"/>
        <v/>
      </c>
      <c r="P29" s="234">
        <f t="shared" ref="P29:P35" si="12">SUM(D29:O29)</f>
        <v>1724</v>
      </c>
      <c r="Q29" s="533">
        <v>4</v>
      </c>
    </row>
    <row r="30" spans="2:17" ht="18.5" x14ac:dyDescent="0.45">
      <c r="C30" s="267" t="s">
        <v>324</v>
      </c>
      <c r="D30" s="268">
        <f>IF(D$8="","",D$8*$Q30)</f>
        <v>0</v>
      </c>
      <c r="E30" s="234">
        <f t="shared" si="10"/>
        <v>0</v>
      </c>
      <c r="F30" s="234">
        <f t="shared" si="10"/>
        <v>0</v>
      </c>
      <c r="G30" s="268">
        <f t="shared" si="10"/>
        <v>0</v>
      </c>
      <c r="H30" s="234">
        <f t="shared" si="10"/>
        <v>0</v>
      </c>
      <c r="I30" s="234">
        <f t="shared" si="10"/>
        <v>0</v>
      </c>
      <c r="J30" s="268">
        <f t="shared" si="10"/>
        <v>0</v>
      </c>
      <c r="K30" s="234">
        <f t="shared" si="10"/>
        <v>0</v>
      </c>
      <c r="L30" s="234" t="str">
        <f t="shared" si="10"/>
        <v/>
      </c>
      <c r="M30" s="268" t="str">
        <f t="shared" si="10"/>
        <v/>
      </c>
      <c r="N30" s="234" t="str">
        <f t="shared" si="10"/>
        <v/>
      </c>
      <c r="O30" s="270" t="str">
        <f t="shared" si="10"/>
        <v/>
      </c>
      <c r="P30" s="234">
        <f t="shared" si="12"/>
        <v>0</v>
      </c>
      <c r="Q30" s="533">
        <v>0</v>
      </c>
    </row>
    <row r="31" spans="2:17" ht="18.5" x14ac:dyDescent="0.45">
      <c r="C31" s="267" t="s">
        <v>325</v>
      </c>
      <c r="D31" s="268">
        <f t="shared" si="11"/>
        <v>0</v>
      </c>
      <c r="E31" s="234">
        <f t="shared" si="11"/>
        <v>0</v>
      </c>
      <c r="F31" s="234">
        <f t="shared" si="11"/>
        <v>0</v>
      </c>
      <c r="G31" s="268">
        <f t="shared" si="11"/>
        <v>0</v>
      </c>
      <c r="H31" s="234">
        <f t="shared" si="11"/>
        <v>0</v>
      </c>
      <c r="I31" s="234">
        <f t="shared" si="11"/>
        <v>0</v>
      </c>
      <c r="J31" s="268">
        <f t="shared" si="11"/>
        <v>0</v>
      </c>
      <c r="K31" s="234">
        <f t="shared" si="11"/>
        <v>0</v>
      </c>
      <c r="L31" s="234" t="str">
        <f t="shared" si="11"/>
        <v/>
      </c>
      <c r="M31" s="268" t="str">
        <f t="shared" si="11"/>
        <v/>
      </c>
      <c r="N31" s="234" t="str">
        <f t="shared" si="11"/>
        <v/>
      </c>
      <c r="O31" s="270" t="str">
        <f t="shared" si="11"/>
        <v/>
      </c>
      <c r="P31" s="234">
        <f t="shared" si="12"/>
        <v>0</v>
      </c>
      <c r="Q31" s="533">
        <v>0</v>
      </c>
    </row>
    <row r="32" spans="2:17" ht="18.5" x14ac:dyDescent="0.45">
      <c r="C32" s="267" t="s">
        <v>247</v>
      </c>
      <c r="D32" s="268">
        <f t="shared" si="11"/>
        <v>0</v>
      </c>
      <c r="E32" s="234">
        <f t="shared" si="11"/>
        <v>0</v>
      </c>
      <c r="F32" s="269">
        <f t="shared" si="11"/>
        <v>0</v>
      </c>
      <c r="G32" s="268">
        <f t="shared" si="11"/>
        <v>0</v>
      </c>
      <c r="H32" s="234">
        <f t="shared" si="11"/>
        <v>0</v>
      </c>
      <c r="I32" s="269">
        <f t="shared" si="11"/>
        <v>0</v>
      </c>
      <c r="J32" s="234">
        <f t="shared" si="11"/>
        <v>0</v>
      </c>
      <c r="K32" s="234">
        <f t="shared" si="11"/>
        <v>0</v>
      </c>
      <c r="L32" s="234" t="str">
        <f t="shared" si="11"/>
        <v/>
      </c>
      <c r="M32" s="268" t="str">
        <f t="shared" si="11"/>
        <v/>
      </c>
      <c r="N32" s="234" t="str">
        <f t="shared" si="11"/>
        <v/>
      </c>
      <c r="O32" s="270" t="str">
        <f t="shared" si="11"/>
        <v/>
      </c>
      <c r="P32" s="234">
        <f t="shared" si="12"/>
        <v>0</v>
      </c>
      <c r="Q32" s="533">
        <v>0</v>
      </c>
    </row>
    <row r="33" spans="2:18" ht="18.5" x14ac:dyDescent="0.45">
      <c r="C33" s="267" t="s">
        <v>227</v>
      </c>
      <c r="D33" s="268">
        <f t="shared" si="11"/>
        <v>91</v>
      </c>
      <c r="E33" s="234">
        <f t="shared" si="10"/>
        <v>91</v>
      </c>
      <c r="F33" s="269">
        <f t="shared" si="10"/>
        <v>92.75</v>
      </c>
      <c r="G33" s="268">
        <f t="shared" si="10"/>
        <v>94.5</v>
      </c>
      <c r="H33" s="234">
        <f t="shared" si="10"/>
        <v>96.25</v>
      </c>
      <c r="I33" s="269">
        <f t="shared" si="10"/>
        <v>96.25</v>
      </c>
      <c r="J33" s="234">
        <f t="shared" si="10"/>
        <v>96.25</v>
      </c>
      <c r="K33" s="234">
        <f t="shared" si="10"/>
        <v>96.25</v>
      </c>
      <c r="L33" s="234" t="str">
        <f t="shared" si="10"/>
        <v/>
      </c>
      <c r="M33" s="268" t="str">
        <f t="shared" si="10"/>
        <v/>
      </c>
      <c r="N33" s="234" t="str">
        <f t="shared" si="10"/>
        <v/>
      </c>
      <c r="O33" s="270" t="str">
        <f t="shared" si="10"/>
        <v/>
      </c>
      <c r="P33" s="234">
        <f t="shared" si="12"/>
        <v>754.25</v>
      </c>
      <c r="Q33" s="533">
        <v>1.75</v>
      </c>
    </row>
    <row r="34" spans="2:18" ht="18.5" x14ac:dyDescent="0.45">
      <c r="C34" s="267" t="s">
        <v>228</v>
      </c>
      <c r="D34" s="268">
        <f t="shared" si="11"/>
        <v>171.6</v>
      </c>
      <c r="E34" s="234">
        <f t="shared" si="10"/>
        <v>171.6</v>
      </c>
      <c r="F34" s="269">
        <f t="shared" si="10"/>
        <v>174.89999999999998</v>
      </c>
      <c r="G34" s="268">
        <f t="shared" si="10"/>
        <v>178.2</v>
      </c>
      <c r="H34" s="234">
        <f t="shared" si="10"/>
        <v>181.5</v>
      </c>
      <c r="I34" s="269">
        <f t="shared" si="10"/>
        <v>181.5</v>
      </c>
      <c r="J34" s="234">
        <f t="shared" si="10"/>
        <v>181.5</v>
      </c>
      <c r="K34" s="234">
        <f t="shared" si="10"/>
        <v>181.5</v>
      </c>
      <c r="L34" s="234" t="str">
        <f t="shared" si="10"/>
        <v/>
      </c>
      <c r="M34" s="268" t="str">
        <f t="shared" si="10"/>
        <v/>
      </c>
      <c r="N34" s="234" t="str">
        <f t="shared" si="10"/>
        <v/>
      </c>
      <c r="O34" s="270" t="str">
        <f t="shared" si="10"/>
        <v/>
      </c>
      <c r="P34" s="234">
        <f t="shared" si="12"/>
        <v>1422.3</v>
      </c>
      <c r="Q34" s="533">
        <v>3.3</v>
      </c>
    </row>
    <row r="35" spans="2:18" ht="18.5" x14ac:dyDescent="0.45">
      <c r="C35" s="267" t="s">
        <v>202</v>
      </c>
      <c r="D35" s="268">
        <f t="shared" si="11"/>
        <v>205.92</v>
      </c>
      <c r="E35" s="234">
        <f t="shared" si="10"/>
        <v>205.92</v>
      </c>
      <c r="F35" s="269">
        <f t="shared" si="10"/>
        <v>209.88</v>
      </c>
      <c r="G35" s="268">
        <f t="shared" si="10"/>
        <v>213.84</v>
      </c>
      <c r="H35" s="234">
        <f t="shared" si="10"/>
        <v>217.8</v>
      </c>
      <c r="I35" s="269">
        <f t="shared" si="10"/>
        <v>217.8</v>
      </c>
      <c r="J35" s="234">
        <f t="shared" si="10"/>
        <v>217.8</v>
      </c>
      <c r="K35" s="234">
        <f t="shared" si="10"/>
        <v>217.8</v>
      </c>
      <c r="L35" s="234" t="str">
        <f t="shared" si="10"/>
        <v/>
      </c>
      <c r="M35" s="268" t="str">
        <f t="shared" si="10"/>
        <v/>
      </c>
      <c r="N35" s="234" t="str">
        <f t="shared" si="10"/>
        <v/>
      </c>
      <c r="O35" s="270" t="str">
        <f t="shared" si="10"/>
        <v/>
      </c>
      <c r="P35" s="234">
        <f t="shared" si="12"/>
        <v>1706.76</v>
      </c>
      <c r="Q35" s="533">
        <v>3.96</v>
      </c>
    </row>
    <row r="36" spans="2:18" ht="18.5" x14ac:dyDescent="0.45">
      <c r="C36" s="272" t="s">
        <v>203</v>
      </c>
      <c r="D36" s="273">
        <f t="shared" ref="D36:P36" si="13">IF(D$8="","",SUM(D28:D35))</f>
        <v>2763.8</v>
      </c>
      <c r="E36" s="274">
        <f t="shared" si="13"/>
        <v>2763.8</v>
      </c>
      <c r="F36" s="275">
        <f t="shared" si="13"/>
        <v>2816.9500000000003</v>
      </c>
      <c r="G36" s="273">
        <f t="shared" si="13"/>
        <v>2870.1</v>
      </c>
      <c r="H36" s="274">
        <f t="shared" si="13"/>
        <v>2923.25</v>
      </c>
      <c r="I36" s="275">
        <f t="shared" si="13"/>
        <v>2923.25</v>
      </c>
      <c r="J36" s="274">
        <f t="shared" si="13"/>
        <v>2923.25</v>
      </c>
      <c r="K36" s="274">
        <f t="shared" si="13"/>
        <v>2923.25</v>
      </c>
      <c r="L36" s="274" t="str">
        <f t="shared" si="13"/>
        <v/>
      </c>
      <c r="M36" s="273" t="str">
        <f t="shared" si="13"/>
        <v/>
      </c>
      <c r="N36" s="274" t="str">
        <f t="shared" si="13"/>
        <v/>
      </c>
      <c r="O36" s="276" t="str">
        <f t="shared" si="13"/>
        <v/>
      </c>
      <c r="P36" s="274">
        <f t="shared" si="13"/>
        <v>22907.65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ht="18.5" x14ac:dyDescent="0.45">
      <c r="C38" s="267" t="s">
        <v>362</v>
      </c>
      <c r="D38" s="268">
        <f>IF(D$8="","",D$8*$Q38)</f>
        <v>5136.04</v>
      </c>
      <c r="E38" s="234">
        <f t="shared" ref="E38:O41" si="14">IF(E$8="","",E$8*$Q38)</f>
        <v>5136.04</v>
      </c>
      <c r="F38" s="269">
        <f t="shared" si="14"/>
        <v>5234.8099999999995</v>
      </c>
      <c r="G38" s="268">
        <f t="shared" si="14"/>
        <v>5333.58</v>
      </c>
      <c r="H38" s="234">
        <f t="shared" si="14"/>
        <v>5432.3499999999995</v>
      </c>
      <c r="I38" s="269">
        <f t="shared" si="14"/>
        <v>5432.3499999999995</v>
      </c>
      <c r="J38" s="234">
        <f t="shared" si="14"/>
        <v>5432.3499999999995</v>
      </c>
      <c r="K38" s="234">
        <f t="shared" si="14"/>
        <v>5432.3499999999995</v>
      </c>
      <c r="L38" s="234" t="str">
        <f t="shared" si="14"/>
        <v/>
      </c>
      <c r="M38" s="268" t="str">
        <f t="shared" si="14"/>
        <v/>
      </c>
      <c r="N38" s="234" t="str">
        <f t="shared" si="14"/>
        <v/>
      </c>
      <c r="O38" s="270" t="str">
        <f t="shared" si="14"/>
        <v/>
      </c>
      <c r="P38" s="234">
        <f>SUM(D38:O38)</f>
        <v>42569.869999999995</v>
      </c>
      <c r="Q38" s="533">
        <v>98.77</v>
      </c>
    </row>
    <row r="39" spans="2:18" ht="18.5" x14ac:dyDescent="0.45">
      <c r="C39" s="267" t="s">
        <v>205</v>
      </c>
      <c r="D39" s="268">
        <f t="shared" ref="D39:D41" si="15">IF(D$8="","",D$8*$Q39)</f>
        <v>34462.480000000003</v>
      </c>
      <c r="E39" s="234">
        <f t="shared" si="14"/>
        <v>34462.480000000003</v>
      </c>
      <c r="F39" s="269">
        <f t="shared" si="14"/>
        <v>35125.22</v>
      </c>
      <c r="G39" s="268">
        <f t="shared" si="14"/>
        <v>35787.96</v>
      </c>
      <c r="H39" s="234">
        <f t="shared" si="14"/>
        <v>36450.699999999997</v>
      </c>
      <c r="I39" s="269">
        <f t="shared" ref="I39:O39" si="16">IF(I$8="","",I$8*$R39)</f>
        <v>25450.7</v>
      </c>
      <c r="J39" s="234">
        <f t="shared" si="16"/>
        <v>25450.7</v>
      </c>
      <c r="K39" s="234">
        <f t="shared" si="16"/>
        <v>25450.7</v>
      </c>
      <c r="L39" s="234" t="str">
        <f t="shared" si="16"/>
        <v/>
      </c>
      <c r="M39" s="268" t="str">
        <f t="shared" si="16"/>
        <v/>
      </c>
      <c r="N39" s="234" t="str">
        <f t="shared" si="16"/>
        <v/>
      </c>
      <c r="O39" s="270" t="str">
        <f t="shared" si="16"/>
        <v/>
      </c>
      <c r="P39" s="234">
        <f t="shared" ref="P39:P41" si="17">SUM(D39:O39)</f>
        <v>252640.94000000006</v>
      </c>
      <c r="Q39" s="533">
        <v>662.74</v>
      </c>
      <c r="R39" s="11">
        <f>Q39-200</f>
        <v>462.74</v>
      </c>
    </row>
    <row r="40" spans="2:18" ht="18.5" x14ac:dyDescent="0.45">
      <c r="C40" s="267" t="s">
        <v>322</v>
      </c>
      <c r="D40" s="268">
        <f t="shared" ref="D40:O40" si="18">IF(D$8="","",D$8*$Q40)</f>
        <v>208</v>
      </c>
      <c r="E40" s="234">
        <f t="shared" si="18"/>
        <v>208</v>
      </c>
      <c r="F40" s="269">
        <f t="shared" si="18"/>
        <v>212</v>
      </c>
      <c r="G40" s="234">
        <f t="shared" si="18"/>
        <v>216</v>
      </c>
      <c r="H40" s="234">
        <f t="shared" si="18"/>
        <v>220</v>
      </c>
      <c r="I40" s="269">
        <f t="shared" si="18"/>
        <v>220</v>
      </c>
      <c r="J40" s="234">
        <f t="shared" si="18"/>
        <v>220</v>
      </c>
      <c r="K40" s="234">
        <f t="shared" si="18"/>
        <v>220</v>
      </c>
      <c r="L40" s="234" t="str">
        <f t="shared" si="18"/>
        <v/>
      </c>
      <c r="M40" s="268" t="str">
        <f t="shared" si="18"/>
        <v/>
      </c>
      <c r="N40" s="234" t="str">
        <f t="shared" si="18"/>
        <v/>
      </c>
      <c r="O40" s="270" t="str">
        <f t="shared" si="18"/>
        <v/>
      </c>
      <c r="P40" s="234">
        <f>SUM(D40:O40)</f>
        <v>1724</v>
      </c>
      <c r="Q40" s="533">
        <v>4</v>
      </c>
    </row>
    <row r="41" spans="2:18" ht="18.5" x14ac:dyDescent="0.45">
      <c r="C41" s="267" t="s">
        <v>206</v>
      </c>
      <c r="D41" s="268">
        <f t="shared" si="15"/>
        <v>149.76</v>
      </c>
      <c r="E41" s="234">
        <f t="shared" si="14"/>
        <v>149.76</v>
      </c>
      <c r="F41" s="269">
        <f t="shared" si="14"/>
        <v>152.63999999999999</v>
      </c>
      <c r="G41" s="268">
        <f t="shared" si="14"/>
        <v>155.51999999999998</v>
      </c>
      <c r="H41" s="234">
        <f t="shared" si="14"/>
        <v>158.4</v>
      </c>
      <c r="I41" s="269">
        <f t="shared" si="14"/>
        <v>158.4</v>
      </c>
      <c r="J41" s="234">
        <f t="shared" si="14"/>
        <v>158.4</v>
      </c>
      <c r="K41" s="234">
        <f t="shared" si="14"/>
        <v>158.4</v>
      </c>
      <c r="L41" s="234" t="str">
        <f t="shared" si="14"/>
        <v/>
      </c>
      <c r="M41" s="268" t="str">
        <f t="shared" si="14"/>
        <v/>
      </c>
      <c r="N41" s="234" t="str">
        <f t="shared" si="14"/>
        <v/>
      </c>
      <c r="O41" s="270" t="str">
        <f t="shared" si="14"/>
        <v/>
      </c>
      <c r="P41" s="234">
        <f t="shared" si="17"/>
        <v>1241.28</v>
      </c>
      <c r="Q41" s="533">
        <v>2.88</v>
      </c>
    </row>
    <row r="42" spans="2:18" ht="18.5" x14ac:dyDescent="0.45">
      <c r="C42" s="272" t="s">
        <v>207</v>
      </c>
      <c r="D42" s="273">
        <f t="shared" ref="D42:P42" si="19">IF(D$8="","",SUM(D38:D41))</f>
        <v>39956.280000000006</v>
      </c>
      <c r="E42" s="274">
        <f t="shared" si="19"/>
        <v>39956.280000000006</v>
      </c>
      <c r="F42" s="275">
        <f t="shared" si="19"/>
        <v>40724.67</v>
      </c>
      <c r="G42" s="273">
        <f t="shared" si="19"/>
        <v>41493.06</v>
      </c>
      <c r="H42" s="274">
        <f t="shared" si="19"/>
        <v>42261.45</v>
      </c>
      <c r="I42" s="275">
        <f t="shared" si="19"/>
        <v>31261.45</v>
      </c>
      <c r="J42" s="274">
        <f t="shared" si="19"/>
        <v>31261.45</v>
      </c>
      <c r="K42" s="274">
        <f t="shared" si="19"/>
        <v>31261.45</v>
      </c>
      <c r="L42" s="274" t="str">
        <f t="shared" si="19"/>
        <v/>
      </c>
      <c r="M42" s="273" t="str">
        <f t="shared" si="19"/>
        <v/>
      </c>
      <c r="N42" s="274" t="str">
        <f t="shared" si="19"/>
        <v/>
      </c>
      <c r="O42" s="276" t="str">
        <f t="shared" si="19"/>
        <v/>
      </c>
      <c r="P42" s="274">
        <f t="shared" si="19"/>
        <v>298176.09000000008</v>
      </c>
      <c r="Q42" s="53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161"/>
      <c r="M43" s="277"/>
      <c r="N43" s="161"/>
      <c r="O43" s="279"/>
      <c r="P43" s="161"/>
      <c r="Q43" s="535"/>
    </row>
    <row r="44" spans="2:18" ht="18.5" x14ac:dyDescent="0.45">
      <c r="B44" s="213" t="s">
        <v>191</v>
      </c>
      <c r="C44" s="267" t="s">
        <v>209</v>
      </c>
      <c r="D44" s="268">
        <f t="shared" ref="D44:O48" si="20">IF(D$8="","",0)</f>
        <v>0</v>
      </c>
      <c r="E44" s="234">
        <f t="shared" si="20"/>
        <v>0</v>
      </c>
      <c r="F44" s="234">
        <f t="shared" si="20"/>
        <v>0</v>
      </c>
      <c r="G44" s="268">
        <f>416.5/19</f>
        <v>21.921052631578949</v>
      </c>
      <c r="H44" s="234">
        <f t="shared" si="20"/>
        <v>0</v>
      </c>
      <c r="I44" s="234">
        <f>229.95/19</f>
        <v>12.102631578947367</v>
      </c>
      <c r="J44" s="268">
        <f>(374+221)/19</f>
        <v>31.315789473684209</v>
      </c>
      <c r="K44" s="234">
        <f>1071/19</f>
        <v>56.368421052631582</v>
      </c>
      <c r="L44" s="234" t="str">
        <f t="shared" si="20"/>
        <v/>
      </c>
      <c r="M44" s="268" t="str">
        <f t="shared" si="20"/>
        <v/>
      </c>
      <c r="N44" s="234" t="str">
        <f t="shared" si="20"/>
        <v/>
      </c>
      <c r="O44" s="270" t="str">
        <f t="shared" si="20"/>
        <v/>
      </c>
      <c r="P44" s="234">
        <f>SUM(D44:O44)</f>
        <v>121.70789473684209</v>
      </c>
      <c r="Q44" s="244"/>
    </row>
    <row r="45" spans="2:18" ht="18.5" x14ac:dyDescent="0.45">
      <c r="B45" s="213" t="s">
        <v>191</v>
      </c>
      <c r="C45" s="267" t="s">
        <v>210</v>
      </c>
      <c r="D45" s="268">
        <f t="shared" si="20"/>
        <v>0</v>
      </c>
      <c r="E45" s="234">
        <f t="shared" si="20"/>
        <v>0</v>
      </c>
      <c r="F45" s="234">
        <f t="shared" si="20"/>
        <v>0</v>
      </c>
      <c r="G45" s="268">
        <f t="shared" si="20"/>
        <v>0</v>
      </c>
      <c r="H45" s="234">
        <f>15600/19</f>
        <v>821.0526315789474</v>
      </c>
      <c r="I45" s="234">
        <f t="shared" si="20"/>
        <v>0</v>
      </c>
      <c r="J45" s="268">
        <f t="shared" si="20"/>
        <v>0</v>
      </c>
      <c r="K45" s="234">
        <f t="shared" si="20"/>
        <v>0</v>
      </c>
      <c r="L45" s="234" t="str">
        <f t="shared" si="20"/>
        <v/>
      </c>
      <c r="M45" s="268" t="str">
        <f t="shared" si="20"/>
        <v/>
      </c>
      <c r="N45" s="234" t="str">
        <f t="shared" si="20"/>
        <v/>
      </c>
      <c r="O45" s="234" t="str">
        <f t="shared" si="20"/>
        <v/>
      </c>
      <c r="P45" s="474">
        <f t="shared" ref="P45:P48" si="21">SUM(D45:O45)</f>
        <v>821.0526315789474</v>
      </c>
      <c r="Q45" s="246"/>
    </row>
    <row r="46" spans="2:18" ht="18.5" x14ac:dyDescent="0.45">
      <c r="B46" s="213" t="s">
        <v>191</v>
      </c>
      <c r="C46" s="267" t="s">
        <v>297</v>
      </c>
      <c r="D46" s="268">
        <f t="shared" si="20"/>
        <v>0</v>
      </c>
      <c r="E46" s="234">
        <f t="shared" si="20"/>
        <v>0</v>
      </c>
      <c r="F46" s="234">
        <f t="shared" si="20"/>
        <v>0</v>
      </c>
      <c r="G46" s="268">
        <f t="shared" si="20"/>
        <v>0</v>
      </c>
      <c r="H46" s="234">
        <f t="shared" si="20"/>
        <v>0</v>
      </c>
      <c r="I46" s="234">
        <f t="shared" si="20"/>
        <v>0</v>
      </c>
      <c r="J46" s="268">
        <f t="shared" si="20"/>
        <v>0</v>
      </c>
      <c r="K46" s="234">
        <f t="shared" si="20"/>
        <v>0</v>
      </c>
      <c r="L46" s="234" t="str">
        <f t="shared" si="20"/>
        <v/>
      </c>
      <c r="M46" s="268" t="str">
        <f t="shared" si="20"/>
        <v/>
      </c>
      <c r="N46" s="234" t="str">
        <f t="shared" si="20"/>
        <v/>
      </c>
      <c r="O46" s="270" t="str">
        <f t="shared" si="20"/>
        <v/>
      </c>
      <c r="P46" s="234">
        <f t="shared" si="21"/>
        <v>0</v>
      </c>
      <c r="Q46" s="244"/>
    </row>
    <row r="47" spans="2:18" ht="18.5" x14ac:dyDescent="0.45">
      <c r="B47" s="213" t="s">
        <v>191</v>
      </c>
      <c r="C47" s="267" t="s">
        <v>214</v>
      </c>
      <c r="D47" s="268">
        <f t="shared" si="20"/>
        <v>0</v>
      </c>
      <c r="E47" s="234">
        <f t="shared" si="20"/>
        <v>0</v>
      </c>
      <c r="F47" s="234">
        <f t="shared" si="20"/>
        <v>0</v>
      </c>
      <c r="G47" s="268">
        <f t="shared" si="20"/>
        <v>0</v>
      </c>
      <c r="H47" s="234">
        <f t="shared" si="20"/>
        <v>0</v>
      </c>
      <c r="I47" s="234">
        <f t="shared" si="20"/>
        <v>0</v>
      </c>
      <c r="J47" s="268">
        <f t="shared" si="20"/>
        <v>0</v>
      </c>
      <c r="K47" s="234">
        <f t="shared" si="20"/>
        <v>0</v>
      </c>
      <c r="L47" s="234" t="str">
        <f t="shared" si="20"/>
        <v/>
      </c>
      <c r="M47" s="268" t="str">
        <f t="shared" si="20"/>
        <v/>
      </c>
      <c r="N47" s="234" t="str">
        <f t="shared" si="20"/>
        <v/>
      </c>
      <c r="O47" s="270" t="str">
        <f t="shared" si="20"/>
        <v/>
      </c>
      <c r="P47" s="234">
        <f t="shared" si="21"/>
        <v>0</v>
      </c>
      <c r="Q47" s="244"/>
    </row>
    <row r="48" spans="2:18" ht="18.5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20"/>
        <v>0</v>
      </c>
      <c r="F48" s="234">
        <f t="shared" si="20"/>
        <v>0</v>
      </c>
      <c r="G48" s="268">
        <f t="shared" si="20"/>
        <v>0</v>
      </c>
      <c r="H48" s="457">
        <f t="shared" si="20"/>
        <v>0</v>
      </c>
      <c r="I48" s="456">
        <f t="shared" si="20"/>
        <v>0</v>
      </c>
      <c r="J48" s="268">
        <f t="shared" si="20"/>
        <v>0</v>
      </c>
      <c r="K48" s="457">
        <f t="shared" si="20"/>
        <v>0</v>
      </c>
      <c r="L48" s="456" t="str">
        <f t="shared" si="20"/>
        <v/>
      </c>
      <c r="M48" s="268" t="str">
        <f t="shared" si="20"/>
        <v/>
      </c>
      <c r="N48" s="457" t="str">
        <f t="shared" si="20"/>
        <v/>
      </c>
      <c r="O48" s="525" t="str">
        <f t="shared" si="20"/>
        <v/>
      </c>
      <c r="P48" s="475">
        <f t="shared" si="21"/>
        <v>0</v>
      </c>
      <c r="Q48" s="244"/>
    </row>
    <row r="49" spans="2:17" ht="18.5" x14ac:dyDescent="0.45">
      <c r="C49" s="272" t="s">
        <v>229</v>
      </c>
      <c r="D49" s="273">
        <f t="shared" ref="D49:P49" si="22">IF(D$8="","",SUM(D44:D48))</f>
        <v>0</v>
      </c>
      <c r="E49" s="274">
        <f t="shared" si="22"/>
        <v>0</v>
      </c>
      <c r="F49" s="275">
        <f t="shared" si="22"/>
        <v>0</v>
      </c>
      <c r="G49" s="273">
        <f t="shared" si="22"/>
        <v>21.921052631578949</v>
      </c>
      <c r="H49" s="274">
        <f t="shared" si="22"/>
        <v>821.0526315789474</v>
      </c>
      <c r="I49" s="275">
        <f t="shared" si="22"/>
        <v>12.102631578947367</v>
      </c>
      <c r="J49" s="274">
        <f t="shared" si="22"/>
        <v>31.315789473684209</v>
      </c>
      <c r="K49" s="274">
        <f t="shared" si="22"/>
        <v>56.368421052631582</v>
      </c>
      <c r="L49" s="274" t="str">
        <f t="shared" si="22"/>
        <v/>
      </c>
      <c r="M49" s="273" t="str">
        <f t="shared" si="22"/>
        <v/>
      </c>
      <c r="N49" s="274" t="str">
        <f t="shared" si="22"/>
        <v/>
      </c>
      <c r="O49" s="276" t="str">
        <f t="shared" si="22"/>
        <v/>
      </c>
      <c r="P49" s="557">
        <f t="shared" si="22"/>
        <v>942.76052631578955</v>
      </c>
      <c r="Q49" s="244"/>
    </row>
    <row r="50" spans="2:17" ht="18.5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17" s="13" customFormat="1" ht="25" customHeight="1" x14ac:dyDescent="0.35">
      <c r="C51" s="287" t="s">
        <v>237</v>
      </c>
      <c r="D51" s="288">
        <f>IF(D8="","",D14-SUM(D26,D36,D42,D49))</f>
        <v>3219.7699999999895</v>
      </c>
      <c r="E51" s="289">
        <f>IF(E8="","",E14-SUM(E26,E36,E42,E49))</f>
        <v>-51596.98000000001</v>
      </c>
      <c r="F51" s="290">
        <f>IF(F8="","",F14-SUM(F26,F36,F42,F49))</f>
        <v>-18305.759999999995</v>
      </c>
      <c r="G51" s="288">
        <f>IF(G8="","",G14-SUM(G26,G36,G42,G49))</f>
        <v>-24956.181052631582</v>
      </c>
      <c r="H51" s="289">
        <f>IF(H8="","",H14-SUM(H26,H36,H42,H49))</f>
        <v>-15795.152631578938</v>
      </c>
      <c r="I51" s="290">
        <f>IF(I8="","",I14-SUM(I26,I36,I42,I49))</f>
        <v>-8439.2726315789478</v>
      </c>
      <c r="J51" s="289">
        <f>IF(J8="","",J14-SUM(J26,J36,J42,J49))</f>
        <v>-36295.415789473685</v>
      </c>
      <c r="K51" s="289">
        <f>IF(K8="","",K14-SUM(K26,K36,K42,K49))</f>
        <v>10258.931578947391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-141910.06052631582</v>
      </c>
      <c r="Q51" s="293"/>
    </row>
    <row r="52" spans="2:17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168949.46</v>
      </c>
      <c r="Q52" s="244"/>
    </row>
    <row r="53" spans="2:17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27039.399473684171</v>
      </c>
      <c r="Q53" s="244"/>
    </row>
    <row r="54" spans="2:17" ht="18.5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17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</row>
    <row r="56" spans="2:17" ht="18.5" x14ac:dyDescent="0.45">
      <c r="C56" s="267" t="s">
        <v>232</v>
      </c>
      <c r="D56" s="268">
        <f>IF(D12="","",-D12)</f>
        <v>0</v>
      </c>
      <c r="E56" s="234">
        <f>IF(E12="","",-E12)</f>
        <v>0</v>
      </c>
      <c r="F56" s="269">
        <f>IF(F12="","",-F12)</f>
        <v>0</v>
      </c>
      <c r="G56" s="268">
        <f>IF(G12="","",-G12)</f>
        <v>0</v>
      </c>
      <c r="H56" s="234">
        <f>IF(H12="","",-H12)</f>
        <v>0</v>
      </c>
      <c r="I56" s="269">
        <f>IF(I12="","",-I12)</f>
        <v>0</v>
      </c>
      <c r="J56" s="234">
        <f>IF(J12="","",-J12)</f>
        <v>0</v>
      </c>
      <c r="K56" s="234">
        <f>IF(K12="","",-K12)</f>
        <v>0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0</v>
      </c>
      <c r="Q56" s="244"/>
    </row>
    <row r="57" spans="2:17" ht="18.5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3">IF(E$8="","",0)</f>
        <v>0</v>
      </c>
      <c r="F57" s="269">
        <f t="shared" si="23"/>
        <v>0</v>
      </c>
      <c r="G57" s="268">
        <f t="shared" si="23"/>
        <v>0</v>
      </c>
      <c r="H57" s="234">
        <f t="shared" si="23"/>
        <v>0</v>
      </c>
      <c r="I57" s="269">
        <f t="shared" si="23"/>
        <v>0</v>
      </c>
      <c r="J57" s="234">
        <f t="shared" si="23"/>
        <v>0</v>
      </c>
      <c r="K57" s="234">
        <f t="shared" si="23"/>
        <v>0</v>
      </c>
      <c r="L57" s="234" t="str">
        <f t="shared" si="23"/>
        <v/>
      </c>
      <c r="M57" s="268" t="str">
        <f t="shared" si="23"/>
        <v/>
      </c>
      <c r="N57" s="234" t="str">
        <f t="shared" si="23"/>
        <v/>
      </c>
      <c r="O57" s="270" t="str">
        <f t="shared" si="23"/>
        <v/>
      </c>
      <c r="P57" s="234">
        <f>SUM(D57:O57)</f>
        <v>0</v>
      </c>
      <c r="Q57" s="244"/>
    </row>
    <row r="58" spans="2:17" ht="18.5" x14ac:dyDescent="0.45">
      <c r="C58" s="296" t="s">
        <v>234</v>
      </c>
      <c r="D58" s="297">
        <f>IF(D$8="","",SUM(D56:D57))</f>
        <v>0</v>
      </c>
      <c r="E58" s="298">
        <f t="shared" ref="E58:O58" si="24">IF(E$8="","",SUM(E56:E57))</f>
        <v>0</v>
      </c>
      <c r="F58" s="299">
        <f t="shared" si="24"/>
        <v>0</v>
      </c>
      <c r="G58" s="297">
        <f t="shared" si="24"/>
        <v>0</v>
      </c>
      <c r="H58" s="298">
        <f t="shared" si="24"/>
        <v>0</v>
      </c>
      <c r="I58" s="299">
        <f t="shared" si="24"/>
        <v>0</v>
      </c>
      <c r="J58" s="298">
        <f t="shared" si="24"/>
        <v>0</v>
      </c>
      <c r="K58" s="298">
        <f t="shared" si="24"/>
        <v>0</v>
      </c>
      <c r="L58" s="298" t="str">
        <f t="shared" si="24"/>
        <v/>
      </c>
      <c r="M58" s="297" t="str">
        <f t="shared" si="24"/>
        <v/>
      </c>
      <c r="N58" s="298" t="str">
        <f t="shared" si="24"/>
        <v/>
      </c>
      <c r="O58" s="300" t="str">
        <f t="shared" si="24"/>
        <v/>
      </c>
      <c r="P58" s="298">
        <f>SUM(P56:P57)</f>
        <v>0</v>
      </c>
      <c r="Q58" s="244"/>
    </row>
    <row r="59" spans="2:17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0</v>
      </c>
      <c r="Q59" s="244"/>
    </row>
    <row r="60" spans="2:17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0</v>
      </c>
      <c r="Q60" s="244"/>
    </row>
    <row r="63" spans="2:17" x14ac:dyDescent="0.3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ht="18.5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ht="18.5" x14ac:dyDescent="0.45">
      <c r="C68" s="306" t="str">
        <f>Addendum!E10</f>
        <v>July   2024</v>
      </c>
      <c r="D68" s="307">
        <v>22716.240000000002</v>
      </c>
      <c r="E68" s="246">
        <v>6213.46</v>
      </c>
      <c r="F68" s="246">
        <v>9346.41</v>
      </c>
      <c r="G68" s="246">
        <v>13249.24</v>
      </c>
      <c r="H68" s="246">
        <v>0</v>
      </c>
      <c r="I68" s="308">
        <v>-3164.72</v>
      </c>
      <c r="J68" s="309">
        <f>SUM(D68:I68)</f>
        <v>48360.63</v>
      </c>
      <c r="K68" s="310">
        <v>52</v>
      </c>
      <c r="L68" s="307">
        <v>0</v>
      </c>
      <c r="M68" s="246">
        <v>0</v>
      </c>
      <c r="N68" s="246">
        <v>0</v>
      </c>
      <c r="O68" s="246">
        <f>80+110+110</f>
        <v>300</v>
      </c>
      <c r="P68" s="246">
        <v>0</v>
      </c>
      <c r="Q68" s="246">
        <v>0</v>
      </c>
      <c r="R68" s="246">
        <v>0</v>
      </c>
      <c r="S68" s="246">
        <v>0</v>
      </c>
      <c r="T68" s="246">
        <v>0</v>
      </c>
      <c r="U68" s="323">
        <v>0</v>
      </c>
    </row>
    <row r="69" spans="3:21" ht="18.5" x14ac:dyDescent="0.45">
      <c r="C69" s="306" t="str">
        <f>Addendum!E11</f>
        <v>August</v>
      </c>
      <c r="D69" s="307">
        <v>42971.49</v>
      </c>
      <c r="E69" s="246">
        <v>26087.59</v>
      </c>
      <c r="F69" s="246">
        <v>17005.689999999999</v>
      </c>
      <c r="G69" s="246">
        <v>9619.19</v>
      </c>
      <c r="H69" s="246">
        <v>11582.43</v>
      </c>
      <c r="I69" s="308">
        <v>-3225.58</v>
      </c>
      <c r="J69" s="309">
        <f t="shared" ref="J69:J79" si="25">SUM(D69:I69)</f>
        <v>104040.81000000001</v>
      </c>
      <c r="K69" s="311">
        <v>53</v>
      </c>
      <c r="L69" s="307">
        <v>95.46</v>
      </c>
      <c r="M69" s="246">
        <v>0</v>
      </c>
      <c r="N69" s="246">
        <v>0</v>
      </c>
      <c r="O69" s="246">
        <f>80+440</f>
        <v>520</v>
      </c>
      <c r="P69" s="246">
        <v>0</v>
      </c>
      <c r="Q69" s="246">
        <f>264.61+50.44</f>
        <v>315.05</v>
      </c>
      <c r="R69" s="246">
        <v>0</v>
      </c>
      <c r="S69" s="246">
        <v>0</v>
      </c>
      <c r="T69" s="246">
        <v>0</v>
      </c>
      <c r="U69" s="323">
        <v>0</v>
      </c>
    </row>
    <row r="70" spans="3:21" ht="18.5" x14ac:dyDescent="0.45">
      <c r="C70" s="306" t="str">
        <f>Addendum!E12</f>
        <v>September</v>
      </c>
      <c r="D70" s="307">
        <v>16439.21</v>
      </c>
      <c r="E70" s="246">
        <v>17770.09</v>
      </c>
      <c r="F70" s="246">
        <v>25338.82</v>
      </c>
      <c r="G70" s="246">
        <v>16389.57</v>
      </c>
      <c r="H70" s="246">
        <v>0</v>
      </c>
      <c r="I70" s="308">
        <v>-3347.3</v>
      </c>
      <c r="J70" s="309">
        <f>SUM(D70:I70)</f>
        <v>72590.39</v>
      </c>
      <c r="K70" s="311">
        <v>55</v>
      </c>
      <c r="L70" s="307">
        <f>35.66+44.59+18.68-271.23</f>
        <v>-172.3</v>
      </c>
      <c r="M70" s="246">
        <v>0</v>
      </c>
      <c r="N70" s="246">
        <v>0</v>
      </c>
      <c r="O70" s="246">
        <f>220</f>
        <v>220</v>
      </c>
      <c r="P70" s="246">
        <v>0</v>
      </c>
      <c r="Q70" s="246">
        <f>8.75</f>
        <v>8.75</v>
      </c>
      <c r="R70" s="246">
        <v>0</v>
      </c>
      <c r="S70" s="246">
        <v>0</v>
      </c>
      <c r="T70" s="246">
        <v>0</v>
      </c>
      <c r="U70" s="323">
        <v>0</v>
      </c>
    </row>
    <row r="71" spans="3:21" ht="18.5" x14ac:dyDescent="0.45">
      <c r="C71" s="306" t="str">
        <f>Addendum!E13</f>
        <v>October</v>
      </c>
      <c r="D71" s="307">
        <v>23923.82</v>
      </c>
      <c r="E71" s="246">
        <v>11519.62</v>
      </c>
      <c r="F71" s="246">
        <v>29350.85</v>
      </c>
      <c r="G71" s="246">
        <v>25411.85</v>
      </c>
      <c r="H71" s="246">
        <v>0</v>
      </c>
      <c r="I71" s="308">
        <v>-3286.44</v>
      </c>
      <c r="J71" s="309">
        <f t="shared" si="25"/>
        <v>86919.7</v>
      </c>
      <c r="K71" s="311">
        <v>54</v>
      </c>
      <c r="L71" s="307">
        <f>-31.69+214.9</f>
        <v>183.21</v>
      </c>
      <c r="M71" s="246">
        <v>0</v>
      </c>
      <c r="N71" s="246">
        <v>0</v>
      </c>
      <c r="O71" s="246">
        <f>80+770</f>
        <v>850</v>
      </c>
      <c r="P71" s="246">
        <v>0</v>
      </c>
      <c r="Q71" s="246">
        <v>0</v>
      </c>
      <c r="R71" s="246">
        <v>0</v>
      </c>
      <c r="S71" s="246">
        <v>0</v>
      </c>
      <c r="T71" s="246">
        <v>0</v>
      </c>
      <c r="U71" s="323">
        <v>0</v>
      </c>
    </row>
    <row r="72" spans="3:21" ht="18.5" x14ac:dyDescent="0.45">
      <c r="C72" s="306" t="str">
        <f>Addendum!E14</f>
        <v>November</v>
      </c>
      <c r="D72" s="307">
        <v>7726.18</v>
      </c>
      <c r="E72" s="246">
        <v>15215.07</v>
      </c>
      <c r="F72" s="246">
        <v>28628.240000000002</v>
      </c>
      <c r="G72" s="246">
        <v>15664.07</v>
      </c>
      <c r="H72" s="246">
        <v>10190.959999999999</v>
      </c>
      <c r="I72" s="308">
        <v>-3347.3</v>
      </c>
      <c r="J72" s="309">
        <f t="shared" si="25"/>
        <v>74077.219999999987</v>
      </c>
      <c r="K72" s="311">
        <v>55</v>
      </c>
      <c r="L72" s="307">
        <f>14.92+32.49-38.17</f>
        <v>9.240000000000002</v>
      </c>
      <c r="M72" s="246">
        <v>0</v>
      </c>
      <c r="N72" s="246">
        <v>0</v>
      </c>
      <c r="O72" s="246">
        <f>20+550</f>
        <v>570</v>
      </c>
      <c r="P72" s="246">
        <v>0</v>
      </c>
      <c r="Q72" s="246">
        <f>33.23-8.75+635.26</f>
        <v>659.74</v>
      </c>
      <c r="R72" s="246">
        <v>0</v>
      </c>
      <c r="S72" s="246">
        <v>0</v>
      </c>
      <c r="T72" s="246">
        <v>0</v>
      </c>
      <c r="U72" s="323">
        <v>0</v>
      </c>
    </row>
    <row r="73" spans="3:21" ht="18.5" x14ac:dyDescent="0.45">
      <c r="C73" s="306" t="str">
        <f>Addendum!E15</f>
        <v>December</v>
      </c>
      <c r="D73" s="307">
        <v>16820.97</v>
      </c>
      <c r="E73" s="246">
        <v>23412.7</v>
      </c>
      <c r="F73" s="246">
        <v>27267.599999999999</v>
      </c>
      <c r="G73" s="246">
        <v>17837.52</v>
      </c>
      <c r="H73" s="246">
        <v>0</v>
      </c>
      <c r="I73" s="308">
        <v>-3347.3</v>
      </c>
      <c r="J73" s="309">
        <f t="shared" si="25"/>
        <v>81991.489999999991</v>
      </c>
      <c r="K73" s="311">
        <v>55</v>
      </c>
      <c r="L73" s="307">
        <f>19.36+54.75-165.49</f>
        <v>-91.38000000000001</v>
      </c>
      <c r="M73" s="246">
        <v>0</v>
      </c>
      <c r="N73" s="246">
        <v>1.1000000000000001</v>
      </c>
      <c r="O73" s="246">
        <f>60+330</f>
        <v>390</v>
      </c>
      <c r="P73" s="246">
        <v>0</v>
      </c>
      <c r="Q73" s="246">
        <f>70.29-70.29+16.77</f>
        <v>16.77</v>
      </c>
      <c r="R73" s="246">
        <v>0</v>
      </c>
      <c r="S73" s="246">
        <v>0</v>
      </c>
      <c r="T73" s="246">
        <v>0</v>
      </c>
      <c r="U73" s="323">
        <v>0</v>
      </c>
    </row>
    <row r="74" spans="3:21" ht="18.5" x14ac:dyDescent="0.45">
      <c r="C74" s="306" t="str">
        <f>Addendum!E16</f>
        <v>January 2025</v>
      </c>
      <c r="D74" s="307">
        <v>10695.5</v>
      </c>
      <c r="E74" s="246">
        <v>20578.79</v>
      </c>
      <c r="F74" s="246">
        <v>20680.2</v>
      </c>
      <c r="G74" s="246">
        <v>36465.22</v>
      </c>
      <c r="H74" s="246">
        <v>23370.98</v>
      </c>
      <c r="I74" s="308">
        <v>-3347.3</v>
      </c>
      <c r="J74" s="309">
        <f t="shared" si="25"/>
        <v>108443.39</v>
      </c>
      <c r="K74" s="311">
        <v>55</v>
      </c>
      <c r="L74" s="307">
        <f>25.57+135.95+7.81+19.01</f>
        <v>188.33999999999997</v>
      </c>
      <c r="M74" s="246">
        <v>0</v>
      </c>
      <c r="N74" s="246">
        <v>0</v>
      </c>
      <c r="O74" s="246">
        <f>40+330+440</f>
        <v>810</v>
      </c>
      <c r="P74" s="246">
        <v>0</v>
      </c>
      <c r="Q74" s="246">
        <f>68.62</f>
        <v>68.62</v>
      </c>
      <c r="R74" s="246">
        <v>0</v>
      </c>
      <c r="S74" s="246">
        <v>0</v>
      </c>
      <c r="T74" s="246">
        <v>0</v>
      </c>
      <c r="U74" s="323">
        <v>0</v>
      </c>
    </row>
    <row r="75" spans="3:21" ht="18.5" x14ac:dyDescent="0.45">
      <c r="C75" s="306" t="str">
        <f>Addendum!E17</f>
        <v>February</v>
      </c>
      <c r="D75" s="307">
        <v>24542.27</v>
      </c>
      <c r="E75" s="246">
        <v>13525.61</v>
      </c>
      <c r="F75" s="246">
        <v>11317.43</v>
      </c>
      <c r="G75" s="246">
        <v>22905.71</v>
      </c>
      <c r="H75" s="246">
        <v>0</v>
      </c>
      <c r="I75" s="308">
        <v>-3286.44</v>
      </c>
      <c r="J75" s="309">
        <f t="shared" si="25"/>
        <v>69004.58</v>
      </c>
      <c r="K75" s="311">
        <v>54</v>
      </c>
      <c r="L75" s="307">
        <f>19.75+24</f>
        <v>43.75</v>
      </c>
      <c r="M75" s="246">
        <v>0</v>
      </c>
      <c r="N75" s="246">
        <v>0</v>
      </c>
      <c r="O75" s="246">
        <f>40+660</f>
        <v>700</v>
      </c>
      <c r="P75" s="246">
        <f>16.02</f>
        <v>16.02</v>
      </c>
      <c r="Q75" s="246">
        <f>66.46</f>
        <v>66.459999999999994</v>
      </c>
      <c r="R75" s="246">
        <v>0</v>
      </c>
      <c r="S75" s="246">
        <f>-6839</f>
        <v>-6839</v>
      </c>
      <c r="T75" s="246">
        <v>0</v>
      </c>
      <c r="U75" s="323">
        <v>0</v>
      </c>
    </row>
    <row r="76" spans="3:21" ht="18.5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5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ht="18.5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5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ht="18.5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5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5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165835.68</v>
      </c>
      <c r="E80" s="314">
        <f t="shared" ref="E80:J80" si="26">SUM(E68:E79)</f>
        <v>134322.93</v>
      </c>
      <c r="F80" s="314">
        <f t="shared" si="26"/>
        <v>168935.24</v>
      </c>
      <c r="G80" s="314">
        <f t="shared" si="26"/>
        <v>157542.37</v>
      </c>
      <c r="H80" s="314">
        <f t="shared" si="26"/>
        <v>45144.369999999995</v>
      </c>
      <c r="I80" s="315">
        <f t="shared" si="26"/>
        <v>-26352.379999999997</v>
      </c>
      <c r="J80" s="316">
        <f t="shared" si="26"/>
        <v>645428.21</v>
      </c>
      <c r="K80" s="317">
        <f>SUM(K68:K79)</f>
        <v>433</v>
      </c>
      <c r="L80" s="313">
        <f>SUM(L68:L79)</f>
        <v>256.31999999999994</v>
      </c>
      <c r="M80" s="314">
        <f t="shared" ref="M80:U80" si="27">SUM(M68:M79)</f>
        <v>0</v>
      </c>
      <c r="N80" s="314">
        <f t="shared" si="27"/>
        <v>1.1000000000000001</v>
      </c>
      <c r="O80" s="314">
        <f>SUM(O68:O79)</f>
        <v>4360</v>
      </c>
      <c r="P80" s="314">
        <f t="shared" si="27"/>
        <v>16.02</v>
      </c>
      <c r="Q80" s="314">
        <f t="shared" si="27"/>
        <v>1135.3899999999999</v>
      </c>
      <c r="R80" s="314">
        <f t="shared" si="27"/>
        <v>0</v>
      </c>
      <c r="S80" s="314">
        <f t="shared" si="27"/>
        <v>-6839</v>
      </c>
      <c r="T80" s="314">
        <f t="shared" si="27"/>
        <v>0</v>
      </c>
      <c r="U80" s="322">
        <f t="shared" si="27"/>
        <v>0</v>
      </c>
    </row>
  </sheetData>
  <mergeCells count="20">
    <mergeCell ref="L66:U66"/>
    <mergeCell ref="D65:U65"/>
    <mergeCell ref="C2:P2"/>
    <mergeCell ref="C3:P3"/>
    <mergeCell ref="C5:P5"/>
    <mergeCell ref="D10:F10"/>
    <mergeCell ref="M10:O10"/>
    <mergeCell ref="D16:F16"/>
    <mergeCell ref="G16:I16"/>
    <mergeCell ref="J16:L16"/>
    <mergeCell ref="M16:O16"/>
    <mergeCell ref="P21:P22"/>
    <mergeCell ref="C52:O52"/>
    <mergeCell ref="C53:O53"/>
    <mergeCell ref="C59:O59"/>
    <mergeCell ref="C60:O60"/>
    <mergeCell ref="D66:H66"/>
    <mergeCell ref="I66:I67"/>
    <mergeCell ref="J66:J67"/>
    <mergeCell ref="K66:K67"/>
  </mergeCells>
  <conditionalFormatting sqref="D51:P51">
    <cfRule type="cellIs" dxfId="1" priority="1" operator="lessThan">
      <formula>0</formula>
    </cfRule>
  </conditionalFormatting>
  <printOptions horizontalCentered="1"/>
  <pageMargins left="0.25" right="0.25" top="0.75" bottom="0.75" header="0.3" footer="0.3"/>
  <pageSetup scale="41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7546B-3D5A-40D4-B220-11C21606A748}">
  <sheetPr codeName="Sheet28">
    <tabColor theme="6" tint="0.39997558519241921"/>
    <pageSetUpPr fitToPage="1"/>
  </sheetPr>
  <dimension ref="B1:U80"/>
  <sheetViews>
    <sheetView view="pageBreakPreview" topLeftCell="A64" zoomScale="60" zoomScaleNormal="100" workbookViewId="0">
      <selection activeCell="J84" sqref="J84"/>
    </sheetView>
  </sheetViews>
  <sheetFormatPr defaultColWidth="9.1796875" defaultRowHeight="18.5" x14ac:dyDescent="0.45"/>
  <cols>
    <col min="1" max="1" width="1" customWidth="1"/>
    <col min="2" max="2" width="20.7265625" customWidth="1"/>
    <col min="3" max="3" width="51.7265625" customWidth="1"/>
    <col min="4" max="15" width="20.7265625" customWidth="1"/>
    <col min="16" max="16" width="30.1796875" customWidth="1"/>
    <col min="17" max="17" width="20.26953125" customWidth="1"/>
    <col min="18" max="18" width="17.54296875" bestFit="1" customWidth="1"/>
    <col min="19" max="19" width="17.54296875" customWidth="1"/>
    <col min="20" max="20" width="17.81640625" style="244" customWidth="1"/>
    <col min="21" max="21" width="15.81640625" customWidth="1"/>
  </cols>
  <sheetData>
    <row r="1" spans="2:20" ht="5.25" customHeight="1" x14ac:dyDescent="0.45"/>
    <row r="2" spans="2:20" ht="23.5" x14ac:dyDescent="0.55000000000000004">
      <c r="C2" s="660" t="str">
        <f>Summary!P6</f>
        <v>NOREBT</v>
      </c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</row>
    <row r="3" spans="2:20" x14ac:dyDescent="0.45">
      <c r="C3" s="661" t="s">
        <v>242</v>
      </c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</row>
    <row r="4" spans="2:20" x14ac:dyDescent="0.45"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</row>
    <row r="5" spans="2:20" x14ac:dyDescent="0.45">
      <c r="C5" s="662" t="str">
        <f>Addendum!E6</f>
        <v>Claims Paid July 2024 through February 2025</v>
      </c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</row>
    <row r="6" spans="2:20" x14ac:dyDescent="0.45"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</row>
    <row r="7" spans="2:20" ht="25.5" customHeight="1" x14ac:dyDescent="0.35">
      <c r="B7" s="222"/>
      <c r="C7" s="226" t="s">
        <v>182</v>
      </c>
      <c r="D7" s="248" t="str">
        <f>Summary!$O$42</f>
        <v>202407</v>
      </c>
      <c r="E7" s="249" t="str">
        <f>Summary!$O$43</f>
        <v>202408</v>
      </c>
      <c r="F7" s="249" t="str">
        <f>Summary!$O$44</f>
        <v>202409</v>
      </c>
      <c r="G7" s="248" t="str">
        <f>Summary!$O$45</f>
        <v>202410</v>
      </c>
      <c r="H7" s="249" t="str">
        <f>Summary!$O$46</f>
        <v>202411</v>
      </c>
      <c r="I7" s="250" t="str">
        <f>Summary!$O$47</f>
        <v>202412</v>
      </c>
      <c r="J7" s="248" t="str">
        <f>Summary!$O$48</f>
        <v>202501</v>
      </c>
      <c r="K7" s="249" t="str">
        <f>Summary!$O$49</f>
        <v>202502</v>
      </c>
      <c r="L7" s="250" t="str">
        <f>Summary!$O$50</f>
        <v>202503</v>
      </c>
      <c r="M7" s="248" t="str">
        <f>Summary!$O$51</f>
        <v>202504</v>
      </c>
      <c r="N7" s="249" t="str">
        <f>Summary!$O$52</f>
        <v>202505</v>
      </c>
      <c r="O7" s="251" t="str">
        <f>Summary!$O$53</f>
        <v>202506</v>
      </c>
      <c r="P7" s="252" t="s">
        <v>189</v>
      </c>
      <c r="Q7" s="301" t="s">
        <v>190</v>
      </c>
      <c r="R7" s="223"/>
      <c r="S7" s="223"/>
      <c r="T7" s="304" t="s">
        <v>230</v>
      </c>
    </row>
    <row r="8" spans="2:20" x14ac:dyDescent="0.45">
      <c r="B8" s="221"/>
      <c r="C8" s="254" t="s">
        <v>192</v>
      </c>
      <c r="D8" s="255" cm="1">
        <f t="array" ref="D8">IFERROR(INDEX('Cash Flow Entry'!$D$3:$D$500,MATCH(1,INDEX((Wattsburg!$C$7='Cash Flow Entry'!$B$3:$B$500)*(VALUE(Wattsburg!D$7)='Cash Flow Entry'!$C$3:$C$500),0,1),0)),"")</f>
        <v>154</v>
      </c>
      <c r="E8" s="256" cm="1">
        <f t="array" ref="E8">IFERROR(INDEX('Cash Flow Entry'!$D$3:$D$500,MATCH(1,INDEX((Wattsburg!$C$7='Cash Flow Entry'!$B$3:$B$500)*(VALUE(Wattsburg!E$7)='Cash Flow Entry'!$C$3:$C$500),0,1),0)),"")</f>
        <v>151</v>
      </c>
      <c r="F8" s="257" cm="1">
        <f t="array" ref="F8">IFERROR(INDEX('Cash Flow Entry'!$D$3:$D$500,MATCH(1,INDEX((Wattsburg!$C$7='Cash Flow Entry'!$B$3:$B$500)*(VALUE(Wattsburg!F$7)='Cash Flow Entry'!$C$3:$C$500),0,1),0)),"")</f>
        <v>155</v>
      </c>
      <c r="G8" s="255" cm="1">
        <f t="array" ref="G8">IFERROR(INDEX('Cash Flow Entry'!$D$3:$D$500,MATCH(1,INDEX((Wattsburg!$C$7='Cash Flow Entry'!$B$3:$B$500)*(VALUE(Wattsburg!G$7)='Cash Flow Entry'!$C$3:$C$500),0,1),0)),"")</f>
        <v>154</v>
      </c>
      <c r="H8" s="256" cm="1">
        <f t="array" ref="H8">IFERROR(INDEX('Cash Flow Entry'!$D$3:$D$500,MATCH(1,INDEX((Wattsburg!$C$7='Cash Flow Entry'!$B$3:$B$500)*(VALUE(Wattsburg!H$7)='Cash Flow Entry'!$C$3:$C$500),0,1),0)),"")</f>
        <v>153</v>
      </c>
      <c r="I8" s="257" cm="1">
        <f t="array" ref="I8">IFERROR(INDEX('Cash Flow Entry'!$D$3:$D$500,MATCH(1,INDEX((Wattsburg!$C$7='Cash Flow Entry'!$B$3:$B$500)*(VALUE(Wattsburg!I$7)='Cash Flow Entry'!$C$3:$C$500),0,1),0)),"")</f>
        <v>153</v>
      </c>
      <c r="J8" s="256" cm="1">
        <f t="array" ref="J8">IFERROR(INDEX('Cash Flow Entry'!$D$3:$D$500,MATCH(1,INDEX((Wattsburg!$C$7='Cash Flow Entry'!$B$3:$B$500)*(VALUE(Wattsburg!J$7)='Cash Flow Entry'!$C$3:$C$500),0,1),0)),"")</f>
        <v>156</v>
      </c>
      <c r="K8" s="256" cm="1">
        <f t="array" ref="K8">IFERROR(INDEX('Cash Flow Entry'!$D$3:$D$500,MATCH(1,INDEX((Wattsburg!$C$7='Cash Flow Entry'!$B$3:$B$500)*(VALUE(Wattsburg!K$7)='Cash Flow Entry'!$C$3:$C$500),0,1),0)),"")</f>
        <v>155</v>
      </c>
      <c r="L8" s="256" t="str" cm="1">
        <f t="array" ref="L8">IFERROR(INDEX('Cash Flow Entry'!$D$3:$D$500,MATCH(1,INDEX((Wattsburg!$C$7='Cash Flow Entry'!$B$3:$B$500)*(VALUE(Wattsburg!L$7)='Cash Flow Entry'!$C$3:$C$500),0,1),0)),"")</f>
        <v/>
      </c>
      <c r="M8" s="255" t="str" cm="1">
        <f t="array" ref="M8">IFERROR(INDEX('Cash Flow Entry'!$D$3:$D$500,MATCH(1,INDEX((Wattsburg!$C$7='Cash Flow Entry'!$B$3:$B$500)*(VALUE(Wattsburg!M$7)='Cash Flow Entry'!$C$3:$C$500),0,1),0)),"")</f>
        <v/>
      </c>
      <c r="N8" s="256" t="str" cm="1">
        <f t="array" ref="N8">IFERROR(INDEX('Cash Flow Entry'!$D$3:$D$500,MATCH(1,INDEX((Wattsburg!$C$7='Cash Flow Entry'!$B$3:$B$500)*(VALUE(Wattsburg!N$7)='Cash Flow Entry'!$C$3:$C$500),0,1),0)),"")</f>
        <v/>
      </c>
      <c r="O8" s="258" t="str" cm="1">
        <f t="array" ref="O8">IFERROR(INDEX('Cash Flow Entry'!$D$3:$D$500,MATCH(1,INDEX((Wattsburg!$C$7='Cash Flow Entry'!$B$3:$B$500)*(VALUE(Wattsburg!O$7)='Cash Flow Entry'!$C$3:$C$500),0,1),0)),"")</f>
        <v/>
      </c>
      <c r="P8" s="259">
        <f>IF(SUM(D8:O8)="","",SUM(D8:O8))</f>
        <v>1231</v>
      </c>
      <c r="Q8" s="260"/>
      <c r="R8" s="221"/>
      <c r="S8" s="221"/>
    </row>
    <row r="9" spans="2:20" x14ac:dyDescent="0.45">
      <c r="B9" s="221"/>
      <c r="C9" s="254" t="s">
        <v>238</v>
      </c>
      <c r="D9" s="255" cm="1">
        <f t="array" ref="D9">IFERROR(INDEX('Cash Flow Entry'!$E$3:$E$500,MATCH(1,INDEX((Wattsburg!$C$7='Cash Flow Entry'!$B$3:$B$500)*(VALUE(Wattsburg!D$7)='Cash Flow Entry'!$C$3:$C$500),0,1),0)),"")</f>
        <v>386</v>
      </c>
      <c r="E9" s="256" cm="1">
        <f t="array" ref="E9">IFERROR(INDEX('Cash Flow Entry'!$E$3:$E$500,MATCH(1,INDEX((Wattsburg!$C$7='Cash Flow Entry'!$B$3:$B$500)*(VALUE(Wattsburg!E$7)='Cash Flow Entry'!$C$3:$C$500),0,1),0)),"")</f>
        <v>383</v>
      </c>
      <c r="F9" s="257" cm="1">
        <f t="array" ref="F9">IFERROR(INDEX('Cash Flow Entry'!$E$3:$E$500,MATCH(1,INDEX((Wattsburg!$C$7='Cash Flow Entry'!$B$3:$B$500)*(VALUE(Wattsburg!F$7)='Cash Flow Entry'!$C$3:$C$500),0,1),0)),"")</f>
        <v>371</v>
      </c>
      <c r="G9" s="255" cm="1">
        <f t="array" ref="G9">IFERROR(INDEX('Cash Flow Entry'!$E$3:$E$500,MATCH(1,INDEX((Wattsburg!$C$7='Cash Flow Entry'!$B$3:$B$500)*(VALUE(Wattsburg!G$7)='Cash Flow Entry'!$C$3:$C$500),0,1),0)),"")</f>
        <v>366</v>
      </c>
      <c r="H9" s="256" cm="1">
        <f t="array" ref="H9">IFERROR(INDEX('Cash Flow Entry'!$E$3:$E$500,MATCH(1,INDEX((Wattsburg!$C$7='Cash Flow Entry'!$B$3:$B$500)*(VALUE(Wattsburg!H$7)='Cash Flow Entry'!$C$3:$C$500),0,1),0)),"")</f>
        <v>366</v>
      </c>
      <c r="I9" s="257" cm="1">
        <f t="array" ref="I9">IFERROR(INDEX('Cash Flow Entry'!$E$3:$E$500,MATCH(1,INDEX((Wattsburg!$C$7='Cash Flow Entry'!$B$3:$B$500)*(VALUE(Wattsburg!I$7)='Cash Flow Entry'!$C$3:$C$500),0,1),0)),"")</f>
        <v>366</v>
      </c>
      <c r="J9" s="256" cm="1">
        <f t="array" ref="J9">IFERROR(INDEX('Cash Flow Entry'!$E$3:$E$500,MATCH(1,INDEX((Wattsburg!$C$7='Cash Flow Entry'!$B$3:$B$500)*(VALUE(Wattsburg!J$7)='Cash Flow Entry'!$C$3:$C$500),0,1),0)),"")</f>
        <v>372</v>
      </c>
      <c r="K9" s="256" cm="1">
        <f t="array" ref="K9">IFERROR(INDEX('Cash Flow Entry'!$E$3:$E$500,MATCH(1,INDEX((Wattsburg!$C$7='Cash Flow Entry'!$B$3:$B$500)*(VALUE(Wattsburg!K$7)='Cash Flow Entry'!$C$3:$C$500),0,1),0)),"")</f>
        <v>371</v>
      </c>
      <c r="L9" s="256" t="str" cm="1">
        <f t="array" ref="L9">IFERROR(INDEX('Cash Flow Entry'!$E$3:$E$500,MATCH(1,INDEX((Wattsburg!$C$7='Cash Flow Entry'!$B$3:$B$500)*(VALUE(Wattsburg!L$7)='Cash Flow Entry'!$C$3:$C$500),0,1),0)),"")</f>
        <v/>
      </c>
      <c r="M9" s="255" t="str" cm="1">
        <f t="array" ref="M9">IFERROR(INDEX('Cash Flow Entry'!$E$3:$E$500,MATCH(1,INDEX((Wattsburg!$C$7='Cash Flow Entry'!$B$3:$B$500)*(VALUE(Wattsburg!M$7)='Cash Flow Entry'!$C$3:$C$500),0,1),0)),"")</f>
        <v/>
      </c>
      <c r="N9" s="256" t="str" cm="1">
        <f t="array" ref="N9">IFERROR(INDEX('Cash Flow Entry'!$E$3:$E$500,MATCH(1,INDEX((Wattsburg!$C$7='Cash Flow Entry'!$B$3:$B$500)*(VALUE(Wattsburg!N$7)='Cash Flow Entry'!$C$3:$C$500),0,1),0)),"")</f>
        <v/>
      </c>
      <c r="O9" s="258" t="str" cm="1">
        <f t="array" ref="O9">IFERROR(INDEX('Cash Flow Entry'!$E$3:$E$500,MATCH(1,INDEX((Wattsburg!$C$7='Cash Flow Entry'!$B$3:$B$500)*(VALUE(Wattsburg!O$7)='Cash Flow Entry'!$C$3:$C$500),0,1),0)),"")</f>
        <v/>
      </c>
      <c r="P9" s="259">
        <f>IF(SUM(D9:O9)="","",SUM(D9:O9))</f>
        <v>2981</v>
      </c>
      <c r="Q9" s="260"/>
      <c r="R9" s="221"/>
      <c r="S9" s="221"/>
    </row>
    <row r="10" spans="2:20" s="13" customFormat="1" ht="25" customHeight="1" x14ac:dyDescent="0.35">
      <c r="C10" s="261" t="s">
        <v>193</v>
      </c>
      <c r="D10" s="644" t="str">
        <f>"Projected Funding Rate: "&amp;DOLLAR(Q10,0)</f>
        <v>Projected Funding Rate: $1,934</v>
      </c>
      <c r="E10" s="645"/>
      <c r="F10" s="646"/>
      <c r="G10" s="262"/>
      <c r="H10" s="263"/>
      <c r="I10" s="264"/>
      <c r="J10" s="263"/>
      <c r="K10" s="263"/>
      <c r="L10" s="263"/>
      <c r="M10" s="644" t="str">
        <f>IF(P8=0,"","Net Actual Funding Rate: "&amp;DOLLAR($P$14/$P$8,2))</f>
        <v>Net Actual Funding Rate: $1,874.54</v>
      </c>
      <c r="N10" s="645"/>
      <c r="O10" s="647"/>
      <c r="P10" s="265">
        <f>P14</f>
        <v>2307557.56</v>
      </c>
      <c r="Q10" s="534">
        <v>1934.42</v>
      </c>
      <c r="R10" s="305">
        <f>Q10*P8</f>
        <v>2381271.02</v>
      </c>
      <c r="S10" s="305"/>
      <c r="T10" s="293"/>
    </row>
    <row r="11" spans="2:20" x14ac:dyDescent="0.45">
      <c r="B11" s="213" t="s">
        <v>191</v>
      </c>
      <c r="C11" s="267" t="s">
        <v>194</v>
      </c>
      <c r="D11" s="268">
        <v>298201.83</v>
      </c>
      <c r="E11" s="234">
        <v>298201.83</v>
      </c>
      <c r="F11" s="234">
        <v>297634.68</v>
      </c>
      <c r="G11" s="268">
        <v>282905.25</v>
      </c>
      <c r="H11" s="234">
        <v>283472.48</v>
      </c>
      <c r="I11" s="269">
        <v>282638.45</v>
      </c>
      <c r="J11" s="234">
        <v>282638.45</v>
      </c>
      <c r="K11" s="234">
        <v>285557.59000000003</v>
      </c>
      <c r="L11" s="234"/>
      <c r="M11" s="268"/>
      <c r="N11" s="234"/>
      <c r="O11" s="270"/>
      <c r="P11" s="234">
        <f>SUM(D11:O11)</f>
        <v>2311250.56</v>
      </c>
      <c r="Q11" s="302"/>
    </row>
    <row r="12" spans="2:20" x14ac:dyDescent="0.45">
      <c r="C12" s="267" t="s">
        <v>195</v>
      </c>
      <c r="D12" s="268">
        <f>IF(D$8="","",IF(D$11=0,0,D$8*$Q12))</f>
        <v>-462</v>
      </c>
      <c r="E12" s="234">
        <f t="shared" ref="E12:O12" si="0">IF(E$8="","",IF(E$11=0,0,E$8*$Q12))</f>
        <v>-453</v>
      </c>
      <c r="F12" s="269">
        <f t="shared" si="0"/>
        <v>-465</v>
      </c>
      <c r="G12" s="268">
        <f t="shared" si="0"/>
        <v>-462</v>
      </c>
      <c r="H12" s="234">
        <f t="shared" si="0"/>
        <v>-459</v>
      </c>
      <c r="I12" s="269">
        <f t="shared" si="0"/>
        <v>-459</v>
      </c>
      <c r="J12" s="234">
        <f t="shared" si="0"/>
        <v>-468</v>
      </c>
      <c r="K12" s="234">
        <f t="shared" si="0"/>
        <v>-465</v>
      </c>
      <c r="L12" s="234" t="str">
        <f t="shared" si="0"/>
        <v/>
      </c>
      <c r="M12" s="268" t="str">
        <f t="shared" si="0"/>
        <v/>
      </c>
      <c r="N12" s="234" t="str">
        <f t="shared" si="0"/>
        <v/>
      </c>
      <c r="O12" s="270" t="str">
        <f t="shared" si="0"/>
        <v/>
      </c>
      <c r="P12" s="234">
        <f t="shared" ref="P12:P13" si="1">SUM(D12:O12)</f>
        <v>-3693</v>
      </c>
      <c r="Q12" s="533">
        <v>-3</v>
      </c>
    </row>
    <row r="13" spans="2:20" x14ac:dyDescent="0.45">
      <c r="B13" s="213" t="s">
        <v>191</v>
      </c>
      <c r="C13" s="267" t="s">
        <v>196</v>
      </c>
      <c r="D13" s="458">
        <f>IF(D$8="","",0)</f>
        <v>0</v>
      </c>
      <c r="E13" s="234">
        <f>IF(E$8="","",0)</f>
        <v>0</v>
      </c>
      <c r="F13" s="269">
        <f t="shared" ref="F13:O13" si="2">IF(F$8="","",0)</f>
        <v>0</v>
      </c>
      <c r="G13" s="268">
        <f t="shared" si="2"/>
        <v>0</v>
      </c>
      <c r="H13" s="234">
        <f t="shared" si="2"/>
        <v>0</v>
      </c>
      <c r="I13" s="269">
        <f t="shared" si="2"/>
        <v>0</v>
      </c>
      <c r="J13" s="234">
        <f t="shared" si="2"/>
        <v>0</v>
      </c>
      <c r="K13" s="234">
        <f t="shared" si="2"/>
        <v>0</v>
      </c>
      <c r="L13" s="234" t="str">
        <f t="shared" si="2"/>
        <v/>
      </c>
      <c r="M13" s="268" t="str">
        <f t="shared" si="2"/>
        <v/>
      </c>
      <c r="N13" s="234" t="str">
        <f t="shared" si="2"/>
        <v/>
      </c>
      <c r="O13" s="270" t="str">
        <f t="shared" si="2"/>
        <v/>
      </c>
      <c r="P13" s="234">
        <f t="shared" si="1"/>
        <v>0</v>
      </c>
      <c r="Q13" s="533"/>
    </row>
    <row r="14" spans="2:20" x14ac:dyDescent="0.45">
      <c r="C14" s="272" t="s">
        <v>197</v>
      </c>
      <c r="D14" s="273">
        <f>IF(D8="","",SUM(D11:D13))</f>
        <v>297739.83</v>
      </c>
      <c r="E14" s="274">
        <f t="shared" ref="E14:O14" si="3">IF(E8="","",SUM(E11:E13))</f>
        <v>297748.83</v>
      </c>
      <c r="F14" s="275">
        <f t="shared" si="3"/>
        <v>297169.68</v>
      </c>
      <c r="G14" s="273">
        <f t="shared" si="3"/>
        <v>282443.25</v>
      </c>
      <c r="H14" s="274">
        <f t="shared" si="3"/>
        <v>283013.48</v>
      </c>
      <c r="I14" s="275">
        <f t="shared" si="3"/>
        <v>282179.45</v>
      </c>
      <c r="J14" s="274">
        <f t="shared" si="3"/>
        <v>282170.45</v>
      </c>
      <c r="K14" s="274">
        <f t="shared" si="3"/>
        <v>285092.59000000003</v>
      </c>
      <c r="L14" s="274" t="str">
        <f t="shared" si="3"/>
        <v/>
      </c>
      <c r="M14" s="273" t="str">
        <f t="shared" si="3"/>
        <v/>
      </c>
      <c r="N14" s="274" t="str">
        <f t="shared" si="3"/>
        <v/>
      </c>
      <c r="O14" s="276" t="str">
        <f t="shared" si="3"/>
        <v/>
      </c>
      <c r="P14" s="274">
        <f>SUM(P11:P13)</f>
        <v>2307557.56</v>
      </c>
      <c r="Q14" s="533"/>
    </row>
    <row r="15" spans="2:20" x14ac:dyDescent="0.45">
      <c r="C15" s="161"/>
      <c r="D15" s="277"/>
      <c r="E15" s="161"/>
      <c r="F15" s="278"/>
      <c r="G15" s="277"/>
      <c r="H15" s="161"/>
      <c r="I15" s="278"/>
      <c r="J15" s="161"/>
      <c r="K15" s="161"/>
      <c r="L15" s="161"/>
      <c r="M15" s="277"/>
      <c r="N15" s="161"/>
      <c r="O15" s="279"/>
      <c r="P15" s="161"/>
      <c r="Q15" s="533"/>
    </row>
    <row r="16" spans="2:20" s="13" customFormat="1" ht="25" customHeight="1" x14ac:dyDescent="0.35">
      <c r="C16" s="261" t="s">
        <v>198</v>
      </c>
      <c r="D16" s="644" t="str">
        <f>"Net Claims PEPM: "&amp;DOLLAR($P26/$P$8,0)</f>
        <v>Net Claims PEPM: $1,687</v>
      </c>
      <c r="E16" s="645"/>
      <c r="F16" s="646"/>
      <c r="G16" s="644" t="str">
        <f>"Admin, Reinsurance, &amp; Misc. PEPM: "&amp;DOLLAR(SUM($P36,$P42,$P49)/$P$8,0)</f>
        <v>Admin, Reinsurance, &amp; Misc. PEPM: $576</v>
      </c>
      <c r="H16" s="645"/>
      <c r="I16" s="646"/>
      <c r="J16" s="644" t="str">
        <f>"Total Expenses PEPM: "&amp;DOLLAR($P16/$P$8,0)</f>
        <v>Total Expenses PEPM: $2,263</v>
      </c>
      <c r="K16" s="645"/>
      <c r="L16" s="646"/>
      <c r="M16" s="644" t="str">
        <f>"Projection Variance: "&amp;TEXT(($P$16/$P$8)/$Q$10-1,"0.00%")</f>
        <v>Projection Variance: 16.99%</v>
      </c>
      <c r="N16" s="645"/>
      <c r="O16" s="647"/>
      <c r="P16" s="265">
        <f>SUM(P26,P36,P42,P49)</f>
        <v>2785966.8805263159</v>
      </c>
      <c r="Q16" s="534"/>
      <c r="T16" s="293"/>
    </row>
    <row r="17" spans="2:17" ht="17.25" customHeight="1" x14ac:dyDescent="0.45">
      <c r="C17" s="281" t="s">
        <v>36</v>
      </c>
      <c r="D17" s="277"/>
      <c r="E17" s="161"/>
      <c r="F17" s="278"/>
      <c r="G17" s="277"/>
      <c r="H17" s="161"/>
      <c r="I17" s="278"/>
      <c r="J17" s="161"/>
      <c r="K17" s="161"/>
      <c r="L17" s="161"/>
      <c r="M17" s="277"/>
      <c r="N17" s="161"/>
      <c r="O17" s="279"/>
      <c r="P17" s="161"/>
      <c r="Q17" s="533"/>
    </row>
    <row r="18" spans="2:17" x14ac:dyDescent="0.45">
      <c r="B18" s="213"/>
      <c r="C18" s="267" t="s">
        <v>91</v>
      </c>
      <c r="D18" s="268" cm="1">
        <f t="array" ref="D18">IFERROR(IFERROR(INDEX('Cash Flow Entry'!$F$3:$F$500,MATCH(1,INDEX((Wattsburg!$C$7='Cash Flow Entry'!$B$3:$B$500)*(VALUE(Wattsburg!D$7)='Cash Flow Entry'!$C$3:$C$500),0,1),0)),"")+IFERROR(INDEX('Cash Flow Entry'!$H$3:$H$500,MATCH(1,INDEX((Wattsburg!$C$7='Cash Flow Entry'!$B$3:$B$500)*(VALUE(Wattsburg!D$7)='Cash Flow Entry'!$C$3:$C$500),0,1),0)),""),"")</f>
        <v>127041.09</v>
      </c>
      <c r="E18" s="234" cm="1">
        <f t="array" ref="E18">IFERROR(IFERROR(INDEX('Cash Flow Entry'!$F$3:$F$500,MATCH(1,INDEX((Wattsburg!$C$7='Cash Flow Entry'!$B$3:$B$500)*(VALUE(Wattsburg!E$7)='Cash Flow Entry'!$C$3:$C$500),0,1),0)),"")+IFERROR(INDEX('Cash Flow Entry'!$H$3:$H$500,MATCH(1,INDEX((Wattsburg!$C$7='Cash Flow Entry'!$B$3:$B$500)*(VALUE(Wattsburg!E$7)='Cash Flow Entry'!$C$3:$C$500),0,1),0)),""),"")</f>
        <v>229620.19</v>
      </c>
      <c r="F18" s="269" cm="1">
        <f t="array" ref="F18">IFERROR(IFERROR(INDEX('Cash Flow Entry'!$F$3:$F$500,MATCH(1,INDEX((Wattsburg!$C$7='Cash Flow Entry'!$B$3:$B$500)*(VALUE(Wattsburg!F$7)='Cash Flow Entry'!$C$3:$C$500),0,1),0)),"")+IFERROR(INDEX('Cash Flow Entry'!$H$3:$H$500,MATCH(1,INDEX((Wattsburg!$C$7='Cash Flow Entry'!$B$3:$B$500)*(VALUE(Wattsburg!F$7)='Cash Flow Entry'!$C$3:$C$500),0,1),0)),""),"")</f>
        <v>158586.28</v>
      </c>
      <c r="G18" s="268" cm="1">
        <f t="array" ref="G18">IFERROR(IFERROR(INDEX('Cash Flow Entry'!$F$3:$F$500,MATCH(1,INDEX((Wattsburg!$C$7='Cash Flow Entry'!$B$3:$B$500)*(VALUE(Wattsburg!G$7)='Cash Flow Entry'!$C$3:$C$500),0,1),0)),"")+IFERROR(INDEX('Cash Flow Entry'!$H$3:$H$500,MATCH(1,INDEX((Wattsburg!$C$7='Cash Flow Entry'!$B$3:$B$500)*(VALUE(Wattsburg!G$7)='Cash Flow Entry'!$C$3:$C$500),0,1),0)),""),"")</f>
        <v>115667.96</v>
      </c>
      <c r="H18" s="234" cm="1">
        <f t="array" ref="H18">IFERROR(IFERROR(INDEX('Cash Flow Entry'!$F$3:$F$500,MATCH(1,INDEX((Wattsburg!$C$7='Cash Flow Entry'!$B$3:$B$500)*(VALUE(Wattsburg!H$7)='Cash Flow Entry'!$C$3:$C$500),0,1),0)),"")+IFERROR(INDEX('Cash Flow Entry'!$H$3:$H$500,MATCH(1,INDEX((Wattsburg!$C$7='Cash Flow Entry'!$B$3:$B$500)*(VALUE(Wattsburg!H$7)='Cash Flow Entry'!$C$3:$C$500),0,1),0)),""),"")</f>
        <v>172234.37</v>
      </c>
      <c r="I18" s="269" cm="1">
        <f t="array" ref="I18">IFERROR(IFERROR(INDEX('Cash Flow Entry'!$F$3:$F$500,MATCH(1,INDEX((Wattsburg!$C$7='Cash Flow Entry'!$B$3:$B$500)*(VALUE(Wattsburg!I$7)='Cash Flow Entry'!$C$3:$C$500),0,1),0)),"")+IFERROR(INDEX('Cash Flow Entry'!$H$3:$H$500,MATCH(1,INDEX((Wattsburg!$C$7='Cash Flow Entry'!$B$3:$B$500)*(VALUE(Wattsburg!I$7)='Cash Flow Entry'!$C$3:$C$500),0,1),0)),""),"")</f>
        <v>207913.8</v>
      </c>
      <c r="J18" s="234" cm="1">
        <f t="array" ref="J18">IFERROR(IFERROR(INDEX('Cash Flow Entry'!$F$3:$F$500,MATCH(1,INDEX((Wattsburg!$C$7='Cash Flow Entry'!$B$3:$B$500)*(VALUE(Wattsburg!J$7)='Cash Flow Entry'!$C$3:$C$500),0,1),0)),"")+IFERROR(INDEX('Cash Flow Entry'!$H$3:$H$500,MATCH(1,INDEX((Wattsburg!$C$7='Cash Flow Entry'!$B$3:$B$500)*(VALUE(Wattsburg!J$7)='Cash Flow Entry'!$C$3:$C$500),0,1),0)),""),"")</f>
        <v>252316.66</v>
      </c>
      <c r="K18" s="234" cm="1">
        <f t="array" ref="K18">IFERROR(IFERROR(INDEX('Cash Flow Entry'!$F$3:$F$500,MATCH(1,INDEX((Wattsburg!$C$7='Cash Flow Entry'!$B$3:$B$500)*(VALUE(Wattsburg!K$7)='Cash Flow Entry'!$C$3:$C$500),0,1),0)),"")+IFERROR(INDEX('Cash Flow Entry'!$H$3:$H$500,MATCH(1,INDEX((Wattsburg!$C$7='Cash Flow Entry'!$B$3:$B$500)*(VALUE(Wattsburg!K$7)='Cash Flow Entry'!$C$3:$C$500),0,1),0)),""),"")</f>
        <v>194994.85</v>
      </c>
      <c r="L18" s="234" t="str" cm="1">
        <f t="array" ref="L18">IFERROR(IFERROR(INDEX('Cash Flow Entry'!$F$3:$F$500,MATCH(1,INDEX((Wattsburg!$C$7='Cash Flow Entry'!$B$3:$B$500)*(VALUE(Wattsburg!L$7)='Cash Flow Entry'!$C$3:$C$500),0,1),0)),"")+IFERROR(INDEX('Cash Flow Entry'!$H$3:$H$500,MATCH(1,INDEX((Wattsburg!$C$7='Cash Flow Entry'!$B$3:$B$500)*(VALUE(Wattsburg!L$7)='Cash Flow Entry'!$C$3:$C$500),0,1),0)),""),"")</f>
        <v/>
      </c>
      <c r="M18" s="268" t="str" cm="1">
        <f t="array" ref="M18">IFERROR(IFERROR(INDEX('Cash Flow Entry'!$F$3:$F$500,MATCH(1,INDEX((Wattsburg!$C$7='Cash Flow Entry'!$B$3:$B$500)*(VALUE(Wattsburg!M$7)='Cash Flow Entry'!$C$3:$C$500),0,1),0)),"")+IFERROR(INDEX('Cash Flow Entry'!$H$3:$H$500,MATCH(1,INDEX((Wattsburg!$C$7='Cash Flow Entry'!$B$3:$B$500)*(VALUE(Wattsburg!M$7)='Cash Flow Entry'!$C$3:$C$500),0,1),0)),""),"")</f>
        <v/>
      </c>
      <c r="N18" s="234" t="str" cm="1">
        <f t="array" ref="N18">IFERROR(IFERROR(INDEX('Cash Flow Entry'!$F$3:$F$500,MATCH(1,INDEX((Wattsburg!$C$7='Cash Flow Entry'!$B$3:$B$500)*(VALUE(Wattsburg!N$7)='Cash Flow Entry'!$C$3:$C$500),0,1),0)),"")+IFERROR(INDEX('Cash Flow Entry'!$H$3:$H$500,MATCH(1,INDEX((Wattsburg!$C$7='Cash Flow Entry'!$B$3:$B$500)*(VALUE(Wattsburg!N$7)='Cash Flow Entry'!$C$3:$C$500),0,1),0)),""),"")</f>
        <v/>
      </c>
      <c r="O18" s="270" t="str" cm="1">
        <f t="array" ref="O18">IFERROR(IFERROR(INDEX('Cash Flow Entry'!$F$3:$F$500,MATCH(1,INDEX((Wattsburg!$C$7='Cash Flow Entry'!$B$3:$B$500)*(VALUE(Wattsburg!O$7)='Cash Flow Entry'!$C$3:$C$500),0,1),0)),"")+IFERROR(INDEX('Cash Flow Entry'!$H$3:$H$500,MATCH(1,INDEX((Wattsburg!$C$7='Cash Flow Entry'!$B$3:$B$500)*(VALUE(Wattsburg!O$7)='Cash Flow Entry'!$C$3:$C$500),0,1),0)),""),"")</f>
        <v/>
      </c>
      <c r="P18" s="234">
        <f>SUM(D18:O18)</f>
        <v>1458375.2</v>
      </c>
      <c r="Q18" s="533">
        <v>769.62</v>
      </c>
    </row>
    <row r="19" spans="2:17" x14ac:dyDescent="0.45">
      <c r="B19" s="213"/>
      <c r="C19" s="267" t="s">
        <v>93</v>
      </c>
      <c r="D19" s="268" cm="1">
        <f t="array" ref="D19">IFERROR(INDEX('Cash Flow Entry'!$G$3:$G$500,MATCH(1,INDEX((Wattsburg!$C$7='Cash Flow Entry'!$B$3:$B$500)*(VALUE(Wattsburg!D$7)='Cash Flow Entry'!$C$3:$C$500),0,1),0)),"")</f>
        <v>125765.12</v>
      </c>
      <c r="E19" s="234" cm="1">
        <f t="array" ref="E19">IFERROR(INDEX('Cash Flow Entry'!$G$3:$G$500,MATCH(1,INDEX((Wattsburg!$C$7='Cash Flow Entry'!$B$3:$B$500)*(VALUE(Wattsburg!E$7)='Cash Flow Entry'!$C$3:$C$500),0,1),0)),"")</f>
        <v>155270.24</v>
      </c>
      <c r="F19" s="269" cm="1">
        <f t="array" ref="F19">IFERROR(INDEX('Cash Flow Entry'!$G$3:$G$500,MATCH(1,INDEX((Wattsburg!$C$7='Cash Flow Entry'!$B$3:$B$500)*(VALUE(Wattsburg!F$7)='Cash Flow Entry'!$C$3:$C$500),0,1),0)),"")</f>
        <v>134922.22</v>
      </c>
      <c r="G19" s="268" cm="1">
        <f t="array" ref="G19">IFERROR(INDEX('Cash Flow Entry'!$G$3:$G$500,MATCH(1,INDEX((Wattsburg!$C$7='Cash Flow Entry'!$B$3:$B$500)*(VALUE(Wattsburg!G$7)='Cash Flow Entry'!$C$3:$C$500),0,1),0)),"")</f>
        <v>112379.51</v>
      </c>
      <c r="H19" s="234" cm="1">
        <f t="array" ref="H19">IFERROR(INDEX('Cash Flow Entry'!$G$3:$G$500,MATCH(1,INDEX((Wattsburg!$C$7='Cash Flow Entry'!$B$3:$B$500)*(VALUE(Wattsburg!H$7)='Cash Flow Entry'!$C$3:$C$500),0,1),0)),"")</f>
        <v>158532.51</v>
      </c>
      <c r="I19" s="269" cm="1">
        <f t="array" ref="I19">IFERROR(INDEX('Cash Flow Entry'!$G$3:$G$500,MATCH(1,INDEX((Wattsburg!$C$7='Cash Flow Entry'!$B$3:$B$500)*(VALUE(Wattsburg!I$7)='Cash Flow Entry'!$C$3:$C$500),0,1),0)),"")</f>
        <v>128346.48</v>
      </c>
      <c r="J19" s="234" cm="1">
        <f t="array" ref="J19">IFERROR(INDEX('Cash Flow Entry'!$G$3:$G$500,MATCH(1,INDEX((Wattsburg!$C$7='Cash Flow Entry'!$B$3:$B$500)*(VALUE(Wattsburg!J$7)='Cash Flow Entry'!$C$3:$C$500),0,1),0)),"")</f>
        <v>153199.46</v>
      </c>
      <c r="K19" s="234" cm="1">
        <f t="array" ref="K19">IFERROR(INDEX('Cash Flow Entry'!$G$3:$G$500,MATCH(1,INDEX((Wattsburg!$C$7='Cash Flow Entry'!$B$3:$B$500)*(VALUE(Wattsburg!K$7)='Cash Flow Entry'!$C$3:$C$500),0,1),0)),"")</f>
        <v>127623.7</v>
      </c>
      <c r="L19" s="234" t="str" cm="1">
        <f t="array" ref="L19">IFERROR(INDEX('Cash Flow Entry'!$G$3:$G$500,MATCH(1,INDEX((Wattsburg!$C$7='Cash Flow Entry'!$B$3:$B$500)*(VALUE(Wattsburg!L$7)='Cash Flow Entry'!$C$3:$C$500),0,1),0)),"")</f>
        <v/>
      </c>
      <c r="M19" s="268" t="str" cm="1">
        <f t="array" ref="M19">IFERROR(INDEX('Cash Flow Entry'!$G$3:$G$500,MATCH(1,INDEX((Wattsburg!$C$7='Cash Flow Entry'!$B$3:$B$500)*(VALUE(Wattsburg!M$7)='Cash Flow Entry'!$C$3:$C$500),0,1),0)),"")</f>
        <v/>
      </c>
      <c r="N19" s="234" t="str" cm="1">
        <f t="array" ref="N19">IFERROR(INDEX('Cash Flow Entry'!$G$3:$G$500,MATCH(1,INDEX((Wattsburg!$C$7='Cash Flow Entry'!$B$3:$B$500)*(VALUE(Wattsburg!N$7)='Cash Flow Entry'!$C$3:$C$500),0,1),0)),"")</f>
        <v/>
      </c>
      <c r="O19" s="270" t="str" cm="1">
        <f t="array" ref="O19">IFERROR(INDEX('Cash Flow Entry'!$G$3:$G$500,MATCH(1,INDEX((Wattsburg!$C$7='Cash Flow Entry'!$B$3:$B$500)*(VALUE(Wattsburg!O$7)='Cash Flow Entry'!$C$3:$C$500),0,1),0)),"")</f>
        <v/>
      </c>
      <c r="P19" s="234">
        <f>SUM(D19:O19)</f>
        <v>1096039.24</v>
      </c>
      <c r="Q19" s="533">
        <v>542.57000000000005</v>
      </c>
    </row>
    <row r="20" spans="2:17" x14ac:dyDescent="0.45">
      <c r="B20" s="213"/>
      <c r="C20" s="267" t="s">
        <v>321</v>
      </c>
      <c r="D20" s="268">
        <f t="shared" ref="D20:O20" si="4">IF(D$8="","",0)</f>
        <v>0</v>
      </c>
      <c r="E20" s="234">
        <f t="shared" si="4"/>
        <v>0</v>
      </c>
      <c r="F20" s="269">
        <f t="shared" si="4"/>
        <v>0</v>
      </c>
      <c r="G20" s="268">
        <f t="shared" si="4"/>
        <v>0</v>
      </c>
      <c r="H20" s="234">
        <f t="shared" si="4"/>
        <v>0</v>
      </c>
      <c r="I20" s="269">
        <f t="shared" si="4"/>
        <v>0</v>
      </c>
      <c r="J20" s="234">
        <f t="shared" si="4"/>
        <v>0</v>
      </c>
      <c r="K20" s="234">
        <f t="shared" si="4"/>
        <v>0</v>
      </c>
      <c r="L20" s="234" t="str">
        <f t="shared" si="4"/>
        <v/>
      </c>
      <c r="M20" s="268" t="str">
        <f t="shared" si="4"/>
        <v/>
      </c>
      <c r="N20" s="234" t="str">
        <f t="shared" si="4"/>
        <v/>
      </c>
      <c r="O20" s="270" t="str">
        <f t="shared" si="4"/>
        <v/>
      </c>
      <c r="P20" s="234">
        <f>SUM(D20:O20)</f>
        <v>0</v>
      </c>
      <c r="Q20" s="533"/>
    </row>
    <row r="21" spans="2:17" x14ac:dyDescent="0.45">
      <c r="B21" s="219">
        <f>INDEX('HCC Summary'!$I$9:$I$27,MATCH(Wattsburg!C7,'HCC Summary'!B9:B27, 0))</f>
        <v>282802.75</v>
      </c>
      <c r="C21" s="282" t="s">
        <v>225</v>
      </c>
      <c r="D21" s="283">
        <v>0</v>
      </c>
      <c r="E21" s="284">
        <v>13954.99</v>
      </c>
      <c r="F21" s="285">
        <v>65329.77</v>
      </c>
      <c r="G21" s="283">
        <v>93276.38</v>
      </c>
      <c r="H21" s="284">
        <v>147914.92000000001</v>
      </c>
      <c r="I21" s="285">
        <v>199122.53</v>
      </c>
      <c r="J21" s="284">
        <v>238741.98</v>
      </c>
      <c r="K21" s="284">
        <v>282802.75</v>
      </c>
      <c r="L21" s="284"/>
      <c r="M21" s="283"/>
      <c r="N21" s="284"/>
      <c r="O21" s="286"/>
      <c r="P21" s="641">
        <f>SUM(D22:O22)</f>
        <v>-282802.75</v>
      </c>
      <c r="Q21" s="533"/>
    </row>
    <row r="22" spans="2:17" x14ac:dyDescent="0.45">
      <c r="C22" s="267" t="s">
        <v>226</v>
      </c>
      <c r="D22" s="268">
        <f>IF(D8="","",-D21)</f>
        <v>0</v>
      </c>
      <c r="E22" s="234">
        <f t="shared" ref="E22:O22" si="5">IF(E8="","",-(E21-D21))</f>
        <v>-13954.99</v>
      </c>
      <c r="F22" s="269">
        <f t="shared" si="5"/>
        <v>-51374.78</v>
      </c>
      <c r="G22" s="268">
        <f>IF(G8="","",-(G21-F21))</f>
        <v>-27946.610000000008</v>
      </c>
      <c r="H22" s="234">
        <f t="shared" si="5"/>
        <v>-54638.540000000008</v>
      </c>
      <c r="I22" s="269">
        <f t="shared" si="5"/>
        <v>-51207.609999999986</v>
      </c>
      <c r="J22" s="234">
        <f t="shared" si="5"/>
        <v>-39619.450000000012</v>
      </c>
      <c r="K22" s="234">
        <f t="shared" si="5"/>
        <v>-44060.76999999999</v>
      </c>
      <c r="L22" s="234" t="str">
        <f t="shared" si="5"/>
        <v/>
      </c>
      <c r="M22" s="268" t="str">
        <f t="shared" si="5"/>
        <v/>
      </c>
      <c r="N22" s="234" t="str">
        <f t="shared" si="5"/>
        <v/>
      </c>
      <c r="O22" s="270" t="str">
        <f t="shared" si="5"/>
        <v/>
      </c>
      <c r="P22" s="641"/>
      <c r="Q22" s="533"/>
    </row>
    <row r="23" spans="2:17" x14ac:dyDescent="0.45">
      <c r="C23" s="267" t="s">
        <v>363</v>
      </c>
      <c r="D23" s="268">
        <f>IF(D$8="","",$U68)</f>
        <v>-52869.02</v>
      </c>
      <c r="E23" s="234">
        <f>IF(E$8="","",$U69)</f>
        <v>0</v>
      </c>
      <c r="F23" s="269">
        <f>IF(F$8="","",$U70)</f>
        <v>0</v>
      </c>
      <c r="G23" s="268">
        <f>IF(G$8="","",$U71)</f>
        <v>0</v>
      </c>
      <c r="H23" s="234">
        <f>IF(H$8="","",$U72)</f>
        <v>0</v>
      </c>
      <c r="I23" s="269">
        <f>IF(I$8="","",$U73)</f>
        <v>0</v>
      </c>
      <c r="J23" s="234">
        <f>IF(J$8="","",$U74)</f>
        <v>0</v>
      </c>
      <c r="K23" s="234">
        <f>IF(K$8="","",$U75)</f>
        <v>0</v>
      </c>
      <c r="L23" s="234" t="str">
        <f>IF(L$8="","",$U76)</f>
        <v/>
      </c>
      <c r="M23" s="268" t="str">
        <f>IF(M$8="","",$U77)</f>
        <v/>
      </c>
      <c r="N23" s="234" t="str">
        <f>IF(N$8="","",$U78)</f>
        <v/>
      </c>
      <c r="O23" s="270" t="str">
        <f>IF(O$8="","",$U79)</f>
        <v/>
      </c>
      <c r="P23" s="185">
        <f t="shared" ref="P23:P25" si="6">SUM(D23:O23)</f>
        <v>-52869.02</v>
      </c>
      <c r="Q23" s="533"/>
    </row>
    <row r="24" spans="2:17" x14ac:dyDescent="0.45">
      <c r="C24" s="267" t="s">
        <v>25</v>
      </c>
      <c r="D24" s="268">
        <f t="shared" ref="D24:O24" si="7">IF(D$8="","",D$8*$Q$24)</f>
        <v>-16940</v>
      </c>
      <c r="E24" s="234">
        <f t="shared" si="7"/>
        <v>-16610</v>
      </c>
      <c r="F24" s="269">
        <f t="shared" si="7"/>
        <v>-17050</v>
      </c>
      <c r="G24" s="268">
        <f t="shared" si="7"/>
        <v>-16940</v>
      </c>
      <c r="H24" s="234">
        <f t="shared" si="7"/>
        <v>-16830</v>
      </c>
      <c r="I24" s="269">
        <f t="shared" si="7"/>
        <v>-16830</v>
      </c>
      <c r="J24" s="234">
        <f t="shared" si="7"/>
        <v>-17160</v>
      </c>
      <c r="K24" s="234">
        <f t="shared" si="7"/>
        <v>-17050</v>
      </c>
      <c r="L24" s="234" t="str">
        <f t="shared" si="7"/>
        <v/>
      </c>
      <c r="M24" s="268" t="str">
        <f t="shared" si="7"/>
        <v/>
      </c>
      <c r="N24" s="234" t="str">
        <f t="shared" si="7"/>
        <v/>
      </c>
      <c r="O24" s="270" t="str">
        <f t="shared" si="7"/>
        <v/>
      </c>
      <c r="P24" s="234">
        <f t="shared" si="6"/>
        <v>-135410</v>
      </c>
      <c r="Q24" s="533">
        <v>-110</v>
      </c>
    </row>
    <row r="25" spans="2:17" x14ac:dyDescent="0.45">
      <c r="B25" s="213"/>
      <c r="C25" s="267" t="s">
        <v>199</v>
      </c>
      <c r="D25" s="268">
        <f>IF(D$8="","",SUM($L68:$R68))</f>
        <v>1805.0700000000002</v>
      </c>
      <c r="E25" s="234">
        <f>IF(E$8="","",SUM($L69:$R69))</f>
        <v>1783.45</v>
      </c>
      <c r="F25" s="269">
        <f>IF(F$8="","",SUM($L70:$R70))</f>
        <v>849.33</v>
      </c>
      <c r="G25" s="268">
        <f>IF(G$8="","",SUM($L71:$R71))</f>
        <v>1122.81</v>
      </c>
      <c r="H25" s="234">
        <f>IF(H$8="","",SUM($L72:$R72))</f>
        <v>1477.5</v>
      </c>
      <c r="I25" s="269">
        <f>IF(I$8="","",SUM($L73:$R73))</f>
        <v>2224.0300000000002</v>
      </c>
      <c r="J25" s="234">
        <f>IF(J$8="","",SUM($L74:$R74))</f>
        <v>1884.99</v>
      </c>
      <c r="K25" s="234">
        <f>IF(K$8="","",SUM($L75:$S75))</f>
        <v>-17838.57</v>
      </c>
      <c r="L25" s="234" t="str">
        <f>IF(L$8="","",SUM($L76:$S76))</f>
        <v/>
      </c>
      <c r="M25" s="268" t="str">
        <f>IF(M$8="","",SUM($L77:$S77))</f>
        <v/>
      </c>
      <c r="N25" s="234" t="str">
        <f>IF(N$8="","",SUM($L78:$S78))</f>
        <v/>
      </c>
      <c r="O25" s="270" t="str">
        <f>IF(O$8="","",SUM($L79:$S79))</f>
        <v/>
      </c>
      <c r="P25" s="234">
        <f t="shared" si="6"/>
        <v>-6691.3899999999994</v>
      </c>
      <c r="Q25" s="533"/>
    </row>
    <row r="26" spans="2:17" x14ac:dyDescent="0.45">
      <c r="C26" s="272" t="s">
        <v>200</v>
      </c>
      <c r="D26" s="273">
        <f>IF(D8="","",SUM(D18:D20,D22:D25))</f>
        <v>184802.26</v>
      </c>
      <c r="E26" s="274">
        <f t="shared" ref="E26:L26" si="8">IF(E8="","",SUM(E18:E20,E22:E25))</f>
        <v>356108.89</v>
      </c>
      <c r="F26" s="275">
        <f t="shared" si="8"/>
        <v>225933.05</v>
      </c>
      <c r="G26" s="273">
        <f t="shared" si="8"/>
        <v>184283.66999999998</v>
      </c>
      <c r="H26" s="274">
        <f t="shared" si="8"/>
        <v>260775.83999999997</v>
      </c>
      <c r="I26" s="275">
        <f t="shared" si="8"/>
        <v>270446.7</v>
      </c>
      <c r="J26" s="273">
        <f t="shared" si="8"/>
        <v>350621.66</v>
      </c>
      <c r="K26" s="274">
        <f t="shared" si="8"/>
        <v>243669.21000000002</v>
      </c>
      <c r="L26" s="275" t="str">
        <f t="shared" si="8"/>
        <v/>
      </c>
      <c r="M26" s="273" t="str">
        <f>IF(M8="","",SUM(M18:M20,M22:M25))</f>
        <v/>
      </c>
      <c r="N26" s="274" t="str">
        <f>IF(N8="","",SUM(N18:N20,N22:N25))</f>
        <v/>
      </c>
      <c r="O26" s="276" t="str">
        <f>IF(O8="","",SUM(O18:O19,O22:O25))</f>
        <v/>
      </c>
      <c r="P26" s="274">
        <f>SUM(P18:P25)</f>
        <v>2076641.28</v>
      </c>
      <c r="Q26" s="533"/>
    </row>
    <row r="27" spans="2:17" ht="17.25" customHeight="1" x14ac:dyDescent="0.45">
      <c r="C27" s="281" t="s">
        <v>201</v>
      </c>
      <c r="D27" s="277"/>
      <c r="E27" s="161"/>
      <c r="F27" s="278"/>
      <c r="G27" s="277"/>
      <c r="H27" s="161"/>
      <c r="I27" s="278"/>
      <c r="J27" s="161"/>
      <c r="K27" s="161"/>
      <c r="L27" s="161"/>
      <c r="M27" s="277"/>
      <c r="N27" s="161"/>
      <c r="O27" s="279"/>
      <c r="P27" s="161"/>
      <c r="Q27" s="533"/>
    </row>
    <row r="28" spans="2:17" x14ac:dyDescent="0.45">
      <c r="C28" s="267" t="s">
        <v>223</v>
      </c>
      <c r="D28" s="268">
        <f>IF(D$8="","",D$8*$Q28)</f>
        <v>6181.56</v>
      </c>
      <c r="E28" s="234">
        <f t="shared" ref="E28:O35" si="9">IF(E$8="","",E$8*$Q28)</f>
        <v>6061.14</v>
      </c>
      <c r="F28" s="269">
        <f t="shared" si="9"/>
        <v>6221.7</v>
      </c>
      <c r="G28" s="268">
        <f t="shared" si="9"/>
        <v>6181.56</v>
      </c>
      <c r="H28" s="234">
        <f t="shared" si="9"/>
        <v>6141.42</v>
      </c>
      <c r="I28" s="269">
        <f t="shared" si="9"/>
        <v>6141.42</v>
      </c>
      <c r="J28" s="234">
        <f t="shared" si="9"/>
        <v>6261.84</v>
      </c>
      <c r="K28" s="234">
        <f t="shared" si="9"/>
        <v>6221.7</v>
      </c>
      <c r="L28" s="234" t="str">
        <f t="shared" si="9"/>
        <v/>
      </c>
      <c r="M28" s="268" t="str">
        <f t="shared" si="9"/>
        <v/>
      </c>
      <c r="N28" s="234" t="str">
        <f t="shared" si="9"/>
        <v/>
      </c>
      <c r="O28" s="270" t="str">
        <f t="shared" si="9"/>
        <v/>
      </c>
      <c r="P28" s="234">
        <f>SUM(D28:O28)</f>
        <v>49412.34</v>
      </c>
      <c r="Q28" s="533">
        <v>40.14</v>
      </c>
    </row>
    <row r="29" spans="2:17" x14ac:dyDescent="0.45">
      <c r="C29" s="267" t="s">
        <v>224</v>
      </c>
      <c r="D29" s="268">
        <f t="shared" ref="D29:O35" si="10">IF(D$8="","",D$8*$Q29)</f>
        <v>616</v>
      </c>
      <c r="E29" s="234">
        <f t="shared" si="9"/>
        <v>604</v>
      </c>
      <c r="F29" s="269">
        <f t="shared" si="9"/>
        <v>620</v>
      </c>
      <c r="G29" s="268">
        <f t="shared" si="9"/>
        <v>616</v>
      </c>
      <c r="H29" s="234">
        <f t="shared" si="9"/>
        <v>612</v>
      </c>
      <c r="I29" s="269">
        <f t="shared" si="9"/>
        <v>612</v>
      </c>
      <c r="J29" s="234">
        <f t="shared" si="9"/>
        <v>624</v>
      </c>
      <c r="K29" s="234">
        <f t="shared" si="9"/>
        <v>620</v>
      </c>
      <c r="L29" s="234" t="str">
        <f t="shared" si="9"/>
        <v/>
      </c>
      <c r="M29" s="268" t="str">
        <f t="shared" si="9"/>
        <v/>
      </c>
      <c r="N29" s="234" t="str">
        <f t="shared" si="9"/>
        <v/>
      </c>
      <c r="O29" s="270" t="str">
        <f t="shared" si="9"/>
        <v/>
      </c>
      <c r="P29" s="234">
        <f t="shared" ref="P29:P35" si="11">SUM(D29:O29)</f>
        <v>4924</v>
      </c>
      <c r="Q29" s="533">
        <v>4</v>
      </c>
    </row>
    <row r="30" spans="2:17" x14ac:dyDescent="0.45">
      <c r="C30" s="267" t="s">
        <v>324</v>
      </c>
      <c r="D30" s="268">
        <f>IF(D$8="","",D$8*$Q30)</f>
        <v>0</v>
      </c>
      <c r="E30" s="234">
        <f t="shared" si="9"/>
        <v>0</v>
      </c>
      <c r="F30" s="234">
        <f t="shared" si="9"/>
        <v>0</v>
      </c>
      <c r="G30" s="268">
        <f t="shared" si="9"/>
        <v>0</v>
      </c>
      <c r="H30" s="234">
        <f t="shared" si="9"/>
        <v>0</v>
      </c>
      <c r="I30" s="234">
        <f t="shared" si="9"/>
        <v>0</v>
      </c>
      <c r="J30" s="268">
        <f t="shared" si="9"/>
        <v>0</v>
      </c>
      <c r="K30" s="234">
        <f t="shared" si="9"/>
        <v>0</v>
      </c>
      <c r="L30" s="234" t="str">
        <f t="shared" si="9"/>
        <v/>
      </c>
      <c r="M30" s="268" t="str">
        <f t="shared" si="9"/>
        <v/>
      </c>
      <c r="N30" s="234" t="str">
        <f t="shared" si="9"/>
        <v/>
      </c>
      <c r="O30" s="270" t="str">
        <f t="shared" si="9"/>
        <v/>
      </c>
      <c r="P30" s="234">
        <f t="shared" si="11"/>
        <v>0</v>
      </c>
      <c r="Q30" s="533">
        <v>0</v>
      </c>
    </row>
    <row r="31" spans="2:17" x14ac:dyDescent="0.45">
      <c r="C31" s="267" t="s">
        <v>325</v>
      </c>
      <c r="D31" s="268">
        <f t="shared" si="10"/>
        <v>0</v>
      </c>
      <c r="E31" s="234">
        <f t="shared" si="10"/>
        <v>0</v>
      </c>
      <c r="F31" s="234">
        <f t="shared" si="10"/>
        <v>0</v>
      </c>
      <c r="G31" s="268">
        <f t="shared" si="10"/>
        <v>0</v>
      </c>
      <c r="H31" s="234">
        <f t="shared" si="10"/>
        <v>0</v>
      </c>
      <c r="I31" s="234">
        <f t="shared" si="10"/>
        <v>0</v>
      </c>
      <c r="J31" s="268">
        <f t="shared" si="10"/>
        <v>0</v>
      </c>
      <c r="K31" s="234">
        <f t="shared" si="10"/>
        <v>0</v>
      </c>
      <c r="L31" s="234" t="str">
        <f t="shared" si="10"/>
        <v/>
      </c>
      <c r="M31" s="268" t="str">
        <f t="shared" si="10"/>
        <v/>
      </c>
      <c r="N31" s="234" t="str">
        <f t="shared" si="10"/>
        <v/>
      </c>
      <c r="O31" s="270" t="str">
        <f t="shared" si="10"/>
        <v/>
      </c>
      <c r="P31" s="234">
        <f t="shared" si="11"/>
        <v>0</v>
      </c>
      <c r="Q31" s="533">
        <v>0</v>
      </c>
    </row>
    <row r="32" spans="2:17" x14ac:dyDescent="0.45">
      <c r="C32" s="267" t="s">
        <v>247</v>
      </c>
      <c r="D32" s="268">
        <f t="shared" si="10"/>
        <v>0</v>
      </c>
      <c r="E32" s="234">
        <f t="shared" si="10"/>
        <v>0</v>
      </c>
      <c r="F32" s="269">
        <f t="shared" si="10"/>
        <v>0</v>
      </c>
      <c r="G32" s="268">
        <f t="shared" si="10"/>
        <v>0</v>
      </c>
      <c r="H32" s="234">
        <f t="shared" si="10"/>
        <v>0</v>
      </c>
      <c r="I32" s="269">
        <f t="shared" si="10"/>
        <v>0</v>
      </c>
      <c r="J32" s="234">
        <f t="shared" si="10"/>
        <v>0</v>
      </c>
      <c r="K32" s="234">
        <f t="shared" si="10"/>
        <v>0</v>
      </c>
      <c r="L32" s="234" t="str">
        <f t="shared" si="10"/>
        <v/>
      </c>
      <c r="M32" s="268" t="str">
        <f t="shared" si="10"/>
        <v/>
      </c>
      <c r="N32" s="234" t="str">
        <f t="shared" si="10"/>
        <v/>
      </c>
      <c r="O32" s="270" t="str">
        <f t="shared" si="10"/>
        <v/>
      </c>
      <c r="P32" s="234">
        <f t="shared" si="11"/>
        <v>0</v>
      </c>
      <c r="Q32" s="533">
        <v>0</v>
      </c>
    </row>
    <row r="33" spans="2:18" x14ac:dyDescent="0.45">
      <c r="C33" s="267" t="s">
        <v>227</v>
      </c>
      <c r="D33" s="268">
        <f t="shared" si="10"/>
        <v>269.5</v>
      </c>
      <c r="E33" s="234">
        <f t="shared" si="9"/>
        <v>264.25</v>
      </c>
      <c r="F33" s="269">
        <f t="shared" si="9"/>
        <v>271.25</v>
      </c>
      <c r="G33" s="268">
        <f t="shared" si="9"/>
        <v>269.5</v>
      </c>
      <c r="H33" s="234">
        <f t="shared" si="9"/>
        <v>267.75</v>
      </c>
      <c r="I33" s="269">
        <f t="shared" si="9"/>
        <v>267.75</v>
      </c>
      <c r="J33" s="234">
        <f t="shared" si="9"/>
        <v>273</v>
      </c>
      <c r="K33" s="234">
        <f t="shared" si="9"/>
        <v>271.25</v>
      </c>
      <c r="L33" s="234" t="str">
        <f t="shared" si="9"/>
        <v/>
      </c>
      <c r="M33" s="268" t="str">
        <f t="shared" si="9"/>
        <v/>
      </c>
      <c r="N33" s="234" t="str">
        <f t="shared" si="9"/>
        <v/>
      </c>
      <c r="O33" s="270" t="str">
        <f t="shared" si="9"/>
        <v/>
      </c>
      <c r="P33" s="234">
        <f t="shared" si="11"/>
        <v>2154.25</v>
      </c>
      <c r="Q33" s="533">
        <v>1.75</v>
      </c>
    </row>
    <row r="34" spans="2:18" x14ac:dyDescent="0.45">
      <c r="C34" s="267" t="s">
        <v>228</v>
      </c>
      <c r="D34" s="268">
        <f t="shared" si="10"/>
        <v>508.2</v>
      </c>
      <c r="E34" s="234">
        <f t="shared" si="9"/>
        <v>498.29999999999995</v>
      </c>
      <c r="F34" s="269">
        <f t="shared" si="9"/>
        <v>511.5</v>
      </c>
      <c r="G34" s="268">
        <f t="shared" si="9"/>
        <v>508.2</v>
      </c>
      <c r="H34" s="234">
        <f t="shared" si="9"/>
        <v>504.9</v>
      </c>
      <c r="I34" s="269">
        <f t="shared" si="9"/>
        <v>504.9</v>
      </c>
      <c r="J34" s="234">
        <f t="shared" si="9"/>
        <v>514.79999999999995</v>
      </c>
      <c r="K34" s="234">
        <f t="shared" si="9"/>
        <v>511.5</v>
      </c>
      <c r="L34" s="234" t="str">
        <f t="shared" si="9"/>
        <v/>
      </c>
      <c r="M34" s="268" t="str">
        <f t="shared" si="9"/>
        <v/>
      </c>
      <c r="N34" s="234" t="str">
        <f t="shared" si="9"/>
        <v/>
      </c>
      <c r="O34" s="270" t="str">
        <f t="shared" si="9"/>
        <v/>
      </c>
      <c r="P34" s="234">
        <f t="shared" si="11"/>
        <v>4062.3</v>
      </c>
      <c r="Q34" s="533">
        <v>3.3</v>
      </c>
    </row>
    <row r="35" spans="2:18" x14ac:dyDescent="0.45">
      <c r="C35" s="267" t="s">
        <v>202</v>
      </c>
      <c r="D35" s="268">
        <f t="shared" si="10"/>
        <v>609.84</v>
      </c>
      <c r="E35" s="234">
        <f t="shared" si="9"/>
        <v>597.96</v>
      </c>
      <c r="F35" s="269">
        <f t="shared" si="9"/>
        <v>613.79999999999995</v>
      </c>
      <c r="G35" s="268">
        <f t="shared" si="9"/>
        <v>609.84</v>
      </c>
      <c r="H35" s="234">
        <f t="shared" si="9"/>
        <v>605.88</v>
      </c>
      <c r="I35" s="269">
        <f t="shared" si="9"/>
        <v>605.88</v>
      </c>
      <c r="J35" s="234">
        <f t="shared" si="9"/>
        <v>617.76</v>
      </c>
      <c r="K35" s="234">
        <f t="shared" si="9"/>
        <v>613.79999999999995</v>
      </c>
      <c r="L35" s="234" t="str">
        <f t="shared" si="9"/>
        <v/>
      </c>
      <c r="M35" s="268" t="str">
        <f t="shared" si="9"/>
        <v/>
      </c>
      <c r="N35" s="234" t="str">
        <f t="shared" si="9"/>
        <v/>
      </c>
      <c r="O35" s="270" t="str">
        <f t="shared" si="9"/>
        <v/>
      </c>
      <c r="P35" s="234">
        <f t="shared" si="11"/>
        <v>4874.76</v>
      </c>
      <c r="Q35" s="533">
        <v>3.96</v>
      </c>
    </row>
    <row r="36" spans="2:18" x14ac:dyDescent="0.45">
      <c r="C36" s="272" t="s">
        <v>203</v>
      </c>
      <c r="D36" s="273">
        <f t="shared" ref="D36:P36" si="12">IF(D$8="","",SUM(D28:D35))</f>
        <v>8185.1</v>
      </c>
      <c r="E36" s="274">
        <f t="shared" si="12"/>
        <v>8025.6500000000005</v>
      </c>
      <c r="F36" s="275">
        <f t="shared" si="12"/>
        <v>8238.25</v>
      </c>
      <c r="G36" s="273">
        <f t="shared" si="12"/>
        <v>8185.1</v>
      </c>
      <c r="H36" s="274">
        <f t="shared" si="12"/>
        <v>8131.95</v>
      </c>
      <c r="I36" s="275">
        <f t="shared" si="12"/>
        <v>8131.95</v>
      </c>
      <c r="J36" s="274">
        <f t="shared" si="12"/>
        <v>8291.4</v>
      </c>
      <c r="K36" s="274">
        <f t="shared" si="12"/>
        <v>8238.25</v>
      </c>
      <c r="L36" s="274" t="str">
        <f t="shared" si="12"/>
        <v/>
      </c>
      <c r="M36" s="273" t="str">
        <f t="shared" si="12"/>
        <v/>
      </c>
      <c r="N36" s="274" t="str">
        <f t="shared" si="12"/>
        <v/>
      </c>
      <c r="O36" s="276" t="str">
        <f t="shared" si="12"/>
        <v/>
      </c>
      <c r="P36" s="274">
        <f t="shared" si="12"/>
        <v>65427.65</v>
      </c>
      <c r="Q36" s="533"/>
    </row>
    <row r="37" spans="2:18" ht="17.25" customHeight="1" x14ac:dyDescent="0.45">
      <c r="C37" s="281" t="s">
        <v>204</v>
      </c>
      <c r="D37" s="277"/>
      <c r="E37" s="161"/>
      <c r="F37" s="278"/>
      <c r="G37" s="277"/>
      <c r="H37" s="161"/>
      <c r="I37" s="278"/>
      <c r="J37" s="161"/>
      <c r="K37" s="161"/>
      <c r="L37" s="161"/>
      <c r="M37" s="277"/>
      <c r="N37" s="161"/>
      <c r="O37" s="279"/>
      <c r="P37" s="161"/>
      <c r="Q37" s="533"/>
    </row>
    <row r="38" spans="2:18" x14ac:dyDescent="0.45">
      <c r="C38" s="267" t="s">
        <v>362</v>
      </c>
      <c r="D38" s="268">
        <f>IF(D$8="","",D$8*$Q38)</f>
        <v>15210.58</v>
      </c>
      <c r="E38" s="234">
        <f t="shared" ref="E38:O41" si="13">IF(E$8="","",E$8*$Q38)</f>
        <v>14914.269999999999</v>
      </c>
      <c r="F38" s="269">
        <f t="shared" si="13"/>
        <v>15309.349999999999</v>
      </c>
      <c r="G38" s="268">
        <f t="shared" si="13"/>
        <v>15210.58</v>
      </c>
      <c r="H38" s="234">
        <f t="shared" si="13"/>
        <v>15111.81</v>
      </c>
      <c r="I38" s="269">
        <f t="shared" si="13"/>
        <v>15111.81</v>
      </c>
      <c r="J38" s="234">
        <f t="shared" si="13"/>
        <v>15408.119999999999</v>
      </c>
      <c r="K38" s="234">
        <f t="shared" si="13"/>
        <v>15309.349999999999</v>
      </c>
      <c r="L38" s="234" t="str">
        <f t="shared" si="13"/>
        <v/>
      </c>
      <c r="M38" s="268" t="str">
        <f t="shared" si="13"/>
        <v/>
      </c>
      <c r="N38" s="234" t="str">
        <f t="shared" si="13"/>
        <v/>
      </c>
      <c r="O38" s="270" t="str">
        <f t="shared" si="13"/>
        <v/>
      </c>
      <c r="P38" s="234">
        <f>SUM(D38:O38)</f>
        <v>121585.87</v>
      </c>
      <c r="Q38" s="533">
        <v>98.77</v>
      </c>
    </row>
    <row r="39" spans="2:18" x14ac:dyDescent="0.45">
      <c r="C39" s="267" t="s">
        <v>205</v>
      </c>
      <c r="D39" s="268">
        <f t="shared" ref="D39:D41" si="14">IF(D$8="","",D$8*$Q39)</f>
        <v>74973.36</v>
      </c>
      <c r="E39" s="234">
        <f t="shared" si="13"/>
        <v>73512.84</v>
      </c>
      <c r="F39" s="269">
        <f t="shared" si="13"/>
        <v>75460.2</v>
      </c>
      <c r="G39" s="268">
        <f t="shared" si="13"/>
        <v>74973.36</v>
      </c>
      <c r="H39" s="234">
        <f t="shared" si="13"/>
        <v>74486.51999999999</v>
      </c>
      <c r="I39" s="269">
        <f t="shared" ref="I39:O39" si="15">IF(I$8="","",I$8*$R39)</f>
        <v>43886.52</v>
      </c>
      <c r="J39" s="234">
        <f t="shared" si="15"/>
        <v>44747.039999999994</v>
      </c>
      <c r="K39" s="234">
        <f t="shared" si="15"/>
        <v>44460.2</v>
      </c>
      <c r="L39" s="234" t="str">
        <f t="shared" si="15"/>
        <v/>
      </c>
      <c r="M39" s="268" t="str">
        <f t="shared" si="15"/>
        <v/>
      </c>
      <c r="N39" s="234" t="str">
        <f t="shared" si="15"/>
        <v/>
      </c>
      <c r="O39" s="270" t="str">
        <f t="shared" si="15"/>
        <v/>
      </c>
      <c r="P39" s="234">
        <f t="shared" ref="P39:P41" si="16">SUM(D39:O39)</f>
        <v>506500.04000000004</v>
      </c>
      <c r="Q39" s="533">
        <v>486.84</v>
      </c>
      <c r="R39" s="11">
        <f>Q39-200</f>
        <v>286.83999999999997</v>
      </c>
    </row>
    <row r="40" spans="2:18" x14ac:dyDescent="0.45">
      <c r="C40" s="267" t="s">
        <v>322</v>
      </c>
      <c r="D40" s="268">
        <f t="shared" ref="D40:O40" si="17">IF(D$8="","",D$8*$Q40)</f>
        <v>616</v>
      </c>
      <c r="E40" s="234">
        <f t="shared" si="17"/>
        <v>604</v>
      </c>
      <c r="F40" s="269">
        <f t="shared" si="17"/>
        <v>620</v>
      </c>
      <c r="G40" s="234">
        <f t="shared" si="17"/>
        <v>616</v>
      </c>
      <c r="H40" s="234">
        <f t="shared" si="17"/>
        <v>612</v>
      </c>
      <c r="I40" s="269">
        <f t="shared" si="17"/>
        <v>612</v>
      </c>
      <c r="J40" s="234">
        <f t="shared" si="17"/>
        <v>624</v>
      </c>
      <c r="K40" s="234">
        <f t="shared" si="17"/>
        <v>620</v>
      </c>
      <c r="L40" s="234" t="str">
        <f t="shared" si="17"/>
        <v/>
      </c>
      <c r="M40" s="268" t="str">
        <f t="shared" si="17"/>
        <v/>
      </c>
      <c r="N40" s="234" t="str">
        <f t="shared" si="17"/>
        <v/>
      </c>
      <c r="O40" s="270" t="str">
        <f t="shared" si="17"/>
        <v/>
      </c>
      <c r="P40" s="234">
        <f>SUM(D40:O40)</f>
        <v>4924</v>
      </c>
      <c r="Q40" s="533">
        <v>4</v>
      </c>
    </row>
    <row r="41" spans="2:18" x14ac:dyDescent="0.45">
      <c r="C41" s="267" t="s">
        <v>206</v>
      </c>
      <c r="D41" s="268">
        <f t="shared" si="14"/>
        <v>443.52</v>
      </c>
      <c r="E41" s="234">
        <f t="shared" si="13"/>
        <v>434.88</v>
      </c>
      <c r="F41" s="269">
        <f t="shared" si="13"/>
        <v>446.4</v>
      </c>
      <c r="G41" s="268">
        <f t="shared" si="13"/>
        <v>443.52</v>
      </c>
      <c r="H41" s="234">
        <f t="shared" si="13"/>
        <v>440.64</v>
      </c>
      <c r="I41" s="269">
        <f t="shared" si="13"/>
        <v>440.64</v>
      </c>
      <c r="J41" s="234">
        <f t="shared" si="13"/>
        <v>449.28</v>
      </c>
      <c r="K41" s="234">
        <f t="shared" si="13"/>
        <v>446.4</v>
      </c>
      <c r="L41" s="234" t="str">
        <f t="shared" si="13"/>
        <v/>
      </c>
      <c r="M41" s="268" t="str">
        <f t="shared" si="13"/>
        <v/>
      </c>
      <c r="N41" s="234" t="str">
        <f t="shared" si="13"/>
        <v/>
      </c>
      <c r="O41" s="270" t="str">
        <f t="shared" si="13"/>
        <v/>
      </c>
      <c r="P41" s="234">
        <f t="shared" si="16"/>
        <v>3545.28</v>
      </c>
      <c r="Q41" s="533">
        <v>2.88</v>
      </c>
    </row>
    <row r="42" spans="2:18" x14ac:dyDescent="0.45">
      <c r="C42" s="272" t="s">
        <v>207</v>
      </c>
      <c r="D42" s="273">
        <f t="shared" ref="D42:P42" si="18">IF(D$8="","",SUM(D38:D41))</f>
        <v>91243.46</v>
      </c>
      <c r="E42" s="274">
        <f t="shared" si="18"/>
        <v>89465.99</v>
      </c>
      <c r="F42" s="275">
        <f t="shared" si="18"/>
        <v>91835.949999999983</v>
      </c>
      <c r="G42" s="273">
        <f t="shared" si="18"/>
        <v>91243.46</v>
      </c>
      <c r="H42" s="274">
        <f t="shared" si="18"/>
        <v>90650.969999999987</v>
      </c>
      <c r="I42" s="275">
        <f t="shared" si="18"/>
        <v>60050.969999999994</v>
      </c>
      <c r="J42" s="274">
        <f t="shared" si="18"/>
        <v>61228.439999999988</v>
      </c>
      <c r="K42" s="274">
        <f t="shared" si="18"/>
        <v>60835.95</v>
      </c>
      <c r="L42" s="274" t="str">
        <f t="shared" si="18"/>
        <v/>
      </c>
      <c r="M42" s="273" t="str">
        <f t="shared" si="18"/>
        <v/>
      </c>
      <c r="N42" s="274" t="str">
        <f t="shared" si="18"/>
        <v/>
      </c>
      <c r="O42" s="276" t="str">
        <f t="shared" si="18"/>
        <v/>
      </c>
      <c r="P42" s="274">
        <f t="shared" si="18"/>
        <v>636555.19000000006</v>
      </c>
      <c r="Q42" s="533"/>
    </row>
    <row r="43" spans="2:18" ht="17.25" customHeight="1" x14ac:dyDescent="0.45">
      <c r="C43" s="281" t="s">
        <v>208</v>
      </c>
      <c r="D43" s="277"/>
      <c r="E43" s="161"/>
      <c r="F43" s="278"/>
      <c r="G43" s="277"/>
      <c r="H43" s="161"/>
      <c r="I43" s="278"/>
      <c r="J43" s="161"/>
      <c r="K43" s="161"/>
      <c r="L43" s="278"/>
      <c r="M43" s="161"/>
      <c r="N43" s="161"/>
      <c r="O43" s="279"/>
      <c r="P43" s="161"/>
      <c r="Q43" s="271"/>
    </row>
    <row r="44" spans="2:18" x14ac:dyDescent="0.45">
      <c r="B44" s="213" t="s">
        <v>191</v>
      </c>
      <c r="C44" s="267" t="s">
        <v>209</v>
      </c>
      <c r="D44" s="268">
        <f t="shared" ref="D44:O48" si="19">IF(D$8="","",0)</f>
        <v>0</v>
      </c>
      <c r="E44" s="234">
        <f t="shared" si="19"/>
        <v>0</v>
      </c>
      <c r="F44" s="269">
        <f t="shared" si="19"/>
        <v>0</v>
      </c>
      <c r="G44" s="234">
        <f>416.5/19</f>
        <v>21.921052631578949</v>
      </c>
      <c r="H44" s="234">
        <f t="shared" si="19"/>
        <v>0</v>
      </c>
      <c r="I44" s="269">
        <f>229.95/19</f>
        <v>12.102631578947367</v>
      </c>
      <c r="J44" s="234">
        <f>(374+221)/19</f>
        <v>31.315789473684209</v>
      </c>
      <c r="K44" s="234">
        <f>1071/19</f>
        <v>56.368421052631582</v>
      </c>
      <c r="L44" s="269" t="str">
        <f t="shared" si="19"/>
        <v/>
      </c>
      <c r="M44" s="234" t="str">
        <f t="shared" si="19"/>
        <v/>
      </c>
      <c r="N44" s="234" t="str">
        <f t="shared" si="19"/>
        <v/>
      </c>
      <c r="O44" s="234" t="str">
        <f>IF(O$8="","",0)</f>
        <v/>
      </c>
      <c r="P44" s="474">
        <f>SUM(D44:O44)</f>
        <v>121.70789473684209</v>
      </c>
      <c r="Q44" s="244"/>
    </row>
    <row r="45" spans="2:18" x14ac:dyDescent="0.45">
      <c r="B45" s="213" t="s">
        <v>191</v>
      </c>
      <c r="C45" s="267" t="s">
        <v>210</v>
      </c>
      <c r="D45" s="268">
        <f t="shared" si="19"/>
        <v>0</v>
      </c>
      <c r="E45" s="234">
        <f t="shared" si="19"/>
        <v>0</v>
      </c>
      <c r="F45" s="269">
        <f t="shared" si="19"/>
        <v>0</v>
      </c>
      <c r="G45" s="234">
        <f t="shared" si="19"/>
        <v>0</v>
      </c>
      <c r="H45" s="234">
        <f>15600/19</f>
        <v>821.0526315789474</v>
      </c>
      <c r="I45" s="269">
        <f t="shared" si="19"/>
        <v>0</v>
      </c>
      <c r="J45" s="234">
        <f t="shared" si="19"/>
        <v>0</v>
      </c>
      <c r="K45" s="234">
        <f t="shared" si="19"/>
        <v>0</v>
      </c>
      <c r="L45" s="269" t="str">
        <f t="shared" si="19"/>
        <v/>
      </c>
      <c r="M45" s="234" t="str">
        <f t="shared" si="19"/>
        <v/>
      </c>
      <c r="N45" s="234" t="str">
        <f t="shared" si="19"/>
        <v/>
      </c>
      <c r="O45" s="234" t="str">
        <f t="shared" si="19"/>
        <v/>
      </c>
      <c r="P45" s="474">
        <f t="shared" ref="P45:P48" si="20">SUM(D45:O45)</f>
        <v>821.0526315789474</v>
      </c>
      <c r="Q45" s="246"/>
    </row>
    <row r="46" spans="2:18" x14ac:dyDescent="0.45">
      <c r="B46" s="213" t="s">
        <v>191</v>
      </c>
      <c r="C46" s="267" t="s">
        <v>297</v>
      </c>
      <c r="D46" s="268">
        <f t="shared" si="19"/>
        <v>0</v>
      </c>
      <c r="E46" s="234">
        <f t="shared" si="19"/>
        <v>0</v>
      </c>
      <c r="F46" s="234">
        <f t="shared" si="19"/>
        <v>0</v>
      </c>
      <c r="G46" s="268">
        <f t="shared" si="19"/>
        <v>0</v>
      </c>
      <c r="H46" s="234">
        <v>6400</v>
      </c>
      <c r="I46" s="269">
        <f t="shared" si="19"/>
        <v>0</v>
      </c>
      <c r="J46" s="234">
        <f t="shared" si="19"/>
        <v>0</v>
      </c>
      <c r="K46" s="234">
        <f t="shared" si="19"/>
        <v>0</v>
      </c>
      <c r="L46" s="269" t="str">
        <f t="shared" si="19"/>
        <v/>
      </c>
      <c r="M46" s="234" t="str">
        <f t="shared" si="19"/>
        <v/>
      </c>
      <c r="N46" s="234" t="str">
        <f t="shared" si="19"/>
        <v/>
      </c>
      <c r="O46" s="270" t="str">
        <f t="shared" si="19"/>
        <v/>
      </c>
      <c r="P46" s="234">
        <f t="shared" si="20"/>
        <v>6400</v>
      </c>
      <c r="Q46" s="244"/>
    </row>
    <row r="47" spans="2:18" x14ac:dyDescent="0.45">
      <c r="B47" s="213" t="s">
        <v>191</v>
      </c>
      <c r="C47" s="267" t="s">
        <v>214</v>
      </c>
      <c r="D47" s="268">
        <f t="shared" si="19"/>
        <v>0</v>
      </c>
      <c r="E47" s="234">
        <f t="shared" si="19"/>
        <v>0</v>
      </c>
      <c r="F47" s="234">
        <f t="shared" si="19"/>
        <v>0</v>
      </c>
      <c r="G47" s="268">
        <f t="shared" si="19"/>
        <v>0</v>
      </c>
      <c r="H47" s="234">
        <f t="shared" si="19"/>
        <v>0</v>
      </c>
      <c r="I47" s="234">
        <f t="shared" si="19"/>
        <v>0</v>
      </c>
      <c r="J47" s="268">
        <f t="shared" si="19"/>
        <v>0</v>
      </c>
      <c r="K47" s="234">
        <f t="shared" si="19"/>
        <v>0</v>
      </c>
      <c r="L47" s="234" t="str">
        <f t="shared" si="19"/>
        <v/>
      </c>
      <c r="M47" s="268" t="str">
        <f t="shared" si="19"/>
        <v/>
      </c>
      <c r="N47" s="234" t="str">
        <f t="shared" si="19"/>
        <v/>
      </c>
      <c r="O47" s="270" t="str">
        <f t="shared" si="19"/>
        <v/>
      </c>
      <c r="P47" s="234">
        <f t="shared" si="20"/>
        <v>0</v>
      </c>
      <c r="Q47" s="244"/>
    </row>
    <row r="48" spans="2:18" x14ac:dyDescent="0.45">
      <c r="B48" s="213" t="s">
        <v>191</v>
      </c>
      <c r="C48" s="267" t="s">
        <v>211</v>
      </c>
      <c r="D48" s="268">
        <f>IF(D$8="","",0)</f>
        <v>0</v>
      </c>
      <c r="E48" s="457">
        <f t="shared" si="19"/>
        <v>0</v>
      </c>
      <c r="F48" s="456">
        <f t="shared" si="19"/>
        <v>0</v>
      </c>
      <c r="G48" s="268">
        <f t="shared" si="19"/>
        <v>0</v>
      </c>
      <c r="H48" s="457">
        <f t="shared" si="19"/>
        <v>0</v>
      </c>
      <c r="I48" s="234">
        <f t="shared" si="19"/>
        <v>0</v>
      </c>
      <c r="J48" s="268">
        <f t="shared" si="19"/>
        <v>0</v>
      </c>
      <c r="K48" s="457">
        <f t="shared" si="19"/>
        <v>0</v>
      </c>
      <c r="L48" s="456" t="str">
        <f t="shared" si="19"/>
        <v/>
      </c>
      <c r="M48" s="268" t="str">
        <f t="shared" si="19"/>
        <v/>
      </c>
      <c r="N48" s="457" t="str">
        <f t="shared" si="19"/>
        <v/>
      </c>
      <c r="O48" s="457" t="str">
        <f t="shared" si="19"/>
        <v/>
      </c>
      <c r="P48" s="475">
        <f t="shared" si="20"/>
        <v>0</v>
      </c>
      <c r="Q48" s="244"/>
    </row>
    <row r="49" spans="2:20" x14ac:dyDescent="0.45">
      <c r="C49" s="272" t="s">
        <v>229</v>
      </c>
      <c r="D49" s="273">
        <f t="shared" ref="D49:P49" si="21">IF(D$8="","",SUM(D44:D48))</f>
        <v>0</v>
      </c>
      <c r="E49" s="274">
        <f t="shared" si="21"/>
        <v>0</v>
      </c>
      <c r="F49" s="275">
        <f t="shared" si="21"/>
        <v>0</v>
      </c>
      <c r="G49" s="273">
        <f t="shared" si="21"/>
        <v>21.921052631578949</v>
      </c>
      <c r="H49" s="274">
        <f t="shared" si="21"/>
        <v>7221.0526315789475</v>
      </c>
      <c r="I49" s="275">
        <f t="shared" si="21"/>
        <v>12.102631578947367</v>
      </c>
      <c r="J49" s="274">
        <f t="shared" si="21"/>
        <v>31.315789473684209</v>
      </c>
      <c r="K49" s="274">
        <f t="shared" si="21"/>
        <v>56.368421052631582</v>
      </c>
      <c r="L49" s="274" t="str">
        <f t="shared" si="21"/>
        <v/>
      </c>
      <c r="M49" s="273" t="str">
        <f t="shared" si="21"/>
        <v/>
      </c>
      <c r="N49" s="274" t="str">
        <f t="shared" si="21"/>
        <v/>
      </c>
      <c r="O49" s="276" t="str">
        <f t="shared" si="21"/>
        <v/>
      </c>
      <c r="P49" s="557">
        <f t="shared" si="21"/>
        <v>7342.7605263157893</v>
      </c>
      <c r="Q49" s="244"/>
    </row>
    <row r="50" spans="2:20" x14ac:dyDescent="0.45">
      <c r="C50" s="161"/>
      <c r="D50" s="277"/>
      <c r="E50" s="161"/>
      <c r="F50" s="278"/>
      <c r="G50" s="277"/>
      <c r="H50" s="161"/>
      <c r="I50" s="278"/>
      <c r="J50" s="161"/>
      <c r="K50" s="161"/>
      <c r="L50" s="161"/>
      <c r="M50" s="277"/>
      <c r="N50" s="161"/>
      <c r="O50" s="279"/>
      <c r="P50" s="558"/>
      <c r="Q50" s="244"/>
    </row>
    <row r="51" spans="2:20" s="13" customFormat="1" ht="25" customHeight="1" x14ac:dyDescent="0.35">
      <c r="C51" s="287" t="s">
        <v>237</v>
      </c>
      <c r="D51" s="288">
        <f>IF(D8="","",D14-SUM(D26,D36,D42,D49))</f>
        <v>13509.010000000009</v>
      </c>
      <c r="E51" s="289">
        <f>IF(E8="","",E14-SUM(E26,E36,E42,E49))</f>
        <v>-155851.70000000001</v>
      </c>
      <c r="F51" s="290">
        <f>IF(F8="","",F14-SUM(F26,F36,F42,F49))</f>
        <v>-28837.570000000007</v>
      </c>
      <c r="G51" s="288">
        <f>IF(G8="","",G14-SUM(G26,G36,G42,G49))</f>
        <v>-1290.9010526315542</v>
      </c>
      <c r="H51" s="289">
        <f>IF(H8="","",H14-SUM(H26,H36,H42,H49))</f>
        <v>-83766.332631578902</v>
      </c>
      <c r="I51" s="290">
        <f>IF(I8="","",I14-SUM(I26,I36,I42,I49))</f>
        <v>-56462.272631578904</v>
      </c>
      <c r="J51" s="289">
        <f>IF(J8="","",J14-SUM(J26,J36,J42,J49))</f>
        <v>-138002.3657894737</v>
      </c>
      <c r="K51" s="289">
        <f>IF(K8="","",K14-SUM(K26,K36,K42,K49))</f>
        <v>-27707.188421052648</v>
      </c>
      <c r="L51" s="289" t="str">
        <f>IF(L8="","",L14-SUM(L26,L36,L42,L49))</f>
        <v/>
      </c>
      <c r="M51" s="288" t="str">
        <f>IF(M8="","",M14-SUM(M26,M36,M42,M49))</f>
        <v/>
      </c>
      <c r="N51" s="289" t="str">
        <f>IF(N8="","",N14-SUM(N26,N36,N42,N49))</f>
        <v/>
      </c>
      <c r="O51" s="291" t="str">
        <f>IF(O8="","",O14-SUM(O26,O36,O42,O49))</f>
        <v/>
      </c>
      <c r="P51" s="292">
        <f>P10-P16</f>
        <v>-478409.32052631583</v>
      </c>
      <c r="Q51" s="293"/>
      <c r="T51" s="293"/>
    </row>
    <row r="52" spans="2:20" ht="25" customHeight="1" x14ac:dyDescent="0.45">
      <c r="B52" s="213" t="s">
        <v>191</v>
      </c>
      <c r="C52" s="642" t="s">
        <v>212</v>
      </c>
      <c r="D52" s="642"/>
      <c r="E52" s="642"/>
      <c r="F52" s="642"/>
      <c r="G52" s="642"/>
      <c r="H52" s="642"/>
      <c r="I52" s="642"/>
      <c r="J52" s="642"/>
      <c r="K52" s="642"/>
      <c r="L52" s="642"/>
      <c r="M52" s="642"/>
      <c r="N52" s="642"/>
      <c r="O52" s="643"/>
      <c r="P52" s="294">
        <v>1380094.92</v>
      </c>
      <c r="Q52" s="244"/>
    </row>
    <row r="53" spans="2:20" ht="25" customHeight="1" x14ac:dyDescent="0.45">
      <c r="C53" s="642" t="s">
        <v>213</v>
      </c>
      <c r="D53" s="642"/>
      <c r="E53" s="642"/>
      <c r="F53" s="642"/>
      <c r="G53" s="642"/>
      <c r="H53" s="642"/>
      <c r="I53" s="642"/>
      <c r="J53" s="642"/>
      <c r="K53" s="642"/>
      <c r="L53" s="642"/>
      <c r="M53" s="642"/>
      <c r="N53" s="642"/>
      <c r="O53" s="643"/>
      <c r="P53" s="295">
        <f>SUM(P51:P52)</f>
        <v>901685.59947368409</v>
      </c>
      <c r="Q53" s="244"/>
    </row>
    <row r="54" spans="2:20" x14ac:dyDescent="0.45"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244"/>
    </row>
    <row r="55" spans="2:20" s="13" customFormat="1" ht="25" customHeight="1" x14ac:dyDescent="0.35">
      <c r="C55" s="187" t="s">
        <v>231</v>
      </c>
      <c r="D55" s="248" t="str">
        <f>Summary!$O$42</f>
        <v>202407</v>
      </c>
      <c r="E55" s="249" t="str">
        <f>Summary!$O$43</f>
        <v>202408</v>
      </c>
      <c r="F55" s="249" t="str">
        <f>Summary!$O$44</f>
        <v>202409</v>
      </c>
      <c r="G55" s="248" t="str">
        <f>Summary!$O$45</f>
        <v>202410</v>
      </c>
      <c r="H55" s="249" t="str">
        <f>Summary!$O$46</f>
        <v>202411</v>
      </c>
      <c r="I55" s="250" t="str">
        <f>Summary!$O$47</f>
        <v>202412</v>
      </c>
      <c r="J55" s="248" t="str">
        <f>Summary!$O$48</f>
        <v>202501</v>
      </c>
      <c r="K55" s="249" t="str">
        <f>Summary!$O$49</f>
        <v>202502</v>
      </c>
      <c r="L55" s="250" t="str">
        <f>Summary!$O$50</f>
        <v>202503</v>
      </c>
      <c r="M55" s="248" t="str">
        <f>Summary!$O$51</f>
        <v>202504</v>
      </c>
      <c r="N55" s="249" t="str">
        <f>Summary!$O$52</f>
        <v>202505</v>
      </c>
      <c r="O55" s="251" t="str">
        <f>Summary!$O$53</f>
        <v>202506</v>
      </c>
      <c r="P55" s="252" t="s">
        <v>189</v>
      </c>
      <c r="Q55" s="280"/>
      <c r="T55" s="293"/>
    </row>
    <row r="56" spans="2:20" x14ac:dyDescent="0.45">
      <c r="C56" s="267" t="s">
        <v>232</v>
      </c>
      <c r="D56" s="268">
        <f>IF(D12="","",-D12)</f>
        <v>462</v>
      </c>
      <c r="E56" s="234">
        <f>IF(E12="","",-E12)</f>
        <v>453</v>
      </c>
      <c r="F56" s="269">
        <f>IF(F12="","",-F12)</f>
        <v>465</v>
      </c>
      <c r="G56" s="268">
        <f>IF(G12="","",-G12)</f>
        <v>462</v>
      </c>
      <c r="H56" s="234">
        <f>IF(H12="","",-H12)</f>
        <v>459</v>
      </c>
      <c r="I56" s="269">
        <f>IF(I12="","",-I12)</f>
        <v>459</v>
      </c>
      <c r="J56" s="234">
        <f>IF(J12="","",-J12)</f>
        <v>468</v>
      </c>
      <c r="K56" s="234">
        <f>IF(K12="","",-K12)</f>
        <v>465</v>
      </c>
      <c r="L56" s="234" t="str">
        <f>IF(L12="","",-L12)</f>
        <v/>
      </c>
      <c r="M56" s="268" t="str">
        <f>IF(M12="","",-M12)</f>
        <v/>
      </c>
      <c r="N56" s="234" t="str">
        <f>IF(N12="","",-N12)</f>
        <v/>
      </c>
      <c r="O56" s="270" t="str">
        <f>IF(O12="","",-O12)</f>
        <v/>
      </c>
      <c r="P56" s="234">
        <f>SUM(D56:O56)</f>
        <v>3693</v>
      </c>
      <c r="Q56" s="244"/>
    </row>
    <row r="57" spans="2:20" x14ac:dyDescent="0.45">
      <c r="B57" s="213" t="s">
        <v>191</v>
      </c>
      <c r="C57" s="267" t="s">
        <v>233</v>
      </c>
      <c r="D57" s="268">
        <f>IF(D$8="","",0)</f>
        <v>0</v>
      </c>
      <c r="E57" s="234">
        <f t="shared" ref="E57:O57" si="22">IF(E$8="","",0)</f>
        <v>0</v>
      </c>
      <c r="F57" s="269">
        <f>-6000-(39.84*20)-895.05-2310-1946.82-(36.35*4)</f>
        <v>-12094.07</v>
      </c>
      <c r="G57" s="268">
        <f t="shared" si="22"/>
        <v>0</v>
      </c>
      <c r="H57" s="234">
        <f t="shared" si="22"/>
        <v>0</v>
      </c>
      <c r="I57" s="269">
        <f t="shared" si="22"/>
        <v>0</v>
      </c>
      <c r="J57" s="234">
        <f t="shared" si="22"/>
        <v>0</v>
      </c>
      <c r="K57" s="234">
        <f t="shared" si="22"/>
        <v>0</v>
      </c>
      <c r="L57" s="234" t="str">
        <f t="shared" si="22"/>
        <v/>
      </c>
      <c r="M57" s="268" t="str">
        <f t="shared" si="22"/>
        <v/>
      </c>
      <c r="N57" s="457" t="str">
        <f t="shared" si="22"/>
        <v/>
      </c>
      <c r="O57" s="270" t="str">
        <f t="shared" si="22"/>
        <v/>
      </c>
      <c r="P57" s="234">
        <f>SUM(D57:O57)</f>
        <v>-12094.07</v>
      </c>
      <c r="Q57" s="244"/>
    </row>
    <row r="58" spans="2:20" x14ac:dyDescent="0.45">
      <c r="C58" s="296" t="s">
        <v>234</v>
      </c>
      <c r="D58" s="297">
        <f>IF(D$8="","",SUM(D56:D57))</f>
        <v>462</v>
      </c>
      <c r="E58" s="298">
        <f t="shared" ref="E58:O58" si="23">IF(E$8="","",SUM(E56:E57))</f>
        <v>453</v>
      </c>
      <c r="F58" s="299">
        <f t="shared" si="23"/>
        <v>-11629.07</v>
      </c>
      <c r="G58" s="297">
        <f t="shared" si="23"/>
        <v>462</v>
      </c>
      <c r="H58" s="298">
        <f t="shared" si="23"/>
        <v>459</v>
      </c>
      <c r="I58" s="299">
        <f t="shared" si="23"/>
        <v>459</v>
      </c>
      <c r="J58" s="298">
        <f t="shared" si="23"/>
        <v>468</v>
      </c>
      <c r="K58" s="298">
        <f t="shared" si="23"/>
        <v>465</v>
      </c>
      <c r="L58" s="298" t="str">
        <f t="shared" si="23"/>
        <v/>
      </c>
      <c r="M58" s="297" t="str">
        <f t="shared" si="23"/>
        <v/>
      </c>
      <c r="N58" s="298" t="str">
        <f t="shared" si="23"/>
        <v/>
      </c>
      <c r="O58" s="300" t="str">
        <f t="shared" si="23"/>
        <v/>
      </c>
      <c r="P58" s="298">
        <f>SUM(P56:P57)</f>
        <v>-8401.07</v>
      </c>
      <c r="Q58" s="244"/>
    </row>
    <row r="59" spans="2:20" ht="25" customHeight="1" x14ac:dyDescent="0.45">
      <c r="B59" s="213" t="s">
        <v>191</v>
      </c>
      <c r="C59" s="642" t="s">
        <v>235</v>
      </c>
      <c r="D59" s="642"/>
      <c r="E59" s="642"/>
      <c r="F59" s="642"/>
      <c r="G59" s="642"/>
      <c r="H59" s="642"/>
      <c r="I59" s="642"/>
      <c r="J59" s="642"/>
      <c r="K59" s="642"/>
      <c r="L59" s="642"/>
      <c r="M59" s="642"/>
      <c r="N59" s="642"/>
      <c r="O59" s="643"/>
      <c r="P59" s="294">
        <v>43526.87</v>
      </c>
      <c r="Q59" s="244"/>
    </row>
    <row r="60" spans="2:20" ht="25" customHeight="1" x14ac:dyDescent="0.45">
      <c r="C60" s="642" t="s">
        <v>236</v>
      </c>
      <c r="D60" s="642"/>
      <c r="E60" s="642"/>
      <c r="F60" s="642"/>
      <c r="G60" s="642"/>
      <c r="H60" s="642"/>
      <c r="I60" s="642"/>
      <c r="J60" s="642"/>
      <c r="K60" s="642"/>
      <c r="L60" s="642"/>
      <c r="M60" s="642"/>
      <c r="N60" s="642"/>
      <c r="O60" s="643"/>
      <c r="P60" s="295">
        <f>SUM(P58:P59)</f>
        <v>35125.800000000003</v>
      </c>
      <c r="Q60" s="244"/>
    </row>
    <row r="63" spans="2:20" x14ac:dyDescent="0.45">
      <c r="P63" s="524"/>
    </row>
    <row r="65" spans="3:21" ht="23.5" x14ac:dyDescent="0.55000000000000004">
      <c r="C65" s="244"/>
      <c r="D65" s="663" t="s">
        <v>41</v>
      </c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</row>
    <row r="66" spans="3:21" x14ac:dyDescent="0.45">
      <c r="C66" s="244"/>
      <c r="D66" s="651" t="s">
        <v>1</v>
      </c>
      <c r="E66" s="652"/>
      <c r="F66" s="652"/>
      <c r="G66" s="652"/>
      <c r="H66" s="652"/>
      <c r="I66" s="653" t="s">
        <v>18</v>
      </c>
      <c r="J66" s="655" t="s">
        <v>23</v>
      </c>
      <c r="K66" s="657" t="s">
        <v>127</v>
      </c>
      <c r="L66" s="651" t="s">
        <v>244</v>
      </c>
      <c r="M66" s="652"/>
      <c r="N66" s="652"/>
      <c r="O66" s="652"/>
      <c r="P66" s="652"/>
      <c r="Q66" s="652"/>
      <c r="R66" s="652"/>
      <c r="S66" s="652"/>
      <c r="T66" s="652"/>
      <c r="U66" s="659"/>
    </row>
    <row r="67" spans="3:21" ht="37" x14ac:dyDescent="0.45">
      <c r="C67" s="244"/>
      <c r="D67" s="318" t="s">
        <v>13</v>
      </c>
      <c r="E67" s="319" t="s">
        <v>14</v>
      </c>
      <c r="F67" s="319" t="s">
        <v>15</v>
      </c>
      <c r="G67" s="319" t="s">
        <v>16</v>
      </c>
      <c r="H67" s="319" t="s">
        <v>17</v>
      </c>
      <c r="I67" s="654"/>
      <c r="J67" s="656"/>
      <c r="K67" s="658"/>
      <c r="L67" s="532" t="s">
        <v>27</v>
      </c>
      <c r="M67" s="319" t="s">
        <v>245</v>
      </c>
      <c r="N67" s="319" t="s">
        <v>125</v>
      </c>
      <c r="O67" s="320" t="s">
        <v>323</v>
      </c>
      <c r="P67" s="320" t="s">
        <v>28</v>
      </c>
      <c r="Q67" s="320" t="s">
        <v>342</v>
      </c>
      <c r="R67" s="320" t="s">
        <v>346</v>
      </c>
      <c r="S67" s="320" t="s">
        <v>349</v>
      </c>
      <c r="T67" s="320" t="s">
        <v>25</v>
      </c>
      <c r="U67" s="321" t="s">
        <v>246</v>
      </c>
    </row>
    <row r="68" spans="3:21" x14ac:dyDescent="0.45">
      <c r="C68" s="306" t="str">
        <f>Addendum!E10</f>
        <v>July   2024</v>
      </c>
      <c r="D68" s="307">
        <v>75856.91</v>
      </c>
      <c r="E68" s="246">
        <v>35071.879999999997</v>
      </c>
      <c r="F68" s="246">
        <v>46470.2</v>
      </c>
      <c r="G68" s="246">
        <v>95407.22</v>
      </c>
      <c r="H68" s="246">
        <v>0</v>
      </c>
      <c r="I68" s="308">
        <v>-9372.44</v>
      </c>
      <c r="J68" s="309">
        <f>SUM(D68:I68)</f>
        <v>243433.77</v>
      </c>
      <c r="K68" s="310">
        <v>154</v>
      </c>
      <c r="L68" s="307">
        <f>53.89+213.98+54.8-30.47</f>
        <v>292.20000000000005</v>
      </c>
      <c r="M68" s="246">
        <v>0</v>
      </c>
      <c r="N68" s="246">
        <f>36.96</f>
        <v>36.96</v>
      </c>
      <c r="O68" s="246">
        <f>180+110+770</f>
        <v>1060</v>
      </c>
      <c r="P68" s="246">
        <v>400</v>
      </c>
      <c r="Q68" s="246">
        <v>15.91</v>
      </c>
      <c r="R68" s="246">
        <v>0</v>
      </c>
      <c r="S68" s="246">
        <v>0</v>
      </c>
      <c r="T68" s="246">
        <v>0</v>
      </c>
      <c r="U68" s="323">
        <v>-52869.02</v>
      </c>
    </row>
    <row r="69" spans="3:21" x14ac:dyDescent="0.45">
      <c r="C69" s="306" t="str">
        <f>Addendum!E11</f>
        <v>August</v>
      </c>
      <c r="D69" s="307">
        <v>111205.57</v>
      </c>
      <c r="E69" s="246">
        <v>77088.41</v>
      </c>
      <c r="F69" s="246">
        <v>86451.39</v>
      </c>
      <c r="G69" s="246">
        <v>39016.68</v>
      </c>
      <c r="H69" s="246">
        <v>71128.38</v>
      </c>
      <c r="I69" s="308">
        <v>-9555.02</v>
      </c>
      <c r="J69" s="309">
        <f t="shared" ref="J69:J79" si="24">SUM(D69:I69)</f>
        <v>375335.41</v>
      </c>
      <c r="K69" s="311">
        <v>157</v>
      </c>
      <c r="L69" s="307">
        <f>30.94+18.79+35.08+1.15</f>
        <v>85.960000000000008</v>
      </c>
      <c r="M69" s="246">
        <v>0</v>
      </c>
      <c r="N69" s="246">
        <f>36.96</f>
        <v>36.96</v>
      </c>
      <c r="O69" s="246">
        <f>80+330+550</f>
        <v>960</v>
      </c>
      <c r="P69" s="246">
        <f>600</f>
        <v>600</v>
      </c>
      <c r="Q69" s="246">
        <f>101.34+1.61-14.73+12.31</f>
        <v>100.53</v>
      </c>
      <c r="R69" s="246">
        <v>0</v>
      </c>
      <c r="S69" s="246">
        <v>0</v>
      </c>
      <c r="T69" s="246">
        <v>0</v>
      </c>
      <c r="U69" s="323">
        <v>0</v>
      </c>
    </row>
    <row r="70" spans="3:21" x14ac:dyDescent="0.45">
      <c r="C70" s="306" t="str">
        <f>Addendum!E12</f>
        <v>September</v>
      </c>
      <c r="D70" s="307">
        <v>32134.11</v>
      </c>
      <c r="E70" s="246">
        <v>103405.04</v>
      </c>
      <c r="F70" s="246">
        <v>81545.350000000006</v>
      </c>
      <c r="G70" s="246">
        <v>76424</v>
      </c>
      <c r="H70" s="246">
        <v>0</v>
      </c>
      <c r="I70" s="308">
        <v>-9372.44</v>
      </c>
      <c r="J70" s="309">
        <f>SUM(D70:I70)</f>
        <v>284136.06</v>
      </c>
      <c r="K70" s="311">
        <v>154</v>
      </c>
      <c r="L70" s="307">
        <f>3.23-71.36+9.42</f>
        <v>-58.709999999999994</v>
      </c>
      <c r="M70" s="246">
        <v>0</v>
      </c>
      <c r="N70" s="246">
        <f>36.96</f>
        <v>36.96</v>
      </c>
      <c r="O70" s="246">
        <f>100+110+440</f>
        <v>650</v>
      </c>
      <c r="P70" s="246">
        <f>200</f>
        <v>200</v>
      </c>
      <c r="Q70" s="246">
        <f>3.22+1.3+4.25+12.31</f>
        <v>21.08</v>
      </c>
      <c r="R70" s="246">
        <v>0</v>
      </c>
      <c r="S70" s="246">
        <v>0</v>
      </c>
      <c r="T70" s="246">
        <v>0</v>
      </c>
      <c r="U70" s="323">
        <v>0</v>
      </c>
    </row>
    <row r="71" spans="3:21" x14ac:dyDescent="0.45">
      <c r="C71" s="306" t="str">
        <f>Addendum!E13</f>
        <v>October</v>
      </c>
      <c r="D71" s="307">
        <v>68456.23</v>
      </c>
      <c r="E71" s="246">
        <v>36743.42</v>
      </c>
      <c r="F71" s="246">
        <v>62480.82</v>
      </c>
      <c r="G71" s="246">
        <v>60367</v>
      </c>
      <c r="H71" s="246">
        <v>0</v>
      </c>
      <c r="I71" s="308">
        <v>-9372.44</v>
      </c>
      <c r="J71" s="309">
        <f t="shared" si="24"/>
        <v>218675.03</v>
      </c>
      <c r="K71" s="311">
        <v>154</v>
      </c>
      <c r="L71" s="307">
        <f>32.16-18.79+80.74+23.82</f>
        <v>117.92999999999998</v>
      </c>
      <c r="M71" s="246">
        <v>0</v>
      </c>
      <c r="N71" s="246">
        <f>36.96</f>
        <v>36.96</v>
      </c>
      <c r="O71" s="246">
        <f>120+110+440</f>
        <v>670</v>
      </c>
      <c r="P71" s="246">
        <v>0</v>
      </c>
      <c r="Q71" s="246">
        <f>1.61+281.19+3.22+11.9</f>
        <v>297.92</v>
      </c>
      <c r="R71" s="246">
        <v>0</v>
      </c>
      <c r="S71" s="246">
        <v>0</v>
      </c>
      <c r="T71" s="246">
        <v>0</v>
      </c>
      <c r="U71" s="323">
        <v>0</v>
      </c>
    </row>
    <row r="72" spans="3:21" x14ac:dyDescent="0.45">
      <c r="C72" s="306" t="str">
        <f>Addendum!E14</f>
        <v>November</v>
      </c>
      <c r="D72" s="307">
        <v>78845.89</v>
      </c>
      <c r="E72" s="246">
        <v>46712.22</v>
      </c>
      <c r="F72" s="246">
        <v>76507.100000000006</v>
      </c>
      <c r="G72" s="246">
        <v>49943.01</v>
      </c>
      <c r="H72" s="246">
        <v>78758.66</v>
      </c>
      <c r="I72" s="308">
        <v>-9311.58</v>
      </c>
      <c r="J72" s="309">
        <f t="shared" si="24"/>
        <v>321455.3</v>
      </c>
      <c r="K72" s="311">
        <v>153</v>
      </c>
      <c r="L72" s="307">
        <f>26.71+65.12</f>
        <v>91.830000000000013</v>
      </c>
      <c r="M72" s="246">
        <f>25.73</f>
        <v>25.73</v>
      </c>
      <c r="N72" s="246">
        <v>36.96</v>
      </c>
      <c r="O72" s="246">
        <f>80+440+660</f>
        <v>1180</v>
      </c>
      <c r="P72" s="246">
        <f>90.05</f>
        <v>90.05</v>
      </c>
      <c r="Q72" s="246">
        <f>1.61-10.5+12.31+12.31+37.2</f>
        <v>52.930000000000007</v>
      </c>
      <c r="R72" s="246">
        <v>0</v>
      </c>
      <c r="S72" s="246">
        <v>0</v>
      </c>
      <c r="T72" s="246">
        <v>0</v>
      </c>
      <c r="U72" s="323">
        <v>0</v>
      </c>
    </row>
    <row r="73" spans="3:21" x14ac:dyDescent="0.45">
      <c r="C73" s="306" t="str">
        <f>Addendum!E15</f>
        <v>December</v>
      </c>
      <c r="D73" s="307">
        <v>83378.02</v>
      </c>
      <c r="E73" s="246">
        <v>79947.19</v>
      </c>
      <c r="F73" s="246">
        <v>139901.84</v>
      </c>
      <c r="G73" s="246">
        <v>39063.17</v>
      </c>
      <c r="H73" s="246">
        <v>0</v>
      </c>
      <c r="I73" s="308">
        <v>-9311.58</v>
      </c>
      <c r="J73" s="309">
        <f t="shared" si="24"/>
        <v>332978.64</v>
      </c>
      <c r="K73" s="311">
        <v>153</v>
      </c>
      <c r="L73" s="307">
        <v>0</v>
      </c>
      <c r="M73" s="246">
        <v>0</v>
      </c>
      <c r="N73" s="246">
        <f>36.96</f>
        <v>36.96</v>
      </c>
      <c r="O73" s="246">
        <f>100+220+1100</f>
        <v>1420</v>
      </c>
      <c r="P73" s="246">
        <f>58.13+18.89+600</f>
        <v>677.02</v>
      </c>
      <c r="Q73" s="246">
        <f>53.33+36.72</f>
        <v>90.05</v>
      </c>
      <c r="R73" s="246">
        <v>0</v>
      </c>
      <c r="S73" s="246">
        <v>0</v>
      </c>
      <c r="T73" s="246">
        <v>0</v>
      </c>
      <c r="U73" s="323">
        <v>0</v>
      </c>
    </row>
    <row r="74" spans="3:21" x14ac:dyDescent="0.45">
      <c r="C74" s="306" t="str">
        <f>Addendum!E16</f>
        <v>January 2025</v>
      </c>
      <c r="D74" s="307">
        <v>52274.5</v>
      </c>
      <c r="E74" s="246">
        <v>87521.09</v>
      </c>
      <c r="F74" s="246">
        <v>141911.6</v>
      </c>
      <c r="G74" s="246">
        <v>47355.7</v>
      </c>
      <c r="H74" s="246">
        <v>76453.23</v>
      </c>
      <c r="I74" s="308">
        <v>-9494.16</v>
      </c>
      <c r="J74" s="309">
        <f t="shared" si="24"/>
        <v>396021.96</v>
      </c>
      <c r="K74" s="311">
        <v>156</v>
      </c>
      <c r="L74" s="307">
        <f>-31.21+234.89-189.56+444.5</f>
        <v>458.62</v>
      </c>
      <c r="M74" s="246">
        <v>0</v>
      </c>
      <c r="N74" s="246">
        <v>36.96</v>
      </c>
      <c r="O74" s="246">
        <f>180+550+770</f>
        <v>1500</v>
      </c>
      <c r="P74" s="246">
        <f>-200+42.18</f>
        <v>-157.82</v>
      </c>
      <c r="Q74" s="246">
        <f>34.92+12.31</f>
        <v>47.230000000000004</v>
      </c>
      <c r="R74" s="246">
        <v>0</v>
      </c>
      <c r="S74" s="246">
        <v>0</v>
      </c>
      <c r="T74" s="246">
        <v>0</v>
      </c>
      <c r="U74" s="323">
        <v>0</v>
      </c>
    </row>
    <row r="75" spans="3:21" x14ac:dyDescent="0.45">
      <c r="C75" s="306" t="str">
        <f>Addendum!E17</f>
        <v>February</v>
      </c>
      <c r="D75" s="307">
        <v>65725.55</v>
      </c>
      <c r="E75" s="246">
        <v>52668.45</v>
      </c>
      <c r="F75" s="246">
        <v>107805.62</v>
      </c>
      <c r="G75" s="246">
        <v>96418.93</v>
      </c>
      <c r="H75" s="246">
        <v>0</v>
      </c>
      <c r="I75" s="308">
        <v>-9494.16</v>
      </c>
      <c r="J75" s="309">
        <f t="shared" si="24"/>
        <v>313124.39</v>
      </c>
      <c r="K75" s="311">
        <v>156</v>
      </c>
      <c r="L75" s="307">
        <f>73.73+27.56+29.85+4.15</f>
        <v>135.29000000000002</v>
      </c>
      <c r="M75" s="246">
        <v>0</v>
      </c>
      <c r="N75" s="246">
        <v>37.590000000000003</v>
      </c>
      <c r="O75" s="246">
        <f>20+110+880</f>
        <v>1010</v>
      </c>
      <c r="P75" s="246">
        <v>0</v>
      </c>
      <c r="Q75" s="246">
        <f>0.65+3.9</f>
        <v>4.55</v>
      </c>
      <c r="R75" s="246">
        <v>0</v>
      </c>
      <c r="S75" s="246">
        <v>-19026</v>
      </c>
      <c r="T75" s="246">
        <v>0</v>
      </c>
      <c r="U75" s="323">
        <v>0</v>
      </c>
    </row>
    <row r="76" spans="3:21" x14ac:dyDescent="0.45">
      <c r="C76" s="306" t="str">
        <f>Addendum!E18</f>
        <v>March</v>
      </c>
      <c r="D76" s="307"/>
      <c r="E76" s="246"/>
      <c r="F76" s="246"/>
      <c r="G76" s="246"/>
      <c r="H76" s="246"/>
      <c r="I76" s="308"/>
      <c r="J76" s="309">
        <f t="shared" si="24"/>
        <v>0</v>
      </c>
      <c r="K76" s="311"/>
      <c r="L76" s="307"/>
      <c r="M76" s="246"/>
      <c r="N76" s="246"/>
      <c r="O76" s="246"/>
      <c r="P76" s="246"/>
      <c r="Q76" s="246"/>
      <c r="R76" s="246"/>
      <c r="S76" s="246"/>
      <c r="T76" s="246"/>
      <c r="U76" s="323"/>
    </row>
    <row r="77" spans="3:21" x14ac:dyDescent="0.45">
      <c r="C77" s="306" t="str">
        <f>Addendum!E19</f>
        <v>April</v>
      </c>
      <c r="D77" s="307"/>
      <c r="E77" s="246"/>
      <c r="F77" s="246"/>
      <c r="G77" s="246"/>
      <c r="H77" s="246"/>
      <c r="I77" s="308"/>
      <c r="J77" s="309">
        <f t="shared" si="24"/>
        <v>0</v>
      </c>
      <c r="K77" s="311"/>
      <c r="L77" s="307"/>
      <c r="M77" s="246"/>
      <c r="N77" s="246"/>
      <c r="O77" s="246"/>
      <c r="P77" s="246"/>
      <c r="Q77" s="246"/>
      <c r="R77" s="246"/>
      <c r="S77" s="246"/>
      <c r="T77" s="246"/>
      <c r="U77" s="323"/>
    </row>
    <row r="78" spans="3:21" x14ac:dyDescent="0.45">
      <c r="C78" s="306" t="str">
        <f>Addendum!E20</f>
        <v>May</v>
      </c>
      <c r="D78" s="307"/>
      <c r="E78" s="246"/>
      <c r="F78" s="246"/>
      <c r="G78" s="246"/>
      <c r="H78" s="246"/>
      <c r="I78" s="308"/>
      <c r="J78" s="309">
        <f t="shared" si="24"/>
        <v>0</v>
      </c>
      <c r="K78" s="311"/>
      <c r="L78" s="307"/>
      <c r="M78" s="246"/>
      <c r="N78" s="246"/>
      <c r="O78" s="246"/>
      <c r="P78" s="246"/>
      <c r="Q78" s="246"/>
      <c r="R78" s="246"/>
      <c r="S78" s="246"/>
      <c r="T78" s="246"/>
      <c r="U78" s="323"/>
    </row>
    <row r="79" spans="3:21" ht="19" thickBot="1" x14ac:dyDescent="0.5">
      <c r="C79" s="306" t="str">
        <f>Addendum!E21</f>
        <v>June</v>
      </c>
      <c r="D79" s="307"/>
      <c r="E79" s="246"/>
      <c r="F79" s="246"/>
      <c r="G79" s="246"/>
      <c r="H79" s="246"/>
      <c r="I79" s="308"/>
      <c r="J79" s="309">
        <f t="shared" si="24"/>
        <v>0</v>
      </c>
      <c r="K79" s="311"/>
      <c r="L79" s="307"/>
      <c r="M79" s="246"/>
      <c r="N79" s="246"/>
      <c r="O79" s="246"/>
      <c r="P79" s="246"/>
      <c r="Q79" s="246"/>
      <c r="R79" s="246"/>
      <c r="S79" s="246"/>
      <c r="T79" s="246"/>
      <c r="U79" s="323"/>
    </row>
    <row r="80" spans="3:21" ht="19.5" thickTop="1" thickBot="1" x14ac:dyDescent="0.5">
      <c r="C80" s="312" t="s">
        <v>22</v>
      </c>
      <c r="D80" s="313">
        <f>SUM(D68:D79)</f>
        <v>567876.78</v>
      </c>
      <c r="E80" s="314">
        <f t="shared" ref="E80:J80" si="25">SUM(E68:E79)</f>
        <v>519157.7</v>
      </c>
      <c r="F80" s="314">
        <f t="shared" si="25"/>
        <v>743073.91999999993</v>
      </c>
      <c r="G80" s="314">
        <f t="shared" si="25"/>
        <v>503995.71</v>
      </c>
      <c r="H80" s="314">
        <f t="shared" si="25"/>
        <v>226340.27000000002</v>
      </c>
      <c r="I80" s="315">
        <f t="shared" si="25"/>
        <v>-75283.820000000007</v>
      </c>
      <c r="J80" s="316">
        <f t="shared" si="25"/>
        <v>2485160.56</v>
      </c>
      <c r="K80" s="317">
        <f>SUM(K68:K79)</f>
        <v>1237</v>
      </c>
      <c r="L80" s="313">
        <f>SUM(L68:L79)</f>
        <v>1123.1200000000001</v>
      </c>
      <c r="M80" s="314">
        <f t="shared" ref="M80:U80" si="26">SUM(M68:M79)</f>
        <v>25.73</v>
      </c>
      <c r="N80" s="314">
        <f t="shared" si="26"/>
        <v>296.31000000000006</v>
      </c>
      <c r="O80" s="314">
        <f t="shared" si="26"/>
        <v>8450</v>
      </c>
      <c r="P80" s="314">
        <f t="shared" si="26"/>
        <v>1809.25</v>
      </c>
      <c r="Q80" s="314">
        <f t="shared" si="26"/>
        <v>630.19999999999993</v>
      </c>
      <c r="R80" s="314">
        <f t="shared" si="26"/>
        <v>0</v>
      </c>
      <c r="S80" s="314">
        <f t="shared" si="26"/>
        <v>-19026</v>
      </c>
      <c r="T80" s="314">
        <f t="shared" si="26"/>
        <v>0</v>
      </c>
      <c r="U80" s="322">
        <f t="shared" si="26"/>
        <v>-52869.02</v>
      </c>
    </row>
  </sheetData>
  <mergeCells count="20">
    <mergeCell ref="D16:F16"/>
    <mergeCell ref="G16:I16"/>
    <mergeCell ref="J16:L16"/>
    <mergeCell ref="M16:O16"/>
    <mergeCell ref="C2:P2"/>
    <mergeCell ref="C3:P3"/>
    <mergeCell ref="C5:P5"/>
    <mergeCell ref="D10:F10"/>
    <mergeCell ref="M10:O10"/>
    <mergeCell ref="P21:P22"/>
    <mergeCell ref="C52:O52"/>
    <mergeCell ref="C53:O53"/>
    <mergeCell ref="C59:O59"/>
    <mergeCell ref="C60:O60"/>
    <mergeCell ref="D65:U65"/>
    <mergeCell ref="D66:H66"/>
    <mergeCell ref="I66:I67"/>
    <mergeCell ref="J66:J67"/>
    <mergeCell ref="K66:K67"/>
    <mergeCell ref="L66:U66"/>
  </mergeCells>
  <conditionalFormatting sqref="D51:P51">
    <cfRule type="cellIs" dxfId="0" priority="1" operator="lessThan">
      <formula>0</formula>
    </cfRule>
  </conditionalFormatting>
  <printOptions horizontalCentered="1"/>
  <pageMargins left="0.25" right="0.25" top="0.75" bottom="0.75" header="0.3" footer="0.3"/>
  <pageSetup scale="4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9">
    <tabColor theme="1"/>
  </sheetPr>
  <dimension ref="B1:R36"/>
  <sheetViews>
    <sheetView tabSelected="1" zoomScale="90" zoomScaleNormal="90" workbookViewId="0">
      <selection activeCell="O28" sqref="O28"/>
    </sheetView>
  </sheetViews>
  <sheetFormatPr defaultColWidth="8.81640625" defaultRowHeight="14.5" x14ac:dyDescent="0.35"/>
  <cols>
    <col min="1" max="1" width="0.81640625" customWidth="1"/>
    <col min="2" max="2" width="13.1796875" bestFit="1" customWidth="1"/>
    <col min="3" max="6" width="15" bestFit="1" customWidth="1"/>
    <col min="7" max="7" width="18.453125" customWidth="1"/>
    <col min="8" max="8" width="14.7265625" bestFit="1" customWidth="1"/>
    <col min="9" max="10" width="16.1796875" bestFit="1" customWidth="1"/>
    <col min="11" max="11" width="15" bestFit="1" customWidth="1"/>
    <col min="12" max="12" width="14" bestFit="1" customWidth="1"/>
    <col min="13" max="13" width="15" bestFit="1" customWidth="1"/>
    <col min="14" max="14" width="16.1796875" bestFit="1" customWidth="1"/>
    <col min="15" max="16" width="15.7265625" bestFit="1" customWidth="1"/>
    <col min="17" max="17" width="16.1796875" bestFit="1" customWidth="1"/>
  </cols>
  <sheetData>
    <row r="1" spans="2:18" ht="5.25" customHeight="1" x14ac:dyDescent="0.35"/>
    <row r="2" spans="2:18" ht="19" thickBot="1" x14ac:dyDescent="0.5">
      <c r="C2" s="679" t="s">
        <v>36</v>
      </c>
      <c r="D2" s="679"/>
      <c r="E2" s="679"/>
      <c r="F2" s="679"/>
      <c r="G2" s="679"/>
      <c r="H2" s="679"/>
      <c r="I2" s="679"/>
      <c r="J2" s="679"/>
      <c r="K2" s="679"/>
      <c r="L2" s="679"/>
      <c r="M2" s="679"/>
      <c r="N2" s="679"/>
      <c r="O2" s="679"/>
      <c r="P2" s="679"/>
      <c r="Q2" s="679"/>
    </row>
    <row r="3" spans="2:18" x14ac:dyDescent="0.35">
      <c r="C3" s="699" t="s">
        <v>35</v>
      </c>
      <c r="D3" s="700"/>
      <c r="E3" s="700"/>
      <c r="F3" s="700"/>
      <c r="G3" s="700"/>
      <c r="H3" s="700"/>
      <c r="I3" s="701"/>
      <c r="J3" s="696" t="s">
        <v>21</v>
      </c>
      <c r="K3" s="697"/>
      <c r="L3" s="697"/>
      <c r="M3" s="697"/>
      <c r="N3" s="698"/>
      <c r="O3" s="683" t="s">
        <v>24</v>
      </c>
      <c r="P3" s="684"/>
      <c r="Q3" s="685"/>
    </row>
    <row r="4" spans="2:18" x14ac:dyDescent="0.35">
      <c r="C4" s="686" t="s">
        <v>1</v>
      </c>
      <c r="D4" s="688"/>
      <c r="E4" s="688"/>
      <c r="F4" s="688"/>
      <c r="G4" s="688"/>
      <c r="H4" s="692" t="s">
        <v>40</v>
      </c>
      <c r="I4" s="690" t="s">
        <v>23</v>
      </c>
      <c r="J4" s="694" t="s">
        <v>1</v>
      </c>
      <c r="K4" s="695"/>
      <c r="L4" s="695"/>
      <c r="M4" s="702" t="s">
        <v>18</v>
      </c>
      <c r="N4" s="690" t="s">
        <v>23</v>
      </c>
      <c r="O4" s="686" t="s">
        <v>1</v>
      </c>
      <c r="P4" s="688" t="s">
        <v>18</v>
      </c>
      <c r="Q4" s="690" t="s">
        <v>23</v>
      </c>
    </row>
    <row r="5" spans="2:18" ht="31" customHeight="1" x14ac:dyDescent="0.35">
      <c r="C5" s="19" t="s">
        <v>13</v>
      </c>
      <c r="D5" s="20" t="s">
        <v>14</v>
      </c>
      <c r="E5" s="20" t="s">
        <v>15</v>
      </c>
      <c r="F5" s="20" t="s">
        <v>16</v>
      </c>
      <c r="G5" s="543" t="s">
        <v>343</v>
      </c>
      <c r="H5" s="693"/>
      <c r="I5" s="691"/>
      <c r="J5" s="19" t="s">
        <v>2</v>
      </c>
      <c r="K5" s="20" t="s">
        <v>19</v>
      </c>
      <c r="L5" s="20" t="s">
        <v>20</v>
      </c>
      <c r="M5" s="703"/>
      <c r="N5" s="691"/>
      <c r="O5" s="687"/>
      <c r="P5" s="689"/>
      <c r="Q5" s="691"/>
    </row>
    <row r="6" spans="2:18" ht="15" customHeight="1" x14ac:dyDescent="0.35">
      <c r="B6" s="16" t="str">
        <f>Addendum!E10</f>
        <v>July   2024</v>
      </c>
      <c r="C6" s="17">
        <f>IF('CR Entry'!C5="","",'CR Entry'!C5)</f>
        <v>1287676.2899999998</v>
      </c>
      <c r="D6" s="11">
        <f>IF('CR Entry'!D5="","",'CR Entry'!D5)</f>
        <v>1261624.7499999998</v>
      </c>
      <c r="E6" s="11">
        <f>IF('CR Entry'!E5="","",'CR Entry'!E5)</f>
        <v>1282156.7399999998</v>
      </c>
      <c r="F6" s="11">
        <f>IF('CR Entry'!F5="","",'CR Entry'!F5)</f>
        <v>1466181.4199999997</v>
      </c>
      <c r="G6" s="11">
        <f>IF(SUM('CR Entry'!G5,'CR Entry'!M5,'CR Entry'!T5)=0,"",SUM('CR Entry'!G5,'CR Entry'!M5,'CR Entry'!T5,'CR Entry'!U5,'CR Entry'!V5))</f>
        <v>333599.42</v>
      </c>
      <c r="H6" s="18">
        <f>IF(SUM(H23,'CR Entry'!H5,'CR Entry'!S5)=0,"",SUM(H23,'CR Entry'!H5,'CR Entry'!S5))</f>
        <v>186775.43000000005</v>
      </c>
      <c r="I6" s="31">
        <f>IF(SUM(C6:H6)=0,"",SUM(C6:H6))</f>
        <v>5818014.0499999989</v>
      </c>
      <c r="J6" s="17">
        <f>IF(Summary!R42="","",Summary!R42)</f>
        <v>3758957.71</v>
      </c>
      <c r="K6" s="11">
        <f>IF(Summary!S42="","",Summary!S42)</f>
        <v>1813006.4</v>
      </c>
      <c r="L6" s="11">
        <f>IF(Summary!T42="","",Summary!T42)</f>
        <v>60667.5</v>
      </c>
      <c r="M6" s="18">
        <f>IF(Summary!U42="","",Summary!U42)</f>
        <v>158918.03999999998</v>
      </c>
      <c r="N6" s="31">
        <f>IF(SUM(J6:M6)=0,"",SUM(J6:M6))</f>
        <v>5791549.6499999994</v>
      </c>
      <c r="O6" s="17">
        <f>IF(I6="","",ROUND(SUM(J6:L6)-SUM(C6:G6),2))</f>
        <v>1392.99</v>
      </c>
      <c r="P6" s="11">
        <f>IF(I6="","",M6-H6)</f>
        <v>-27857.390000000072</v>
      </c>
      <c r="Q6" s="31">
        <f>IF(SUM(O6:P6)=0,"",SUM(O6:P6))</f>
        <v>-26464.400000000071</v>
      </c>
      <c r="R6" s="38"/>
    </row>
    <row r="7" spans="2:18" x14ac:dyDescent="0.35">
      <c r="B7" s="16" t="str">
        <f>Addendum!E11</f>
        <v>August</v>
      </c>
      <c r="C7" s="17">
        <f>IF('CR Entry'!C6="","",'CR Entry'!C6)</f>
        <v>1388427.4200000002</v>
      </c>
      <c r="D7" s="11">
        <f>IF('CR Entry'!D6="","",'CR Entry'!D6)</f>
        <v>1400968.2799999998</v>
      </c>
      <c r="E7" s="11">
        <f>IF('CR Entry'!E6="","",'CR Entry'!E6)</f>
        <v>1802063.94</v>
      </c>
      <c r="F7" s="11">
        <f>IF('CR Entry'!F6="","",'CR Entry'!F6)</f>
        <v>1412090.48</v>
      </c>
      <c r="G7" s="11">
        <f>IF(SUM('CR Entry'!G6,'CR Entry'!M6,'CR Entry'!T6)=0,"",SUM('CR Entry'!G6,'CR Entry'!M6,'CR Entry'!T6,'CR Entry'!U6,'CR Entry'!V6))</f>
        <v>1872694.55</v>
      </c>
      <c r="H7" s="18">
        <f>IF(SUM(H24,'CR Entry'!H6,'CR Entry'!S6)=0,"",SUM(H24,'CR Entry'!H6,'CR Entry'!S6))</f>
        <v>186777.20999999993</v>
      </c>
      <c r="I7" s="31">
        <f t="shared" ref="I7:I17" si="0">IF(SUM(C7:H7)=0,"",SUM(C7:H7))</f>
        <v>8063021.8800000008</v>
      </c>
      <c r="J7" s="17">
        <f>IF(Summary!R43="","",Summary!R43)</f>
        <v>5482061.3899999997</v>
      </c>
      <c r="K7" s="11">
        <f>IF(Summary!S43="","",Summary!S43)</f>
        <v>2331500.65</v>
      </c>
      <c r="L7" s="11">
        <f>IF(Summary!T43="","",Summary!T43)</f>
        <v>61499.6</v>
      </c>
      <c r="M7" s="18">
        <f>IF(Summary!U43="","",Summary!U43)</f>
        <v>158824.20000000001</v>
      </c>
      <c r="N7" s="31">
        <f t="shared" ref="N7:N17" si="1">IF(SUM(J7:M7)=0,"",SUM(J7:M7))</f>
        <v>8033885.8399999989</v>
      </c>
      <c r="O7" s="17">
        <f t="shared" ref="O7:O17" si="2">IF(I7="","",ROUND(SUM(J7:L7)-SUM(C7:G7),2))</f>
        <v>-1183.03</v>
      </c>
      <c r="P7" s="11">
        <f>IF(I7="","",M7-H7)</f>
        <v>-27953.009999999922</v>
      </c>
      <c r="Q7" s="31">
        <f t="shared" ref="Q7:Q17" si="3">IF(SUM(O7:P7)=0,"",SUM(O7:P7))</f>
        <v>-29136.039999999921</v>
      </c>
    </row>
    <row r="8" spans="2:18" x14ac:dyDescent="0.35">
      <c r="B8" s="16" t="str">
        <f>Addendum!E12</f>
        <v>September</v>
      </c>
      <c r="C8" s="17">
        <f>IF('CR Entry'!C7="","",'CR Entry'!C7)</f>
        <v>1356339.6900000002</v>
      </c>
      <c r="D8" s="11">
        <f>IF('CR Entry'!D7="","",'CR Entry'!D7)</f>
        <v>1765553.96</v>
      </c>
      <c r="E8" s="11">
        <f>IF('CR Entry'!E7="","",'CR Entry'!E7)</f>
        <v>858097.5299999998</v>
      </c>
      <c r="F8" s="11">
        <f>IF('CR Entry'!F7="","",'CR Entry'!F7)</f>
        <v>1476071.6700000002</v>
      </c>
      <c r="G8" s="11">
        <f>IF(SUM('CR Entry'!G7,'CR Entry'!M7,'CR Entry'!T7)=0,"",SUM('CR Entry'!G7,'CR Entry'!M7,'CR Entry'!T7,'CR Entry'!U7,'CR Entry'!V7))</f>
        <v>307067.55</v>
      </c>
      <c r="H8" s="18">
        <f>IF(SUM(H25,'CR Entry'!H7,'CR Entry'!S7)=0,"",SUM(H25,'CR Entry'!H7,'CR Entry'!S7))</f>
        <v>190255.84999999998</v>
      </c>
      <c r="I8" s="31">
        <f t="shared" si="0"/>
        <v>5953386.25</v>
      </c>
      <c r="J8" s="17">
        <f>IF(Summary!R44="","",Summary!R44)</f>
        <v>3741278.57</v>
      </c>
      <c r="K8" s="11">
        <f>IF(Summary!S44="","",Summary!S44)</f>
        <v>1964306.75</v>
      </c>
      <c r="L8" s="11">
        <f>IF(Summary!T44="","",Summary!T44)</f>
        <v>58967.77</v>
      </c>
      <c r="M8" s="18">
        <f>IF(Summary!U44="","",Summary!U44)</f>
        <v>160935.59999999998</v>
      </c>
      <c r="N8" s="31">
        <f t="shared" si="1"/>
        <v>5925488.6899999995</v>
      </c>
      <c r="O8" s="17">
        <f>IF(I8="","",ROUND(SUM(J8:L8)-SUM(C8:G8),2))</f>
        <v>1422.69</v>
      </c>
      <c r="P8" s="11">
        <f>IF(I8="","",M8-H8)</f>
        <v>-29320.25</v>
      </c>
      <c r="Q8" s="31">
        <f t="shared" si="3"/>
        <v>-27897.56</v>
      </c>
    </row>
    <row r="9" spans="2:18" x14ac:dyDescent="0.35">
      <c r="B9" s="16" t="str">
        <f>Addendum!E13</f>
        <v>October</v>
      </c>
      <c r="C9" s="17">
        <f>IF('CR Entry'!C8="","",'CR Entry'!C8)</f>
        <v>1222222.9300000002</v>
      </c>
      <c r="D9" s="11">
        <f>IF('CR Entry'!D8="","",'CR Entry'!D8)</f>
        <v>1457914.1600000004</v>
      </c>
      <c r="E9" s="11">
        <f>IF('CR Entry'!E8="","",'CR Entry'!E8)</f>
        <v>1419449.7000000002</v>
      </c>
      <c r="F9" s="11">
        <f>IF('CR Entry'!F8="","",'CR Entry'!F8)</f>
        <v>1254436.1400000001</v>
      </c>
      <c r="G9" s="11">
        <f>IF(SUM('CR Entry'!G8,'CR Entry'!M8,'CR Entry'!T8)=0,"",SUM('CR Entry'!G8,'CR Entry'!M8,'CR Entry'!T8,'CR Entry'!U8,'CR Entry'!V8))</f>
        <v>359172.95999999996</v>
      </c>
      <c r="H9" s="18">
        <f>IF(SUM(H26,'CR Entry'!H8,'CR Entry'!S8)=0,"",SUM(H26,'CR Entry'!H8,'CR Entry'!S8))</f>
        <v>188774.21000000011</v>
      </c>
      <c r="I9" s="31">
        <f t="shared" si="0"/>
        <v>5901970.1000000015</v>
      </c>
      <c r="J9" s="17">
        <f>IF(Summary!R45="","",Summary!R45)</f>
        <v>3647336.49</v>
      </c>
      <c r="K9" s="11">
        <f>IF(Summary!S45="","",Summary!S45)</f>
        <v>2019687.68</v>
      </c>
      <c r="L9" s="11">
        <f>IF(Summary!T45="","",Summary!T45)</f>
        <v>42113.69</v>
      </c>
      <c r="M9" s="18">
        <f>IF(Summary!U45="","",Summary!U45)</f>
        <v>160841.75999999998</v>
      </c>
      <c r="N9" s="31">
        <f t="shared" si="1"/>
        <v>5869979.6200000001</v>
      </c>
      <c r="O9" s="17">
        <f>IF(I9="","",ROUND(SUM(J9:L9)-SUM(C9:G9),2))</f>
        <v>-4058.03</v>
      </c>
      <c r="P9" s="11">
        <f>IF(I9="","",M9-H9)</f>
        <v>-27932.450000000128</v>
      </c>
      <c r="Q9" s="31">
        <f t="shared" si="3"/>
        <v>-31990.480000000127</v>
      </c>
    </row>
    <row r="10" spans="2:18" x14ac:dyDescent="0.35">
      <c r="B10" s="16" t="str">
        <f>Addendum!E14</f>
        <v>November</v>
      </c>
      <c r="C10" s="17">
        <f>IF('CR Entry'!C9="","",'CR Entry'!C9)</f>
        <v>1420711.9799999997</v>
      </c>
      <c r="D10" s="11">
        <f>IF('CR Entry'!D9="","",'CR Entry'!D9)</f>
        <v>1281177.7200000002</v>
      </c>
      <c r="E10" s="11">
        <f>IF('CR Entry'!E9="","",'CR Entry'!E9)</f>
        <v>1668782.87</v>
      </c>
      <c r="F10" s="11">
        <f>IF('CR Entry'!F9="","",'CR Entry'!F9)</f>
        <v>1430730.1500000004</v>
      </c>
      <c r="G10" s="11">
        <f>IF(SUM('CR Entry'!G9,'CR Entry'!M9,'CR Entry'!T9)=0,"",SUM('CR Entry'!G9,'CR Entry'!M9,'CR Entry'!T9,'CR Entry'!U9,'CR Entry'!V9))</f>
        <v>1647357.4199999997</v>
      </c>
      <c r="H10" s="18">
        <f>IF(SUM(H27,'CR Entry'!H9,'CR Entry'!S9)=0,"",SUM(H27,'CR Entry'!H9,'CR Entry'!S9))</f>
        <v>188462.79999999993</v>
      </c>
      <c r="I10" s="31">
        <f t="shared" si="0"/>
        <v>7637222.9400000004</v>
      </c>
      <c r="J10" s="17">
        <f>IF(Summary!R46="","",Summary!R46)</f>
        <v>5005651.2300000004</v>
      </c>
      <c r="K10" s="11">
        <f>IF(Summary!S46="","",Summary!S46)</f>
        <v>2421488.2200000002</v>
      </c>
      <c r="L10" s="11">
        <f>IF(Summary!T46="","",Summary!T46)</f>
        <v>62892.61</v>
      </c>
      <c r="M10" s="18">
        <f>IF(Summary!U46="","",Summary!U46)</f>
        <v>160888.67999999996</v>
      </c>
      <c r="N10" s="31">
        <f t="shared" si="1"/>
        <v>7650920.7400000012</v>
      </c>
      <c r="O10" s="17">
        <f>IF(I10="","",ROUND(SUM(J10:L10)-SUM(C10:G10),2))</f>
        <v>41271.919999999998</v>
      </c>
      <c r="P10" s="11">
        <f t="shared" ref="P10:P17" si="4">IF(I10="","",M10-H10)</f>
        <v>-27574.119999999966</v>
      </c>
      <c r="Q10" s="31">
        <f t="shared" si="3"/>
        <v>13697.800000000032</v>
      </c>
    </row>
    <row r="11" spans="2:18" x14ac:dyDescent="0.35">
      <c r="B11" s="16" t="str">
        <f>Addendum!E15</f>
        <v>December</v>
      </c>
      <c r="C11" s="17">
        <f>IF('CR Entry'!C10="","",'CR Entry'!C10)</f>
        <v>1742867.23</v>
      </c>
      <c r="D11" s="11">
        <f>IF('CR Entry'!D10="","",'CR Entry'!D10)</f>
        <v>1410013.49</v>
      </c>
      <c r="E11" s="11">
        <f>IF('CR Entry'!E10="","",'CR Entry'!E10)</f>
        <v>1692811.41</v>
      </c>
      <c r="F11" s="11">
        <f>IF('CR Entry'!F10="","",'CR Entry'!F10)</f>
        <v>1874827.17</v>
      </c>
      <c r="G11" s="11">
        <f>IF(SUM('CR Entry'!G10,'CR Entry'!M10,'CR Entry'!T10)=0,"",SUM('CR Entry'!G10,'CR Entry'!M10,'CR Entry'!T10,'CR Entry'!U10,'CR Entry'!V10))</f>
        <v>400253.62999999995</v>
      </c>
      <c r="H11" s="18">
        <f>IF(SUM(H28,'CR Entry'!H10,'CR Entry'!S10)=0,"",SUM(H28,'CR Entry'!H10,'CR Entry'!S10))</f>
        <v>190230.50999999998</v>
      </c>
      <c r="I11" s="31">
        <f t="shared" si="0"/>
        <v>7311003.4399999995</v>
      </c>
      <c r="J11" s="17">
        <f>IF(Summary!R47="","",Summary!R47)</f>
        <v>4876876.4000000004</v>
      </c>
      <c r="K11" s="11">
        <f>IF(Summary!S47="","",Summary!S47)</f>
        <v>1989836.49</v>
      </c>
      <c r="L11" s="11">
        <f>IF(Summary!T47="","",Summary!T47)</f>
        <v>238954.94</v>
      </c>
      <c r="M11" s="18">
        <f>IF(Summary!U47="","",Summary!U47)</f>
        <v>161170.20000000001</v>
      </c>
      <c r="N11" s="31">
        <f t="shared" si="1"/>
        <v>7266838.0300000012</v>
      </c>
      <c r="O11" s="17">
        <f t="shared" si="2"/>
        <v>-15105.1</v>
      </c>
      <c r="P11" s="11">
        <f t="shared" si="4"/>
        <v>-29060.309999999969</v>
      </c>
      <c r="Q11" s="31">
        <f t="shared" si="3"/>
        <v>-44165.409999999967</v>
      </c>
    </row>
    <row r="12" spans="2:18" x14ac:dyDescent="0.35">
      <c r="B12" s="16" t="str">
        <f>Addendum!E16</f>
        <v>January 2025</v>
      </c>
      <c r="C12" s="17">
        <f>IF('CR Entry'!C11="","",'CR Entry'!C11)</f>
        <v>1710994.5499999998</v>
      </c>
      <c r="D12" s="11">
        <f>IF('CR Entry'!D11="","",'CR Entry'!D11)</f>
        <v>1639497.5899999999</v>
      </c>
      <c r="E12" s="11">
        <f>IF('CR Entry'!E11="","",'CR Entry'!E11)</f>
        <v>1571105.9100000001</v>
      </c>
      <c r="F12" s="11">
        <f>IF('CR Entry'!F11="","",'CR Entry'!F11)</f>
        <v>1424655.4799999997</v>
      </c>
      <c r="G12" s="11">
        <f>IF(SUM('CR Entry'!G11,'CR Entry'!M11,'CR Entry'!T11)=0,"",SUM('CR Entry'!G11,'CR Entry'!M11,'CR Entry'!T11,'CR Entry'!U11,'CR Entry'!V11))</f>
        <v>2168048.39</v>
      </c>
      <c r="H12" s="18">
        <f>IF(SUM(H29,'CR Entry'!H11,'CR Entry'!S11)=0,"",SUM(H29,'CR Entry'!H11,'CR Entry'!S11))</f>
        <v>205982.75999999995</v>
      </c>
      <c r="I12" s="31">
        <f t="shared" si="0"/>
        <v>8720284.6799999997</v>
      </c>
      <c r="J12" s="17">
        <f>IF(Summary!R48="","",Summary!R48)</f>
        <v>5924122.6900000004</v>
      </c>
      <c r="K12" s="11">
        <f>IF(Summary!S48="","",Summary!S48)</f>
        <v>2394639.67</v>
      </c>
      <c r="L12" s="11">
        <f>IF(Summary!T48="","",Summary!T48)</f>
        <v>69083.17</v>
      </c>
      <c r="M12" s="18">
        <f>IF(Summary!U48="","",Summary!U48)</f>
        <v>161170.20000000001</v>
      </c>
      <c r="N12" s="31">
        <f t="shared" si="1"/>
        <v>8549015.7300000004</v>
      </c>
      <c r="O12" s="17">
        <f>IF(I12="","",ROUND(SUM(J12:L12)-SUM(C12:G12),2))</f>
        <v>-126456.39</v>
      </c>
      <c r="P12" s="11">
        <f t="shared" si="4"/>
        <v>-44812.559999999939</v>
      </c>
      <c r="Q12" s="31">
        <f t="shared" si="3"/>
        <v>-171268.94999999995</v>
      </c>
    </row>
    <row r="13" spans="2:18" x14ac:dyDescent="0.35">
      <c r="B13" s="16" t="str">
        <f>Addendum!E17</f>
        <v>February</v>
      </c>
      <c r="C13" s="17">
        <f>IF('CR Entry'!C12="","",'CR Entry'!C12)</f>
        <v>1469166.32</v>
      </c>
      <c r="D13" s="11">
        <f>IF('CR Entry'!D12="","",'CR Entry'!D12)</f>
        <v>1428730.71</v>
      </c>
      <c r="E13" s="11">
        <f>IF('CR Entry'!E12="","",'CR Entry'!E12)</f>
        <v>1623163.44</v>
      </c>
      <c r="F13" s="11">
        <f>IF('CR Entry'!F12="","",'CR Entry'!F12)</f>
        <v>1841516.2300000002</v>
      </c>
      <c r="G13" s="11">
        <f>IF(SUM('CR Entry'!G12,'CR Entry'!M12,'CR Entry'!T12)=0,"",SUM('CR Entry'!G12,'CR Entry'!M12,'CR Entry'!T12,'CR Entry'!U12,'CR Entry'!V12))</f>
        <v>350966.06</v>
      </c>
      <c r="H13" s="18">
        <f>IF(SUM(H30,'CR Entry'!H12,'CR Entry'!S12)=0,"",SUM(H30,'CR Entry'!H12,'CR Entry'!S12))</f>
        <v>205057.31999999995</v>
      </c>
      <c r="I13" s="31">
        <f t="shared" si="0"/>
        <v>6918600.080000001</v>
      </c>
      <c r="J13" s="17">
        <f>IF(Summary!R49="","",Summary!R49)</f>
        <v>4669326.83</v>
      </c>
      <c r="K13" s="11">
        <f>IF(Summary!S49="","",Summary!S49)</f>
        <v>1979386.75</v>
      </c>
      <c r="L13" s="11">
        <f>IF(Summary!T49="","",Summary!T49)</f>
        <v>69533.789999999994</v>
      </c>
      <c r="M13" s="18">
        <f>IF(Summary!U49="","",Summary!U49)</f>
        <v>160654.07999999999</v>
      </c>
      <c r="N13" s="31">
        <f t="shared" si="1"/>
        <v>6878901.4500000002</v>
      </c>
      <c r="O13" s="17">
        <f>IF(I13="","",ROUND(SUM(J13:L13)-SUM(C13:G13),2))</f>
        <v>4704.6099999999997</v>
      </c>
      <c r="P13" s="11">
        <f t="shared" si="4"/>
        <v>-44403.239999999962</v>
      </c>
      <c r="Q13" s="31">
        <f t="shared" si="3"/>
        <v>-39698.629999999961</v>
      </c>
    </row>
    <row r="14" spans="2:18" x14ac:dyDescent="0.35">
      <c r="B14" s="16" t="str">
        <f>Addendum!E18</f>
        <v>March</v>
      </c>
      <c r="C14" s="17" t="str">
        <f>IF('CR Entry'!C13="","",'CR Entry'!C13)</f>
        <v/>
      </c>
      <c r="D14" s="11" t="str">
        <f>IF('CR Entry'!D13="","",'CR Entry'!D13)</f>
        <v/>
      </c>
      <c r="E14" s="11" t="str">
        <f>IF('CR Entry'!E13="","",'CR Entry'!E13)</f>
        <v/>
      </c>
      <c r="F14" s="11" t="str">
        <f>IF('CR Entry'!F13="","",'CR Entry'!F13)</f>
        <v/>
      </c>
      <c r="G14" s="11" t="str">
        <f>IF(SUM('CR Entry'!G13,'CR Entry'!M13,'CR Entry'!T13)=0,"",SUM('CR Entry'!G13,'CR Entry'!M13,'CR Entry'!T13,'CR Entry'!U13,'CR Entry'!V13))</f>
        <v/>
      </c>
      <c r="H14" s="18" t="str">
        <f>IF(SUM(H31,'CR Entry'!H13,'CR Entry'!S13)=0,"",SUM(H31,'CR Entry'!H13,'CR Entry'!S13))</f>
        <v/>
      </c>
      <c r="I14" s="31" t="str">
        <f t="shared" si="0"/>
        <v/>
      </c>
      <c r="J14" s="17" t="str">
        <f>IF(Summary!R50="","",Summary!R50)</f>
        <v/>
      </c>
      <c r="K14" s="11" t="str">
        <f>IF(Summary!S50="","",Summary!S50)</f>
        <v/>
      </c>
      <c r="L14" s="11" t="str">
        <f>IF(Summary!T50="","",Summary!T50)</f>
        <v/>
      </c>
      <c r="M14" s="18" t="str">
        <f>IF(Summary!U50="","",Summary!U50)</f>
        <v/>
      </c>
      <c r="N14" s="31" t="str">
        <f t="shared" si="1"/>
        <v/>
      </c>
      <c r="O14" s="17" t="str">
        <f t="shared" si="2"/>
        <v/>
      </c>
      <c r="P14" s="11" t="str">
        <f t="shared" si="4"/>
        <v/>
      </c>
      <c r="Q14" s="31" t="str">
        <f t="shared" si="3"/>
        <v/>
      </c>
    </row>
    <row r="15" spans="2:18" x14ac:dyDescent="0.35">
      <c r="B15" s="16" t="str">
        <f>Addendum!E19</f>
        <v>April</v>
      </c>
      <c r="C15" s="17" t="str">
        <f>IF('CR Entry'!C14="","",'CR Entry'!C14)</f>
        <v/>
      </c>
      <c r="D15" s="11" t="str">
        <f>IF('CR Entry'!D14="","",'CR Entry'!D14)</f>
        <v/>
      </c>
      <c r="E15" s="11" t="str">
        <f>IF('CR Entry'!E14="","",'CR Entry'!E14)</f>
        <v/>
      </c>
      <c r="F15" s="11" t="str">
        <f>IF('CR Entry'!F14="","",'CR Entry'!F14)</f>
        <v/>
      </c>
      <c r="G15" s="11" t="str">
        <f>IF(SUM('CR Entry'!G14,'CR Entry'!M14,'CR Entry'!T14)=0,"",SUM('CR Entry'!G14,'CR Entry'!M14,'CR Entry'!T14,'CR Entry'!U14,'CR Entry'!V14))</f>
        <v/>
      </c>
      <c r="H15" s="18" t="str">
        <f>IF(SUM(H32,'CR Entry'!H14,'CR Entry'!S14)=0,"",SUM(H32,'CR Entry'!H14,'CR Entry'!S14))</f>
        <v/>
      </c>
      <c r="I15" s="31" t="str">
        <f t="shared" si="0"/>
        <v/>
      </c>
      <c r="J15" s="17" t="str">
        <f>IF(Summary!R51="","",Summary!R51)</f>
        <v/>
      </c>
      <c r="K15" s="11" t="str">
        <f>IF(Summary!S51="","",Summary!S51)</f>
        <v/>
      </c>
      <c r="L15" s="11" t="str">
        <f>IF(Summary!T51="","",Summary!T51)</f>
        <v/>
      </c>
      <c r="M15" s="18" t="str">
        <f>IF(Summary!U51="","",Summary!U51)</f>
        <v/>
      </c>
      <c r="N15" s="31" t="str">
        <f t="shared" si="1"/>
        <v/>
      </c>
      <c r="O15" s="17" t="str">
        <f t="shared" si="2"/>
        <v/>
      </c>
      <c r="P15" s="11" t="str">
        <f t="shared" si="4"/>
        <v/>
      </c>
      <c r="Q15" s="31" t="str">
        <f t="shared" si="3"/>
        <v/>
      </c>
    </row>
    <row r="16" spans="2:18" x14ac:dyDescent="0.35">
      <c r="B16" s="16" t="str">
        <f>Addendum!E20</f>
        <v>May</v>
      </c>
      <c r="C16" s="17" t="str">
        <f>IF('CR Entry'!C15="","",'CR Entry'!C15)</f>
        <v/>
      </c>
      <c r="D16" s="11" t="str">
        <f>IF('CR Entry'!D15="","",'CR Entry'!D15)</f>
        <v/>
      </c>
      <c r="E16" s="11" t="str">
        <f>IF('CR Entry'!E15="","",'CR Entry'!E15)</f>
        <v/>
      </c>
      <c r="F16" s="11" t="str">
        <f>IF('CR Entry'!F15="","",'CR Entry'!F15)</f>
        <v/>
      </c>
      <c r="G16" s="11" t="str">
        <f>IF(SUM('CR Entry'!G15,'CR Entry'!M15,'CR Entry'!T15)=0,"",SUM('CR Entry'!G15,'CR Entry'!M15,'CR Entry'!T15,'CR Entry'!U15,'CR Entry'!V15))</f>
        <v/>
      </c>
      <c r="H16" s="18" t="str">
        <f>IF(SUM(H33,'CR Entry'!H15,'CR Entry'!S15)=0,"",SUM(H33,'CR Entry'!H15,'CR Entry'!S15))</f>
        <v/>
      </c>
      <c r="I16" s="31" t="str">
        <f t="shared" si="0"/>
        <v/>
      </c>
      <c r="J16" s="17" t="str">
        <f>IF(Summary!R52="","",Summary!R52)</f>
        <v/>
      </c>
      <c r="K16" s="11" t="str">
        <f>IF(Summary!S52="","",Summary!S52)</f>
        <v/>
      </c>
      <c r="L16" s="11" t="str">
        <f>IF(Summary!T52="","",Summary!T52)</f>
        <v/>
      </c>
      <c r="M16" s="18" t="str">
        <f>IF(Summary!U52="","",Summary!U52)</f>
        <v/>
      </c>
      <c r="N16" s="31" t="str">
        <f t="shared" si="1"/>
        <v/>
      </c>
      <c r="O16" s="17" t="str">
        <f t="shared" si="2"/>
        <v/>
      </c>
      <c r="P16" s="11" t="str">
        <f t="shared" si="4"/>
        <v/>
      </c>
      <c r="Q16" s="31" t="str">
        <f t="shared" si="3"/>
        <v/>
      </c>
    </row>
    <row r="17" spans="2:18" ht="15" thickBot="1" x14ac:dyDescent="0.4">
      <c r="B17" s="16" t="str">
        <f>Addendum!E21</f>
        <v>June</v>
      </c>
      <c r="C17" s="17" t="str">
        <f>IF('CR Entry'!C16="","",'CR Entry'!C16)</f>
        <v/>
      </c>
      <c r="D17" s="11" t="str">
        <f>IF('CR Entry'!D16="","",'CR Entry'!D16)</f>
        <v/>
      </c>
      <c r="E17" s="11" t="str">
        <f>IF('CR Entry'!E16="","",'CR Entry'!E16)</f>
        <v/>
      </c>
      <c r="F17" s="11" t="str">
        <f>IF('CR Entry'!F16="","",'CR Entry'!F16)</f>
        <v/>
      </c>
      <c r="G17" s="11" t="str">
        <f>IF(SUM('CR Entry'!G16,'CR Entry'!M16,'CR Entry'!T16)=0,"",SUM('CR Entry'!G16,'CR Entry'!M16,'CR Entry'!T16,'CR Entry'!U16,'CR Entry'!V16))</f>
        <v/>
      </c>
      <c r="H17" s="18" t="str">
        <f>IF(SUM(H34,'CR Entry'!H16,'CR Entry'!S16)=0,"",SUM(H34,'CR Entry'!H16,'CR Entry'!S16))</f>
        <v/>
      </c>
      <c r="I17" s="31" t="str">
        <f t="shared" si="0"/>
        <v/>
      </c>
      <c r="J17" s="17" t="str">
        <f>IF(Summary!R53="","",Summary!R53)</f>
        <v/>
      </c>
      <c r="K17" s="11" t="str">
        <f>IF(Summary!S53="","",Summary!S53)</f>
        <v/>
      </c>
      <c r="L17" s="11" t="str">
        <f>IF(Summary!T53="","",Summary!T53)</f>
        <v/>
      </c>
      <c r="M17" s="18" t="str">
        <f>IF(Summary!U53="","",Summary!U53)</f>
        <v/>
      </c>
      <c r="N17" s="31" t="str">
        <f t="shared" si="1"/>
        <v/>
      </c>
      <c r="O17" s="17" t="str">
        <f t="shared" si="2"/>
        <v/>
      </c>
      <c r="P17" s="11" t="str">
        <f t="shared" si="4"/>
        <v/>
      </c>
      <c r="Q17" s="31" t="str">
        <f t="shared" si="3"/>
        <v/>
      </c>
    </row>
    <row r="18" spans="2:18" ht="15.5" thickTop="1" thickBot="1" x14ac:dyDescent="0.4">
      <c r="B18" s="8" t="s">
        <v>22</v>
      </c>
      <c r="C18" s="32">
        <f>SUM(C6:C17)</f>
        <v>11598406.41</v>
      </c>
      <c r="D18" s="33">
        <f t="shared" ref="D18:N18" si="5">SUM(D6:D17)</f>
        <v>11645480.66</v>
      </c>
      <c r="E18" s="33">
        <f t="shared" si="5"/>
        <v>11917631.539999999</v>
      </c>
      <c r="F18" s="33">
        <f t="shared" si="5"/>
        <v>12180508.74</v>
      </c>
      <c r="G18" s="33">
        <f t="shared" si="5"/>
        <v>7439159.9799999995</v>
      </c>
      <c r="H18" s="34">
        <f t="shared" si="5"/>
        <v>1542316.0899999999</v>
      </c>
      <c r="I18" s="35">
        <f t="shared" si="5"/>
        <v>56323503.420000002</v>
      </c>
      <c r="J18" s="28">
        <f t="shared" si="5"/>
        <v>37105611.310000002</v>
      </c>
      <c r="K18" s="29">
        <f t="shared" si="5"/>
        <v>16913852.609999999</v>
      </c>
      <c r="L18" s="29">
        <f t="shared" si="5"/>
        <v>663713.07000000007</v>
      </c>
      <c r="M18" s="30">
        <f t="shared" si="5"/>
        <v>1283402.76</v>
      </c>
      <c r="N18" s="24">
        <f t="shared" si="5"/>
        <v>55966579.750000015</v>
      </c>
      <c r="O18" s="21">
        <f>SUM(O6:O17)</f>
        <v>-98010.34</v>
      </c>
      <c r="P18" s="22">
        <f>SUM(P6:P17)</f>
        <v>-258913.32999999996</v>
      </c>
      <c r="Q18" s="23">
        <f>SUM(O18:P18)</f>
        <v>-356923.66999999993</v>
      </c>
      <c r="R18" s="38"/>
    </row>
    <row r="20" spans="2:18" ht="19" thickBot="1" x14ac:dyDescent="0.5">
      <c r="C20" s="679" t="s">
        <v>33</v>
      </c>
      <c r="D20" s="679"/>
      <c r="E20" s="679"/>
      <c r="G20" s="682" t="s">
        <v>39</v>
      </c>
      <c r="H20" s="682"/>
    </row>
    <row r="21" spans="2:18" x14ac:dyDescent="0.35">
      <c r="C21" s="39" t="s">
        <v>126</v>
      </c>
      <c r="D21" s="43" t="s">
        <v>21</v>
      </c>
      <c r="E21" s="44" t="s">
        <v>24</v>
      </c>
      <c r="G21" s="680"/>
      <c r="H21" s="681"/>
    </row>
    <row r="22" spans="2:18" x14ac:dyDescent="0.35">
      <c r="C22" s="40" t="s">
        <v>23</v>
      </c>
      <c r="D22" s="41" t="s">
        <v>23</v>
      </c>
      <c r="E22" s="42" t="s">
        <v>23</v>
      </c>
      <c r="G22" s="40" t="s">
        <v>37</v>
      </c>
      <c r="H22" s="42" t="s">
        <v>38</v>
      </c>
    </row>
    <row r="23" spans="2:18" x14ac:dyDescent="0.35">
      <c r="B23" s="16" t="str">
        <f>Addendum!E10</f>
        <v>July   2024</v>
      </c>
      <c r="C23" s="51">
        <f>IF('CR Entry'!J5="","",SUM('CR Entry'!J5,'CR Entry'!N5:R5))</f>
        <v>3382</v>
      </c>
      <c r="D23" s="52">
        <f>IF(Summary!P42="","",Summary!P42)</f>
        <v>3387</v>
      </c>
      <c r="E23" s="55">
        <f>IF(C23="","",D23-C23)</f>
        <v>5</v>
      </c>
      <c r="G23" s="47"/>
      <c r="H23" s="49">
        <f>IF(C23="","",'Trust Cash Flow'!D38)</f>
        <v>334533.99000000005</v>
      </c>
    </row>
    <row r="24" spans="2:18" x14ac:dyDescent="0.35">
      <c r="B24" s="16" t="str">
        <f>Addendum!E11</f>
        <v>August</v>
      </c>
      <c r="C24" s="51">
        <f>IF('CR Entry'!J6="","",SUM('CR Entry'!J6,'CR Entry'!N6:R6))</f>
        <v>3408</v>
      </c>
      <c r="D24" s="52">
        <f>IF(Summary!P43="","",Summary!P43)</f>
        <v>3385</v>
      </c>
      <c r="E24" s="55">
        <f t="shared" ref="E24:E34" si="6">IF(C24="","",D24-C24)</f>
        <v>-23</v>
      </c>
      <c r="G24" s="48">
        <f>IF(C24="","",$G$23)</f>
        <v>0</v>
      </c>
      <c r="H24" s="49">
        <f>IF(C24="","",'Trust Cash Flow'!E38)</f>
        <v>334336.44999999995</v>
      </c>
    </row>
    <row r="25" spans="2:18" x14ac:dyDescent="0.35">
      <c r="B25" s="16" t="str">
        <f>Addendum!E12</f>
        <v>September</v>
      </c>
      <c r="C25" s="51">
        <f>IF('CR Entry'!J7="","",SUM('CR Entry'!J7,'CR Entry'!N7:R7))</f>
        <v>3425</v>
      </c>
      <c r="D25" s="52">
        <f>IF(Summary!P44="","",Summary!P44)</f>
        <v>3430</v>
      </c>
      <c r="E25" s="55">
        <f t="shared" si="6"/>
        <v>5</v>
      </c>
      <c r="G25" s="48">
        <f t="shared" ref="G25:G34" si="7">IF(C25="","",$G$23)</f>
        <v>0</v>
      </c>
      <c r="H25" s="49">
        <f>IF(C25="","",'Trust Cash Flow'!F38)</f>
        <v>338781.1</v>
      </c>
    </row>
    <row r="26" spans="2:18" x14ac:dyDescent="0.35">
      <c r="B26" s="16" t="str">
        <f>Addendum!E13</f>
        <v>October</v>
      </c>
      <c r="C26" s="51">
        <f>IF('CR Entry'!J8="","",SUM('CR Entry'!J8,'CR Entry'!N8:R8))</f>
        <v>3429</v>
      </c>
      <c r="D26" s="52">
        <f>IF(Summary!P45="","",Summary!P45)</f>
        <v>3428</v>
      </c>
      <c r="E26" s="55">
        <f t="shared" si="6"/>
        <v>-1</v>
      </c>
      <c r="G26" s="48">
        <f t="shared" si="7"/>
        <v>0</v>
      </c>
      <c r="H26" s="49">
        <f>IF(C26="","",'Trust Cash Flow'!G38)</f>
        <v>338583.56000000011</v>
      </c>
    </row>
    <row r="27" spans="2:18" x14ac:dyDescent="0.35">
      <c r="B27" s="16" t="str">
        <f>Addendum!E14</f>
        <v>November</v>
      </c>
      <c r="C27" s="51">
        <f>IF('CR Entry'!J9="","",SUM('CR Entry'!J9,'CR Entry'!N9:R9))</f>
        <v>3430</v>
      </c>
      <c r="D27" s="52">
        <f>IF(Summary!P46="","",Summary!P46)</f>
        <v>3429</v>
      </c>
      <c r="E27" s="55">
        <f t="shared" si="6"/>
        <v>-1</v>
      </c>
      <c r="G27" s="48">
        <f t="shared" si="7"/>
        <v>0</v>
      </c>
      <c r="H27" s="49">
        <f>IF(C27="","",'Trust Cash Flow'!H38)</f>
        <v>338682.3299999999</v>
      </c>
    </row>
    <row r="28" spans="2:18" x14ac:dyDescent="0.35">
      <c r="B28" s="16" t="str">
        <f>Addendum!E15</f>
        <v>December</v>
      </c>
      <c r="C28" s="51">
        <f>IF('CR Entry'!J10="","",SUM('CR Entry'!J10,'CR Entry'!N10:R10))</f>
        <v>3427</v>
      </c>
      <c r="D28" s="52">
        <f>IF(Summary!P47="","",Summary!P47)</f>
        <v>3435</v>
      </c>
      <c r="E28" s="55">
        <f t="shared" si="6"/>
        <v>8</v>
      </c>
      <c r="G28" s="48">
        <f t="shared" si="7"/>
        <v>0</v>
      </c>
      <c r="H28" s="49">
        <f>IF(C28="","",'Trust Cash Flow'!I38)</f>
        <v>339274.94999999995</v>
      </c>
    </row>
    <row r="29" spans="2:18" x14ac:dyDescent="0.35">
      <c r="B29" s="16" t="str">
        <f>Addendum!E16</f>
        <v>January 2025</v>
      </c>
      <c r="C29" s="51">
        <f>IF('CR Entry'!J11="","",SUM('CR Entry'!J11,'CR Entry'!N11:R11))</f>
        <v>3426</v>
      </c>
      <c r="D29" s="52">
        <f>IF(Summary!P48="","",Summary!P48)</f>
        <v>3435</v>
      </c>
      <c r="E29" s="55">
        <f t="shared" si="6"/>
        <v>9</v>
      </c>
      <c r="G29" s="48">
        <f t="shared" si="7"/>
        <v>0</v>
      </c>
      <c r="H29" s="49">
        <f>IF(C29="","",'Trust Cash Flow'!J38)</f>
        <v>339274.94999999995</v>
      </c>
    </row>
    <row r="30" spans="2:18" x14ac:dyDescent="0.35">
      <c r="B30" s="16" t="str">
        <f>Addendum!E17</f>
        <v>February</v>
      </c>
      <c r="C30" s="51">
        <f>IF('CR Entry'!J12="","",SUM('CR Entry'!J12,'CR Entry'!N12:R12))</f>
        <v>3427</v>
      </c>
      <c r="D30" s="52">
        <f>IF(Summary!P49="","",Summary!P49)</f>
        <v>3424</v>
      </c>
      <c r="E30" s="55">
        <f t="shared" si="6"/>
        <v>-3</v>
      </c>
      <c r="G30" s="48">
        <f t="shared" si="7"/>
        <v>0</v>
      </c>
      <c r="H30" s="49">
        <f>IF(C30="","",'Trust Cash Flow'!K38)</f>
        <v>338188.47999999992</v>
      </c>
    </row>
    <row r="31" spans="2:18" x14ac:dyDescent="0.35">
      <c r="B31" s="16" t="str">
        <f>Addendum!E18</f>
        <v>March</v>
      </c>
      <c r="C31" s="51" t="str">
        <f>IF('CR Entry'!J13="","",SUM('CR Entry'!J13,'CR Entry'!N13:R13))</f>
        <v/>
      </c>
      <c r="D31" s="52" t="str">
        <f>IF(Summary!P50="","",Summary!P50)</f>
        <v/>
      </c>
      <c r="E31" s="55" t="str">
        <f t="shared" si="6"/>
        <v/>
      </c>
      <c r="G31" s="48" t="str">
        <f t="shared" si="7"/>
        <v/>
      </c>
      <c r="H31" s="49" t="str">
        <f>IF(C31="","",'Trust Cash Flow'!L38)</f>
        <v/>
      </c>
    </row>
    <row r="32" spans="2:18" x14ac:dyDescent="0.35">
      <c r="B32" s="16" t="str">
        <f>Addendum!E19</f>
        <v>April</v>
      </c>
      <c r="C32" s="51" t="str">
        <f>IF('CR Entry'!J14="","",SUM('CR Entry'!J14,'CR Entry'!N14:R14))</f>
        <v/>
      </c>
      <c r="D32" s="52" t="str">
        <f>IF(Summary!P51="","",Summary!P51)</f>
        <v/>
      </c>
      <c r="E32" s="55" t="str">
        <f t="shared" si="6"/>
        <v/>
      </c>
      <c r="G32" s="48" t="str">
        <f t="shared" si="7"/>
        <v/>
      </c>
      <c r="H32" s="49" t="str">
        <f>IF(C32="","",'Trust Cash Flow'!M38)</f>
        <v/>
      </c>
    </row>
    <row r="33" spans="2:8" x14ac:dyDescent="0.35">
      <c r="B33" s="16" t="str">
        <f>Addendum!E20</f>
        <v>May</v>
      </c>
      <c r="C33" s="51" t="str">
        <f>IF('CR Entry'!J15="","",SUM('CR Entry'!J15,'CR Entry'!N15:R15))</f>
        <v/>
      </c>
      <c r="D33" s="52" t="str">
        <f>IF(Summary!P52="","",Summary!P52)</f>
        <v/>
      </c>
      <c r="E33" s="55" t="str">
        <f t="shared" si="6"/>
        <v/>
      </c>
      <c r="G33" s="48" t="str">
        <f t="shared" si="7"/>
        <v/>
      </c>
      <c r="H33" s="49" t="str">
        <f>IF(C33="","",'Trust Cash Flow'!N38)</f>
        <v/>
      </c>
    </row>
    <row r="34" spans="2:8" ht="15" thickBot="1" x14ac:dyDescent="0.4">
      <c r="B34" s="16" t="str">
        <f>Addendum!E21</f>
        <v>June</v>
      </c>
      <c r="C34" s="51" t="str">
        <f>IF('CR Entry'!J16="","",SUM('CR Entry'!J16,'CR Entry'!N16:R16))</f>
        <v/>
      </c>
      <c r="D34" s="52" t="str">
        <f>IF(Summary!P53="","",Summary!P53)</f>
        <v/>
      </c>
      <c r="E34" s="55" t="str">
        <f t="shared" si="6"/>
        <v/>
      </c>
      <c r="G34" s="48" t="str">
        <f t="shared" si="7"/>
        <v/>
      </c>
      <c r="H34" s="49" t="str">
        <f>IF(C34="","",'Trust Cash Flow'!O38)</f>
        <v/>
      </c>
    </row>
    <row r="35" spans="2:8" ht="15.5" thickTop="1" thickBot="1" x14ac:dyDescent="0.4">
      <c r="B35" s="8" t="s">
        <v>22</v>
      </c>
      <c r="C35" s="53">
        <f t="shared" ref="C35:D35" si="8">SUM(C23:C34)</f>
        <v>27354</v>
      </c>
      <c r="D35" s="54">
        <f t="shared" si="8"/>
        <v>27353</v>
      </c>
      <c r="E35" s="56">
        <f>SUM(E23:E34)</f>
        <v>-1</v>
      </c>
      <c r="G35" s="46"/>
      <c r="H35" s="50">
        <f>SUM(H23:H34)</f>
        <v>2701655.81</v>
      </c>
    </row>
    <row r="36" spans="2:8" x14ac:dyDescent="0.35">
      <c r="C36" s="45" t="s">
        <v>34</v>
      </c>
    </row>
  </sheetData>
  <mergeCells count="16">
    <mergeCell ref="C20:E20"/>
    <mergeCell ref="C2:Q2"/>
    <mergeCell ref="G21:H21"/>
    <mergeCell ref="G20:H20"/>
    <mergeCell ref="O3:Q3"/>
    <mergeCell ref="O4:O5"/>
    <mergeCell ref="P4:P5"/>
    <mergeCell ref="Q4:Q5"/>
    <mergeCell ref="C4:G4"/>
    <mergeCell ref="H4:H5"/>
    <mergeCell ref="J4:L4"/>
    <mergeCell ref="N4:N5"/>
    <mergeCell ref="J3:N3"/>
    <mergeCell ref="C3:I3"/>
    <mergeCell ref="I4:I5"/>
    <mergeCell ref="M4:M5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3C66A-9EF1-4809-A5F8-00549973FBD0}">
  <sheetPr codeName="Sheet30">
    <tabColor rgb="FFC00000"/>
  </sheetPr>
  <dimension ref="B1:J334"/>
  <sheetViews>
    <sheetView zoomScale="80" zoomScaleNormal="80" workbookViewId="0">
      <selection activeCell="I33" sqref="I33"/>
    </sheetView>
  </sheetViews>
  <sheetFormatPr defaultRowHeight="14.5" x14ac:dyDescent="0.35"/>
  <cols>
    <col min="1" max="1" width="1" customWidth="1"/>
    <col min="2" max="2" width="43.453125" bestFit="1" customWidth="1"/>
    <col min="3" max="3" width="20.81640625" bestFit="1" customWidth="1"/>
    <col min="4" max="4" width="24.26953125" bestFit="1" customWidth="1"/>
    <col min="5" max="5" width="24.453125" bestFit="1" customWidth="1"/>
    <col min="6" max="6" width="31.7265625" style="500" bestFit="1" customWidth="1"/>
    <col min="9" max="9" width="43.453125" bestFit="1" customWidth="1"/>
    <col min="10" max="10" width="17.1796875" customWidth="1"/>
  </cols>
  <sheetData>
    <row r="1" spans="2:10" ht="5.25" customHeight="1" x14ac:dyDescent="0.35"/>
    <row r="2" spans="2:10" ht="18.5" x14ac:dyDescent="0.45">
      <c r="B2" s="704" t="s">
        <v>163</v>
      </c>
      <c r="C2" s="704"/>
      <c r="D2" s="704"/>
      <c r="E2" s="704"/>
      <c r="F2" s="704"/>
      <c r="I2" s="704" t="s">
        <v>164</v>
      </c>
      <c r="J2" s="704"/>
    </row>
    <row r="3" spans="2:10" x14ac:dyDescent="0.35">
      <c r="B3" s="205" t="s">
        <v>147</v>
      </c>
      <c r="C3" s="205" t="s">
        <v>148</v>
      </c>
      <c r="D3" s="205" t="s">
        <v>149</v>
      </c>
      <c r="E3" s="205" t="s">
        <v>150</v>
      </c>
      <c r="F3" s="501" t="s">
        <v>151</v>
      </c>
      <c r="I3" s="206" t="s">
        <v>152</v>
      </c>
      <c r="J3" s="206" t="s">
        <v>165</v>
      </c>
    </row>
    <row r="4" spans="2:10" x14ac:dyDescent="0.35">
      <c r="B4" t="s">
        <v>166</v>
      </c>
      <c r="C4">
        <v>13579127</v>
      </c>
      <c r="D4" t="s">
        <v>356</v>
      </c>
      <c r="E4" t="s">
        <v>357</v>
      </c>
      <c r="F4" s="500">
        <v>191499.65</v>
      </c>
      <c r="I4" t="s">
        <v>166</v>
      </c>
      <c r="J4" s="11">
        <v>68000</v>
      </c>
    </row>
    <row r="5" spans="2:10" x14ac:dyDescent="0.35">
      <c r="B5" t="s">
        <v>166</v>
      </c>
      <c r="C5">
        <v>13576849</v>
      </c>
      <c r="D5" t="s">
        <v>364</v>
      </c>
      <c r="E5" t="s">
        <v>358</v>
      </c>
      <c r="F5" s="500">
        <v>164348.35999999999</v>
      </c>
      <c r="I5" t="s">
        <v>167</v>
      </c>
      <c r="J5" s="11">
        <v>68000</v>
      </c>
    </row>
    <row r="6" spans="2:10" x14ac:dyDescent="0.35">
      <c r="B6" t="s">
        <v>166</v>
      </c>
      <c r="C6">
        <v>13579127</v>
      </c>
      <c r="D6" t="s">
        <v>364</v>
      </c>
      <c r="E6" t="s">
        <v>357</v>
      </c>
      <c r="F6" s="500">
        <v>163590.32</v>
      </c>
      <c r="I6" t="s">
        <v>168</v>
      </c>
      <c r="J6" s="11">
        <v>50000</v>
      </c>
    </row>
    <row r="7" spans="2:10" x14ac:dyDescent="0.35">
      <c r="B7" t="s">
        <v>166</v>
      </c>
      <c r="C7">
        <v>13572964</v>
      </c>
      <c r="D7" t="s">
        <v>364</v>
      </c>
      <c r="E7" t="s">
        <v>357</v>
      </c>
      <c r="F7" s="500">
        <v>154314.76999999999</v>
      </c>
      <c r="I7" t="s">
        <v>354</v>
      </c>
      <c r="J7" s="11">
        <v>50000</v>
      </c>
    </row>
    <row r="8" spans="2:10" x14ac:dyDescent="0.35">
      <c r="B8" t="s">
        <v>166</v>
      </c>
      <c r="C8">
        <v>13574218</v>
      </c>
      <c r="D8" t="s">
        <v>356</v>
      </c>
      <c r="E8" t="s">
        <v>358</v>
      </c>
      <c r="F8" s="500">
        <v>112057.83</v>
      </c>
      <c r="I8" t="s">
        <v>170</v>
      </c>
      <c r="J8" s="11">
        <v>68000</v>
      </c>
    </row>
    <row r="9" spans="2:10" x14ac:dyDescent="0.35">
      <c r="B9" t="s">
        <v>166</v>
      </c>
      <c r="C9">
        <v>26682617</v>
      </c>
      <c r="D9" t="s">
        <v>356</v>
      </c>
      <c r="E9" t="s">
        <v>358</v>
      </c>
      <c r="F9" s="500">
        <v>106184.1</v>
      </c>
      <c r="I9" t="s">
        <v>171</v>
      </c>
      <c r="J9" s="11">
        <v>85000</v>
      </c>
    </row>
    <row r="10" spans="2:10" x14ac:dyDescent="0.35">
      <c r="B10" t="s">
        <v>166</v>
      </c>
      <c r="C10">
        <v>13578467</v>
      </c>
      <c r="D10" t="s">
        <v>364</v>
      </c>
      <c r="E10" t="s">
        <v>357</v>
      </c>
      <c r="F10" s="500">
        <v>104682.97</v>
      </c>
      <c r="I10" t="s">
        <v>215</v>
      </c>
      <c r="J10" s="11">
        <v>85000</v>
      </c>
    </row>
    <row r="11" spans="2:10" x14ac:dyDescent="0.35">
      <c r="B11" t="s">
        <v>166</v>
      </c>
      <c r="C11">
        <v>13578467</v>
      </c>
      <c r="D11" t="s">
        <v>356</v>
      </c>
      <c r="E11" t="s">
        <v>357</v>
      </c>
      <c r="F11" s="500">
        <v>75823.61</v>
      </c>
      <c r="I11" t="s">
        <v>172</v>
      </c>
      <c r="J11" s="11">
        <v>68000</v>
      </c>
    </row>
    <row r="12" spans="2:10" x14ac:dyDescent="0.35">
      <c r="B12" t="s">
        <v>166</v>
      </c>
      <c r="C12">
        <v>13569141</v>
      </c>
      <c r="D12" t="s">
        <v>356</v>
      </c>
      <c r="E12" t="s">
        <v>357</v>
      </c>
      <c r="F12" s="500">
        <v>70569.179999999993</v>
      </c>
      <c r="I12" t="s">
        <v>173</v>
      </c>
      <c r="J12" s="11">
        <v>68000</v>
      </c>
    </row>
    <row r="13" spans="2:10" x14ac:dyDescent="0.35">
      <c r="B13" t="s">
        <v>166</v>
      </c>
      <c r="C13">
        <v>13579116</v>
      </c>
      <c r="D13" t="s">
        <v>356</v>
      </c>
      <c r="E13" t="s">
        <v>358</v>
      </c>
      <c r="F13" s="500">
        <v>67526.42</v>
      </c>
      <c r="I13" t="s">
        <v>174</v>
      </c>
      <c r="J13" s="11">
        <v>68000</v>
      </c>
    </row>
    <row r="14" spans="2:10" x14ac:dyDescent="0.35">
      <c r="B14" t="s">
        <v>166</v>
      </c>
      <c r="C14">
        <v>20433672</v>
      </c>
      <c r="D14" t="s">
        <v>356</v>
      </c>
      <c r="E14" t="s">
        <v>359</v>
      </c>
      <c r="F14" s="500">
        <v>58396.69</v>
      </c>
      <c r="I14" t="s">
        <v>175</v>
      </c>
      <c r="J14" s="11">
        <v>85000</v>
      </c>
    </row>
    <row r="15" spans="2:10" x14ac:dyDescent="0.35">
      <c r="B15" t="s">
        <v>166</v>
      </c>
      <c r="C15">
        <v>13572893</v>
      </c>
      <c r="D15" t="s">
        <v>364</v>
      </c>
      <c r="E15" t="s">
        <v>358</v>
      </c>
      <c r="F15" s="500">
        <v>55771.56</v>
      </c>
      <c r="I15" t="s">
        <v>176</v>
      </c>
      <c r="J15" s="11">
        <v>75000</v>
      </c>
    </row>
    <row r="16" spans="2:10" x14ac:dyDescent="0.35">
      <c r="B16" t="s">
        <v>166</v>
      </c>
      <c r="C16">
        <v>13574203</v>
      </c>
      <c r="D16" t="s">
        <v>356</v>
      </c>
      <c r="E16" t="s">
        <v>358</v>
      </c>
      <c r="F16" s="500">
        <v>55761.69</v>
      </c>
      <c r="I16" t="s">
        <v>183</v>
      </c>
      <c r="J16" s="11">
        <v>95000</v>
      </c>
    </row>
    <row r="17" spans="2:10" x14ac:dyDescent="0.35">
      <c r="B17" t="s">
        <v>166</v>
      </c>
      <c r="C17">
        <v>27395254</v>
      </c>
      <c r="D17" t="s">
        <v>356</v>
      </c>
      <c r="E17" t="s">
        <v>358</v>
      </c>
      <c r="F17" s="500">
        <v>53785.37</v>
      </c>
      <c r="I17" t="s">
        <v>177</v>
      </c>
      <c r="J17" s="11">
        <v>85000</v>
      </c>
    </row>
    <row r="18" spans="2:10" x14ac:dyDescent="0.35">
      <c r="B18" t="s">
        <v>166</v>
      </c>
      <c r="C18">
        <v>13581582</v>
      </c>
      <c r="D18" t="s">
        <v>364</v>
      </c>
      <c r="E18" t="s">
        <v>357</v>
      </c>
      <c r="F18" s="500">
        <v>46471.19</v>
      </c>
      <c r="I18" t="s">
        <v>178</v>
      </c>
      <c r="J18" s="11">
        <v>110000</v>
      </c>
    </row>
    <row r="19" spans="2:10" x14ac:dyDescent="0.35">
      <c r="B19" t="s">
        <v>166</v>
      </c>
      <c r="C19">
        <v>13577905</v>
      </c>
      <c r="D19" t="s">
        <v>356</v>
      </c>
      <c r="E19" t="s">
        <v>358</v>
      </c>
      <c r="F19" s="500">
        <v>40757.800000000003</v>
      </c>
      <c r="I19" t="s">
        <v>179</v>
      </c>
      <c r="J19" s="11">
        <v>85000</v>
      </c>
    </row>
    <row r="20" spans="2:10" x14ac:dyDescent="0.35">
      <c r="B20" t="s">
        <v>166</v>
      </c>
      <c r="C20">
        <v>13581990</v>
      </c>
      <c r="D20" t="s">
        <v>364</v>
      </c>
      <c r="E20" t="s">
        <v>358</v>
      </c>
      <c r="F20" s="500">
        <v>38650.14</v>
      </c>
      <c r="I20" t="s">
        <v>180</v>
      </c>
      <c r="J20" s="11">
        <v>68000</v>
      </c>
    </row>
    <row r="21" spans="2:10" x14ac:dyDescent="0.35">
      <c r="B21" t="s">
        <v>166</v>
      </c>
      <c r="C21">
        <v>13582326</v>
      </c>
      <c r="D21" t="s">
        <v>356</v>
      </c>
      <c r="E21" t="s">
        <v>358</v>
      </c>
      <c r="F21" s="500">
        <v>32676.54</v>
      </c>
      <c r="I21" t="s">
        <v>181</v>
      </c>
      <c r="J21" s="11">
        <v>50000</v>
      </c>
    </row>
    <row r="22" spans="2:10" x14ac:dyDescent="0.35">
      <c r="B22" t="s">
        <v>166</v>
      </c>
      <c r="C22">
        <v>13576849</v>
      </c>
      <c r="D22" t="s">
        <v>356</v>
      </c>
      <c r="E22" t="s">
        <v>358</v>
      </c>
      <c r="F22" s="500">
        <v>30296.07</v>
      </c>
      <c r="I22" t="s">
        <v>182</v>
      </c>
      <c r="J22" s="11">
        <v>68000</v>
      </c>
    </row>
    <row r="23" spans="2:10" x14ac:dyDescent="0.35">
      <c r="B23" t="s">
        <v>166</v>
      </c>
      <c r="C23">
        <v>13921044</v>
      </c>
      <c r="D23" t="s">
        <v>356</v>
      </c>
      <c r="E23" t="s">
        <v>357</v>
      </c>
      <c r="F23" s="500">
        <v>29143.96</v>
      </c>
    </row>
    <row r="24" spans="2:10" x14ac:dyDescent="0.35">
      <c r="B24" t="s">
        <v>166</v>
      </c>
      <c r="C24">
        <v>13570542</v>
      </c>
      <c r="D24" t="s">
        <v>356</v>
      </c>
      <c r="E24" t="s">
        <v>357</v>
      </c>
      <c r="F24" s="500">
        <v>27719.26</v>
      </c>
    </row>
    <row r="25" spans="2:10" x14ac:dyDescent="0.35">
      <c r="B25" t="s">
        <v>166</v>
      </c>
      <c r="C25">
        <v>13575656</v>
      </c>
      <c r="D25" t="s">
        <v>356</v>
      </c>
      <c r="E25" t="s">
        <v>358</v>
      </c>
      <c r="F25" s="500">
        <v>27596.97</v>
      </c>
    </row>
    <row r="26" spans="2:10" x14ac:dyDescent="0.35">
      <c r="B26" t="s">
        <v>166</v>
      </c>
      <c r="C26">
        <v>13571269</v>
      </c>
      <c r="D26" t="s">
        <v>364</v>
      </c>
      <c r="E26" t="s">
        <v>357</v>
      </c>
      <c r="F26" s="500">
        <v>26317.56</v>
      </c>
    </row>
    <row r="27" spans="2:10" x14ac:dyDescent="0.35">
      <c r="B27" t="s">
        <v>166</v>
      </c>
      <c r="C27">
        <v>20402011</v>
      </c>
      <c r="D27" t="s">
        <v>356</v>
      </c>
      <c r="E27" t="s">
        <v>358</v>
      </c>
      <c r="F27" s="500">
        <v>25766.41</v>
      </c>
    </row>
    <row r="28" spans="2:10" x14ac:dyDescent="0.35">
      <c r="B28" t="s">
        <v>167</v>
      </c>
      <c r="C28">
        <v>13581822</v>
      </c>
      <c r="D28" t="s">
        <v>356</v>
      </c>
      <c r="E28" t="s">
        <v>357</v>
      </c>
      <c r="F28" s="500">
        <v>230070.21</v>
      </c>
    </row>
    <row r="29" spans="2:10" x14ac:dyDescent="0.35">
      <c r="B29" t="s">
        <v>167</v>
      </c>
      <c r="C29">
        <v>27047478</v>
      </c>
      <c r="D29" t="s">
        <v>356</v>
      </c>
      <c r="E29" t="s">
        <v>357</v>
      </c>
      <c r="F29" s="500">
        <v>149140.76999999999</v>
      </c>
    </row>
    <row r="30" spans="2:10" x14ac:dyDescent="0.35">
      <c r="B30" t="s">
        <v>167</v>
      </c>
      <c r="C30">
        <v>27103537</v>
      </c>
      <c r="D30" t="s">
        <v>356</v>
      </c>
      <c r="E30" t="s">
        <v>358</v>
      </c>
      <c r="F30" s="500">
        <v>109109.1</v>
      </c>
    </row>
    <row r="31" spans="2:10" x14ac:dyDescent="0.35">
      <c r="B31" t="s">
        <v>167</v>
      </c>
      <c r="C31">
        <v>13576807</v>
      </c>
      <c r="D31" t="s">
        <v>356</v>
      </c>
      <c r="E31" t="s">
        <v>358</v>
      </c>
      <c r="F31" s="500">
        <v>105711.05</v>
      </c>
    </row>
    <row r="32" spans="2:10" x14ac:dyDescent="0.35">
      <c r="B32" t="s">
        <v>167</v>
      </c>
      <c r="C32">
        <v>13573927</v>
      </c>
      <c r="D32" t="s">
        <v>356</v>
      </c>
      <c r="E32" t="s">
        <v>357</v>
      </c>
      <c r="F32" s="500">
        <v>104784.56</v>
      </c>
    </row>
    <row r="33" spans="2:6" x14ac:dyDescent="0.35">
      <c r="B33" t="s">
        <v>167</v>
      </c>
      <c r="C33">
        <v>13578831</v>
      </c>
      <c r="D33" t="s">
        <v>356</v>
      </c>
      <c r="E33" t="s">
        <v>358</v>
      </c>
      <c r="F33" s="500">
        <v>87460.77</v>
      </c>
    </row>
    <row r="34" spans="2:6" x14ac:dyDescent="0.35">
      <c r="B34" t="s">
        <v>167</v>
      </c>
      <c r="C34">
        <v>13568266</v>
      </c>
      <c r="D34" t="s">
        <v>356</v>
      </c>
      <c r="E34" t="s">
        <v>357</v>
      </c>
      <c r="F34" s="500">
        <v>70058.539999999994</v>
      </c>
    </row>
    <row r="35" spans="2:6" x14ac:dyDescent="0.35">
      <c r="B35" t="s">
        <v>167</v>
      </c>
      <c r="C35">
        <v>13575011</v>
      </c>
      <c r="D35" t="s">
        <v>356</v>
      </c>
      <c r="E35" t="s">
        <v>357</v>
      </c>
      <c r="F35" s="500">
        <v>70018.83</v>
      </c>
    </row>
    <row r="36" spans="2:6" x14ac:dyDescent="0.35">
      <c r="B36" t="s">
        <v>167</v>
      </c>
      <c r="C36">
        <v>13573315</v>
      </c>
      <c r="D36" t="s">
        <v>356</v>
      </c>
      <c r="E36" t="s">
        <v>359</v>
      </c>
      <c r="F36" s="500">
        <v>66534.570000000007</v>
      </c>
    </row>
    <row r="37" spans="2:6" x14ac:dyDescent="0.35">
      <c r="B37" t="s">
        <v>167</v>
      </c>
      <c r="C37">
        <v>27341116</v>
      </c>
      <c r="D37" t="s">
        <v>356</v>
      </c>
      <c r="E37" t="s">
        <v>357</v>
      </c>
      <c r="F37" s="500">
        <v>64849.07</v>
      </c>
    </row>
    <row r="38" spans="2:6" x14ac:dyDescent="0.35">
      <c r="B38" t="s">
        <v>167</v>
      </c>
      <c r="C38">
        <v>13581670</v>
      </c>
      <c r="D38" t="s">
        <v>356</v>
      </c>
      <c r="E38" t="s">
        <v>357</v>
      </c>
      <c r="F38" s="500">
        <v>61224.91</v>
      </c>
    </row>
    <row r="39" spans="2:6" x14ac:dyDescent="0.35">
      <c r="B39" t="s">
        <v>167</v>
      </c>
      <c r="C39">
        <v>13579935</v>
      </c>
      <c r="D39" t="s">
        <v>356</v>
      </c>
      <c r="E39" t="s">
        <v>359</v>
      </c>
      <c r="F39" s="500">
        <v>52385</v>
      </c>
    </row>
    <row r="40" spans="2:6" x14ac:dyDescent="0.35">
      <c r="B40" t="s">
        <v>167</v>
      </c>
      <c r="C40">
        <v>13571450</v>
      </c>
      <c r="D40" t="s">
        <v>356</v>
      </c>
      <c r="E40" t="s">
        <v>358</v>
      </c>
      <c r="F40" s="500">
        <v>50404.33</v>
      </c>
    </row>
    <row r="41" spans="2:6" x14ac:dyDescent="0.35">
      <c r="B41" t="s">
        <v>167</v>
      </c>
      <c r="C41">
        <v>13576229</v>
      </c>
      <c r="D41" t="s">
        <v>365</v>
      </c>
      <c r="E41" t="s">
        <v>357</v>
      </c>
      <c r="F41" s="500">
        <v>47566.03</v>
      </c>
    </row>
    <row r="42" spans="2:6" x14ac:dyDescent="0.35">
      <c r="B42" t="s">
        <v>167</v>
      </c>
      <c r="C42">
        <v>13574535</v>
      </c>
      <c r="D42" t="s">
        <v>356</v>
      </c>
      <c r="E42" t="s">
        <v>358</v>
      </c>
      <c r="F42" s="500">
        <v>43464.3</v>
      </c>
    </row>
    <row r="43" spans="2:6" x14ac:dyDescent="0.35">
      <c r="B43" t="s">
        <v>167</v>
      </c>
      <c r="C43">
        <v>13573523</v>
      </c>
      <c r="D43" t="s">
        <v>356</v>
      </c>
      <c r="E43" t="s">
        <v>357</v>
      </c>
      <c r="F43" s="500">
        <v>42773.97</v>
      </c>
    </row>
    <row r="44" spans="2:6" x14ac:dyDescent="0.35">
      <c r="B44" t="s">
        <v>167</v>
      </c>
      <c r="C44">
        <v>27354439</v>
      </c>
      <c r="D44" t="s">
        <v>356</v>
      </c>
      <c r="E44" t="s">
        <v>358</v>
      </c>
      <c r="F44" s="500">
        <v>36295.339999999997</v>
      </c>
    </row>
    <row r="45" spans="2:6" x14ac:dyDescent="0.35">
      <c r="B45" t="s">
        <v>167</v>
      </c>
      <c r="C45">
        <v>13582150</v>
      </c>
      <c r="D45" t="s">
        <v>356</v>
      </c>
      <c r="E45" t="s">
        <v>358</v>
      </c>
      <c r="F45" s="500">
        <v>29638.02</v>
      </c>
    </row>
    <row r="46" spans="2:6" x14ac:dyDescent="0.35">
      <c r="B46" t="s">
        <v>167</v>
      </c>
      <c r="C46">
        <v>21933254</v>
      </c>
      <c r="D46" t="s">
        <v>356</v>
      </c>
      <c r="E46" t="s">
        <v>359</v>
      </c>
      <c r="F46" s="500">
        <v>29596.22</v>
      </c>
    </row>
    <row r="47" spans="2:6" x14ac:dyDescent="0.35">
      <c r="B47" t="s">
        <v>167</v>
      </c>
      <c r="C47">
        <v>26991430</v>
      </c>
      <c r="D47" t="s">
        <v>356</v>
      </c>
      <c r="E47" t="s">
        <v>357</v>
      </c>
      <c r="F47" s="500">
        <v>29547.63</v>
      </c>
    </row>
    <row r="48" spans="2:6" x14ac:dyDescent="0.35">
      <c r="B48" t="s">
        <v>167</v>
      </c>
      <c r="C48">
        <v>13570130</v>
      </c>
      <c r="D48" t="s">
        <v>356</v>
      </c>
      <c r="E48" t="s">
        <v>357</v>
      </c>
      <c r="F48" s="500">
        <v>27491.54</v>
      </c>
    </row>
    <row r="49" spans="2:6" x14ac:dyDescent="0.35">
      <c r="B49" t="s">
        <v>167</v>
      </c>
      <c r="C49">
        <v>13580066</v>
      </c>
      <c r="D49" t="s">
        <v>356</v>
      </c>
      <c r="E49" t="s">
        <v>359</v>
      </c>
      <c r="F49" s="500">
        <v>27325.67</v>
      </c>
    </row>
    <row r="50" spans="2:6" x14ac:dyDescent="0.35">
      <c r="B50" t="s">
        <v>167</v>
      </c>
      <c r="C50">
        <v>13580154</v>
      </c>
      <c r="D50" t="s">
        <v>356</v>
      </c>
      <c r="E50" t="s">
        <v>359</v>
      </c>
      <c r="F50" s="500">
        <v>26829.37</v>
      </c>
    </row>
    <row r="51" spans="2:6" x14ac:dyDescent="0.35">
      <c r="B51" t="s">
        <v>167</v>
      </c>
      <c r="C51">
        <v>13576961</v>
      </c>
      <c r="D51" t="s">
        <v>356</v>
      </c>
      <c r="E51" t="s">
        <v>358</v>
      </c>
      <c r="F51" s="500">
        <v>26771.63</v>
      </c>
    </row>
    <row r="52" spans="2:6" x14ac:dyDescent="0.35">
      <c r="B52" t="s">
        <v>168</v>
      </c>
      <c r="C52">
        <v>13573415</v>
      </c>
      <c r="D52" t="s">
        <v>356</v>
      </c>
      <c r="E52" t="s">
        <v>358</v>
      </c>
      <c r="F52" s="500">
        <v>78063.62</v>
      </c>
    </row>
    <row r="53" spans="2:6" x14ac:dyDescent="0.35">
      <c r="B53" t="s">
        <v>168</v>
      </c>
      <c r="C53">
        <v>28326883</v>
      </c>
      <c r="D53" t="s">
        <v>356</v>
      </c>
      <c r="E53" t="s">
        <v>358</v>
      </c>
      <c r="F53" s="500">
        <v>42904.65</v>
      </c>
    </row>
    <row r="54" spans="2:6" x14ac:dyDescent="0.35">
      <c r="B54" t="s">
        <v>168</v>
      </c>
      <c r="C54">
        <v>27367588</v>
      </c>
      <c r="D54" t="s">
        <v>356</v>
      </c>
      <c r="E54" t="s">
        <v>358</v>
      </c>
      <c r="F54" s="500">
        <v>33243.449999999997</v>
      </c>
    </row>
    <row r="55" spans="2:6" x14ac:dyDescent="0.35">
      <c r="B55" t="s">
        <v>168</v>
      </c>
      <c r="C55">
        <v>13580592</v>
      </c>
      <c r="D55" t="s">
        <v>356</v>
      </c>
      <c r="E55" t="s">
        <v>359</v>
      </c>
      <c r="F55" s="500">
        <v>32568.78</v>
      </c>
    </row>
    <row r="56" spans="2:6" x14ac:dyDescent="0.35">
      <c r="B56" t="s">
        <v>168</v>
      </c>
      <c r="C56">
        <v>13584674</v>
      </c>
      <c r="D56" t="s">
        <v>356</v>
      </c>
      <c r="E56" t="s">
        <v>358</v>
      </c>
      <c r="F56" s="500">
        <v>29093.53</v>
      </c>
    </row>
    <row r="57" spans="2:6" x14ac:dyDescent="0.35">
      <c r="B57" t="s">
        <v>168</v>
      </c>
      <c r="C57">
        <v>13571830</v>
      </c>
      <c r="D57" t="s">
        <v>356</v>
      </c>
      <c r="E57" t="s">
        <v>357</v>
      </c>
      <c r="F57" s="500">
        <v>26622.17</v>
      </c>
    </row>
    <row r="58" spans="2:6" x14ac:dyDescent="0.35">
      <c r="B58" t="s">
        <v>354</v>
      </c>
      <c r="C58">
        <v>26337828</v>
      </c>
      <c r="D58" t="s">
        <v>356</v>
      </c>
      <c r="E58" t="s">
        <v>359</v>
      </c>
      <c r="F58" s="500">
        <v>136839.88</v>
      </c>
    </row>
    <row r="59" spans="2:6" x14ac:dyDescent="0.35">
      <c r="B59" t="s">
        <v>354</v>
      </c>
      <c r="C59">
        <v>28755160</v>
      </c>
      <c r="D59" t="s">
        <v>356</v>
      </c>
      <c r="E59" t="s">
        <v>359</v>
      </c>
      <c r="F59" s="500">
        <v>68535.12</v>
      </c>
    </row>
    <row r="60" spans="2:6" x14ac:dyDescent="0.35">
      <c r="B60" t="s">
        <v>354</v>
      </c>
      <c r="C60">
        <v>26532926</v>
      </c>
      <c r="D60" t="s">
        <v>356</v>
      </c>
      <c r="E60" t="s">
        <v>357</v>
      </c>
      <c r="F60" s="500">
        <v>55581.54</v>
      </c>
    </row>
    <row r="61" spans="2:6" x14ac:dyDescent="0.35">
      <c r="B61" t="s">
        <v>354</v>
      </c>
      <c r="C61">
        <v>27124002</v>
      </c>
      <c r="D61" t="s">
        <v>356</v>
      </c>
      <c r="E61" t="s">
        <v>357</v>
      </c>
      <c r="F61" s="500">
        <v>43816.160000000003</v>
      </c>
    </row>
    <row r="62" spans="2:6" x14ac:dyDescent="0.35">
      <c r="B62" t="s">
        <v>354</v>
      </c>
      <c r="C62">
        <v>27067379</v>
      </c>
      <c r="D62" t="s">
        <v>356</v>
      </c>
      <c r="E62" t="s">
        <v>359</v>
      </c>
      <c r="F62" s="500">
        <v>42233.21</v>
      </c>
    </row>
    <row r="63" spans="2:6" x14ac:dyDescent="0.35">
      <c r="B63" t="s">
        <v>170</v>
      </c>
      <c r="C63">
        <v>13576981</v>
      </c>
      <c r="D63" t="s">
        <v>356</v>
      </c>
      <c r="E63" t="s">
        <v>358</v>
      </c>
      <c r="F63" s="500">
        <v>1009823.09</v>
      </c>
    </row>
    <row r="64" spans="2:6" x14ac:dyDescent="0.35">
      <c r="B64" t="s">
        <v>170</v>
      </c>
      <c r="C64">
        <v>28765391</v>
      </c>
      <c r="D64" t="s">
        <v>356</v>
      </c>
      <c r="E64" t="s">
        <v>359</v>
      </c>
      <c r="F64" s="500">
        <v>411550.9</v>
      </c>
    </row>
    <row r="65" spans="2:6" x14ac:dyDescent="0.35">
      <c r="B65" t="s">
        <v>170</v>
      </c>
      <c r="C65">
        <v>29065602</v>
      </c>
      <c r="D65" t="s">
        <v>356</v>
      </c>
      <c r="E65" t="s">
        <v>359</v>
      </c>
      <c r="F65" s="500">
        <v>206910.72</v>
      </c>
    </row>
    <row r="66" spans="2:6" x14ac:dyDescent="0.35">
      <c r="B66" t="s">
        <v>170</v>
      </c>
      <c r="C66">
        <v>13646024</v>
      </c>
      <c r="D66" t="s">
        <v>356</v>
      </c>
      <c r="E66" t="s">
        <v>357</v>
      </c>
      <c r="F66" s="500">
        <v>199568.17</v>
      </c>
    </row>
    <row r="67" spans="2:6" x14ac:dyDescent="0.35">
      <c r="B67" t="s">
        <v>170</v>
      </c>
      <c r="C67">
        <v>13580766</v>
      </c>
      <c r="D67" t="s">
        <v>356</v>
      </c>
      <c r="E67" t="s">
        <v>358</v>
      </c>
      <c r="F67" s="500">
        <v>168918.06</v>
      </c>
    </row>
    <row r="68" spans="2:6" x14ac:dyDescent="0.35">
      <c r="B68" t="s">
        <v>170</v>
      </c>
      <c r="C68">
        <v>13568948</v>
      </c>
      <c r="D68" t="s">
        <v>356</v>
      </c>
      <c r="E68" t="s">
        <v>357</v>
      </c>
      <c r="F68" s="500">
        <v>135628.13</v>
      </c>
    </row>
    <row r="69" spans="2:6" x14ac:dyDescent="0.35">
      <c r="B69" t="s">
        <v>170</v>
      </c>
      <c r="C69">
        <v>13580724</v>
      </c>
      <c r="D69" t="s">
        <v>356</v>
      </c>
      <c r="E69" t="s">
        <v>359</v>
      </c>
      <c r="F69" s="500">
        <v>127625.44</v>
      </c>
    </row>
    <row r="70" spans="2:6" x14ac:dyDescent="0.35">
      <c r="B70" t="s">
        <v>170</v>
      </c>
      <c r="C70">
        <v>13576140</v>
      </c>
      <c r="D70" t="s">
        <v>356</v>
      </c>
      <c r="E70" t="s">
        <v>359</v>
      </c>
      <c r="F70" s="500">
        <v>99284.21</v>
      </c>
    </row>
    <row r="71" spans="2:6" x14ac:dyDescent="0.35">
      <c r="B71" t="s">
        <v>170</v>
      </c>
      <c r="C71">
        <v>13574293</v>
      </c>
      <c r="D71" t="s">
        <v>356</v>
      </c>
      <c r="E71" t="s">
        <v>358</v>
      </c>
      <c r="F71" s="500">
        <v>95120.57</v>
      </c>
    </row>
    <row r="72" spans="2:6" x14ac:dyDescent="0.35">
      <c r="B72" t="s">
        <v>170</v>
      </c>
      <c r="C72">
        <v>10124566</v>
      </c>
      <c r="D72" t="s">
        <v>356</v>
      </c>
      <c r="E72" t="s">
        <v>358</v>
      </c>
      <c r="F72" s="500">
        <v>89432.83</v>
      </c>
    </row>
    <row r="73" spans="2:6" x14ac:dyDescent="0.35">
      <c r="B73" t="s">
        <v>170</v>
      </c>
      <c r="C73">
        <v>26982853</v>
      </c>
      <c r="D73" t="s">
        <v>356</v>
      </c>
      <c r="E73" t="s">
        <v>357</v>
      </c>
      <c r="F73" s="500">
        <v>73911.06</v>
      </c>
    </row>
    <row r="74" spans="2:6" x14ac:dyDescent="0.35">
      <c r="B74" t="s">
        <v>170</v>
      </c>
      <c r="C74">
        <v>13570884</v>
      </c>
      <c r="D74" t="s">
        <v>356</v>
      </c>
      <c r="E74" t="s">
        <v>357</v>
      </c>
      <c r="F74" s="500">
        <v>73456.160000000003</v>
      </c>
    </row>
    <row r="75" spans="2:6" x14ac:dyDescent="0.35">
      <c r="B75" t="s">
        <v>170</v>
      </c>
      <c r="C75">
        <v>13576009</v>
      </c>
      <c r="D75" t="s">
        <v>356</v>
      </c>
      <c r="E75" t="s">
        <v>359</v>
      </c>
      <c r="F75" s="500">
        <v>64192.63</v>
      </c>
    </row>
    <row r="76" spans="2:6" x14ac:dyDescent="0.35">
      <c r="B76" t="s">
        <v>170</v>
      </c>
      <c r="C76">
        <v>13570510</v>
      </c>
      <c r="D76" t="s">
        <v>356</v>
      </c>
      <c r="E76" t="s">
        <v>357</v>
      </c>
      <c r="F76" s="500">
        <v>63398.080000000002</v>
      </c>
    </row>
    <row r="77" spans="2:6" x14ac:dyDescent="0.35">
      <c r="B77" t="s">
        <v>170</v>
      </c>
      <c r="C77">
        <v>13568860</v>
      </c>
      <c r="D77" t="s">
        <v>356</v>
      </c>
      <c r="E77" t="s">
        <v>357</v>
      </c>
      <c r="F77" s="500">
        <v>61892.480000000003</v>
      </c>
    </row>
    <row r="78" spans="2:6" x14ac:dyDescent="0.35">
      <c r="B78" t="s">
        <v>170</v>
      </c>
      <c r="C78">
        <v>12300616</v>
      </c>
      <c r="D78" t="s">
        <v>356</v>
      </c>
      <c r="E78" t="s">
        <v>358</v>
      </c>
      <c r="F78" s="500">
        <v>61843.15</v>
      </c>
    </row>
    <row r="79" spans="2:6" x14ac:dyDescent="0.35">
      <c r="B79" t="s">
        <v>170</v>
      </c>
      <c r="C79">
        <v>13578003</v>
      </c>
      <c r="D79" t="s">
        <v>356</v>
      </c>
      <c r="E79" t="s">
        <v>357</v>
      </c>
      <c r="F79" s="500">
        <v>52031.96</v>
      </c>
    </row>
    <row r="80" spans="2:6" x14ac:dyDescent="0.35">
      <c r="B80" t="s">
        <v>170</v>
      </c>
      <c r="C80">
        <v>13574623</v>
      </c>
      <c r="D80" t="s">
        <v>365</v>
      </c>
      <c r="E80" t="s">
        <v>357</v>
      </c>
      <c r="F80" s="500">
        <v>47922.74</v>
      </c>
    </row>
    <row r="81" spans="2:6" x14ac:dyDescent="0.35">
      <c r="B81" t="s">
        <v>170</v>
      </c>
      <c r="C81">
        <v>13689473</v>
      </c>
      <c r="D81" t="s">
        <v>356</v>
      </c>
      <c r="E81" t="s">
        <v>358</v>
      </c>
      <c r="F81" s="500">
        <v>42834.45</v>
      </c>
    </row>
    <row r="82" spans="2:6" x14ac:dyDescent="0.35">
      <c r="B82" t="s">
        <v>170</v>
      </c>
      <c r="C82">
        <v>26200995</v>
      </c>
      <c r="D82" t="s">
        <v>356</v>
      </c>
      <c r="E82" t="s">
        <v>357</v>
      </c>
      <c r="F82" s="500">
        <v>33391.300000000003</v>
      </c>
    </row>
    <row r="83" spans="2:6" x14ac:dyDescent="0.35">
      <c r="B83" t="s">
        <v>170</v>
      </c>
      <c r="C83">
        <v>13575881</v>
      </c>
      <c r="D83" t="s">
        <v>356</v>
      </c>
      <c r="E83" t="s">
        <v>359</v>
      </c>
      <c r="F83" s="500">
        <v>28285.53</v>
      </c>
    </row>
    <row r="84" spans="2:6" x14ac:dyDescent="0.35">
      <c r="B84" t="s">
        <v>170</v>
      </c>
      <c r="C84">
        <v>15288766</v>
      </c>
      <c r="D84" t="s">
        <v>356</v>
      </c>
      <c r="E84" t="s">
        <v>357</v>
      </c>
      <c r="F84" s="500">
        <v>27542.639999999999</v>
      </c>
    </row>
    <row r="85" spans="2:6" x14ac:dyDescent="0.35">
      <c r="B85" t="s">
        <v>170</v>
      </c>
      <c r="C85">
        <v>13582638</v>
      </c>
      <c r="D85" t="s">
        <v>365</v>
      </c>
      <c r="E85" t="s">
        <v>357</v>
      </c>
      <c r="F85" s="500">
        <v>26918.81</v>
      </c>
    </row>
    <row r="86" spans="2:6" x14ac:dyDescent="0.35">
      <c r="B86" t="s">
        <v>170</v>
      </c>
      <c r="C86">
        <v>13581292</v>
      </c>
      <c r="D86" t="s">
        <v>356</v>
      </c>
      <c r="E86" t="s">
        <v>358</v>
      </c>
      <c r="F86" s="500">
        <v>26768.33</v>
      </c>
    </row>
    <row r="87" spans="2:6" x14ac:dyDescent="0.35">
      <c r="B87" t="s">
        <v>215</v>
      </c>
      <c r="C87">
        <v>13596608</v>
      </c>
      <c r="D87" t="s">
        <v>356</v>
      </c>
      <c r="E87" t="s">
        <v>358</v>
      </c>
      <c r="F87" s="500">
        <v>348982.25</v>
      </c>
    </row>
    <row r="88" spans="2:6" x14ac:dyDescent="0.35">
      <c r="B88" t="s">
        <v>215</v>
      </c>
      <c r="C88">
        <v>13575254</v>
      </c>
      <c r="D88" t="s">
        <v>356</v>
      </c>
      <c r="E88" t="s">
        <v>357</v>
      </c>
      <c r="F88" s="500">
        <v>121648.65</v>
      </c>
    </row>
    <row r="89" spans="2:6" x14ac:dyDescent="0.35">
      <c r="B89" t="s">
        <v>215</v>
      </c>
      <c r="C89">
        <v>13582582</v>
      </c>
      <c r="D89" t="s">
        <v>356</v>
      </c>
      <c r="E89" t="s">
        <v>357</v>
      </c>
      <c r="F89" s="500">
        <v>115122.81</v>
      </c>
    </row>
    <row r="90" spans="2:6" x14ac:dyDescent="0.35">
      <c r="B90" t="s">
        <v>215</v>
      </c>
      <c r="C90">
        <v>13592239</v>
      </c>
      <c r="D90" t="s">
        <v>356</v>
      </c>
      <c r="E90" t="s">
        <v>358</v>
      </c>
      <c r="F90" s="500">
        <v>111721.33</v>
      </c>
    </row>
    <row r="91" spans="2:6" x14ac:dyDescent="0.35">
      <c r="B91" t="s">
        <v>215</v>
      </c>
      <c r="C91">
        <v>14460688</v>
      </c>
      <c r="D91" t="s">
        <v>356</v>
      </c>
      <c r="E91" t="s">
        <v>357</v>
      </c>
      <c r="F91" s="500">
        <v>100624.99</v>
      </c>
    </row>
    <row r="92" spans="2:6" x14ac:dyDescent="0.35">
      <c r="B92" t="s">
        <v>215</v>
      </c>
      <c r="C92">
        <v>26482375</v>
      </c>
      <c r="D92" t="s">
        <v>356</v>
      </c>
      <c r="E92" t="s">
        <v>357</v>
      </c>
      <c r="F92" s="500">
        <v>82341.25</v>
      </c>
    </row>
    <row r="93" spans="2:6" x14ac:dyDescent="0.35">
      <c r="B93" t="s">
        <v>215</v>
      </c>
      <c r="C93">
        <v>13586793</v>
      </c>
      <c r="D93" t="s">
        <v>356</v>
      </c>
      <c r="E93" t="s">
        <v>358</v>
      </c>
      <c r="F93" s="500">
        <v>74534.5</v>
      </c>
    </row>
    <row r="94" spans="2:6" x14ac:dyDescent="0.35">
      <c r="B94" t="s">
        <v>215</v>
      </c>
      <c r="C94">
        <v>13582344</v>
      </c>
      <c r="D94" t="s">
        <v>356</v>
      </c>
      <c r="E94" t="s">
        <v>359</v>
      </c>
      <c r="F94" s="500">
        <v>47675.49</v>
      </c>
    </row>
    <row r="95" spans="2:6" x14ac:dyDescent="0.35">
      <c r="B95" t="s">
        <v>215</v>
      </c>
      <c r="C95">
        <v>13578490</v>
      </c>
      <c r="D95" t="s">
        <v>356</v>
      </c>
      <c r="E95" t="s">
        <v>358</v>
      </c>
      <c r="F95" s="500">
        <v>40966.28</v>
      </c>
    </row>
    <row r="96" spans="2:6" x14ac:dyDescent="0.35">
      <c r="B96" t="s">
        <v>215</v>
      </c>
      <c r="C96">
        <v>13596036</v>
      </c>
      <c r="D96" t="s">
        <v>356</v>
      </c>
      <c r="E96" t="s">
        <v>358</v>
      </c>
      <c r="F96" s="500">
        <v>39423.360000000001</v>
      </c>
    </row>
    <row r="97" spans="2:6" x14ac:dyDescent="0.35">
      <c r="B97" t="s">
        <v>215</v>
      </c>
      <c r="C97">
        <v>13593320</v>
      </c>
      <c r="D97" t="s">
        <v>356</v>
      </c>
      <c r="E97" t="s">
        <v>359</v>
      </c>
      <c r="F97" s="500">
        <v>31273.17</v>
      </c>
    </row>
    <row r="98" spans="2:6" x14ac:dyDescent="0.35">
      <c r="B98" t="s">
        <v>215</v>
      </c>
      <c r="C98">
        <v>13574905</v>
      </c>
      <c r="D98" t="s">
        <v>356</v>
      </c>
      <c r="E98" t="s">
        <v>358</v>
      </c>
      <c r="F98" s="500">
        <v>27490.22</v>
      </c>
    </row>
    <row r="99" spans="2:6" x14ac:dyDescent="0.35">
      <c r="B99" t="s">
        <v>215</v>
      </c>
      <c r="C99">
        <v>13575125</v>
      </c>
      <c r="D99" t="s">
        <v>356</v>
      </c>
      <c r="E99" t="s">
        <v>357</v>
      </c>
      <c r="F99" s="500">
        <v>27418.29</v>
      </c>
    </row>
    <row r="100" spans="2:6" x14ac:dyDescent="0.35">
      <c r="B100" t="s">
        <v>171</v>
      </c>
      <c r="C100">
        <v>13586691</v>
      </c>
      <c r="D100" t="s">
        <v>356</v>
      </c>
      <c r="E100" t="s">
        <v>359</v>
      </c>
      <c r="F100" s="500">
        <v>597112.43000000005</v>
      </c>
    </row>
    <row r="101" spans="2:6" x14ac:dyDescent="0.35">
      <c r="B101" t="s">
        <v>171</v>
      </c>
      <c r="C101">
        <v>13578936</v>
      </c>
      <c r="D101" t="s">
        <v>356</v>
      </c>
      <c r="E101" t="s">
        <v>358</v>
      </c>
      <c r="F101" s="500">
        <v>261516.88</v>
      </c>
    </row>
    <row r="102" spans="2:6" x14ac:dyDescent="0.35">
      <c r="B102" t="s">
        <v>171</v>
      </c>
      <c r="C102">
        <v>13580344</v>
      </c>
      <c r="D102" t="s">
        <v>356</v>
      </c>
      <c r="E102" t="s">
        <v>357</v>
      </c>
      <c r="F102" s="500">
        <v>116014.07</v>
      </c>
    </row>
    <row r="103" spans="2:6" x14ac:dyDescent="0.35">
      <c r="B103" t="s">
        <v>171</v>
      </c>
      <c r="C103">
        <v>13586317</v>
      </c>
      <c r="D103" t="s">
        <v>356</v>
      </c>
      <c r="E103" t="s">
        <v>357</v>
      </c>
      <c r="F103" s="500">
        <v>110881.7</v>
      </c>
    </row>
    <row r="104" spans="2:6" x14ac:dyDescent="0.35">
      <c r="B104" t="s">
        <v>171</v>
      </c>
      <c r="C104">
        <v>13586150</v>
      </c>
      <c r="D104" t="s">
        <v>356</v>
      </c>
      <c r="E104" t="s">
        <v>357</v>
      </c>
      <c r="F104" s="500">
        <v>101941.33</v>
      </c>
    </row>
    <row r="105" spans="2:6" x14ac:dyDescent="0.35">
      <c r="B105" t="s">
        <v>171</v>
      </c>
      <c r="C105">
        <v>13588042</v>
      </c>
      <c r="D105" t="s">
        <v>356</v>
      </c>
      <c r="E105" t="s">
        <v>357</v>
      </c>
      <c r="F105" s="500">
        <v>85263.91</v>
      </c>
    </row>
    <row r="106" spans="2:6" x14ac:dyDescent="0.35">
      <c r="B106" t="s">
        <v>171</v>
      </c>
      <c r="C106">
        <v>13587055</v>
      </c>
      <c r="D106" t="s">
        <v>356</v>
      </c>
      <c r="E106" t="s">
        <v>357</v>
      </c>
      <c r="F106" s="500">
        <v>80076.240000000005</v>
      </c>
    </row>
    <row r="107" spans="2:6" x14ac:dyDescent="0.35">
      <c r="B107" t="s">
        <v>171</v>
      </c>
      <c r="C107">
        <v>13581882</v>
      </c>
      <c r="D107" t="s">
        <v>356</v>
      </c>
      <c r="E107" t="s">
        <v>358</v>
      </c>
      <c r="F107" s="500">
        <v>78688.88</v>
      </c>
    </row>
    <row r="108" spans="2:6" x14ac:dyDescent="0.35">
      <c r="B108" t="s">
        <v>171</v>
      </c>
      <c r="C108">
        <v>13590781</v>
      </c>
      <c r="D108" t="s">
        <v>356</v>
      </c>
      <c r="E108" t="s">
        <v>358</v>
      </c>
      <c r="F108" s="500">
        <v>67528.66</v>
      </c>
    </row>
    <row r="109" spans="2:6" x14ac:dyDescent="0.35">
      <c r="B109" t="s">
        <v>171</v>
      </c>
      <c r="C109">
        <v>27011084</v>
      </c>
      <c r="D109" t="s">
        <v>356</v>
      </c>
      <c r="E109" t="s">
        <v>357</v>
      </c>
      <c r="F109" s="500">
        <v>67418.8</v>
      </c>
    </row>
    <row r="110" spans="2:6" x14ac:dyDescent="0.35">
      <c r="B110" t="s">
        <v>171</v>
      </c>
      <c r="C110">
        <v>13590271</v>
      </c>
      <c r="D110" t="s">
        <v>356</v>
      </c>
      <c r="E110" t="s">
        <v>357</v>
      </c>
      <c r="F110" s="500">
        <v>64753.01</v>
      </c>
    </row>
    <row r="111" spans="2:6" x14ac:dyDescent="0.35">
      <c r="B111" t="s">
        <v>171</v>
      </c>
      <c r="C111">
        <v>13583214</v>
      </c>
      <c r="D111" t="s">
        <v>364</v>
      </c>
      <c r="E111" t="s">
        <v>357</v>
      </c>
      <c r="F111" s="500">
        <v>49500.24</v>
      </c>
    </row>
    <row r="112" spans="2:6" x14ac:dyDescent="0.35">
      <c r="B112" t="s">
        <v>171</v>
      </c>
      <c r="C112">
        <v>14644550</v>
      </c>
      <c r="D112" t="s">
        <v>356</v>
      </c>
      <c r="E112" t="s">
        <v>358</v>
      </c>
      <c r="F112" s="500">
        <v>39277.25</v>
      </c>
    </row>
    <row r="113" spans="2:6" x14ac:dyDescent="0.35">
      <c r="B113" t="s">
        <v>171</v>
      </c>
      <c r="C113">
        <v>13578320</v>
      </c>
      <c r="D113" t="s">
        <v>356</v>
      </c>
      <c r="E113" t="s">
        <v>357</v>
      </c>
      <c r="F113" s="500">
        <v>38792.57</v>
      </c>
    </row>
    <row r="114" spans="2:6" x14ac:dyDescent="0.35">
      <c r="B114" t="s">
        <v>171</v>
      </c>
      <c r="C114">
        <v>27639342</v>
      </c>
      <c r="D114" t="s">
        <v>356</v>
      </c>
      <c r="E114" t="s">
        <v>357</v>
      </c>
      <c r="F114" s="500">
        <v>34136.949999999997</v>
      </c>
    </row>
    <row r="115" spans="2:6" x14ac:dyDescent="0.35">
      <c r="B115" t="s">
        <v>171</v>
      </c>
      <c r="C115">
        <v>13587315</v>
      </c>
      <c r="D115" t="s">
        <v>356</v>
      </c>
      <c r="E115" t="s">
        <v>357</v>
      </c>
      <c r="F115" s="500">
        <v>28515.02</v>
      </c>
    </row>
    <row r="116" spans="2:6" x14ac:dyDescent="0.35">
      <c r="B116" t="s">
        <v>171</v>
      </c>
      <c r="C116">
        <v>13589124</v>
      </c>
      <c r="D116" t="s">
        <v>356</v>
      </c>
      <c r="E116" t="s">
        <v>359</v>
      </c>
      <c r="F116" s="500">
        <v>28438.1</v>
      </c>
    </row>
    <row r="117" spans="2:6" x14ac:dyDescent="0.35">
      <c r="B117" t="s">
        <v>171</v>
      </c>
      <c r="C117">
        <v>13583819</v>
      </c>
      <c r="D117" t="s">
        <v>356</v>
      </c>
      <c r="E117" t="s">
        <v>357</v>
      </c>
      <c r="F117" s="500">
        <v>25922.23</v>
      </c>
    </row>
    <row r="118" spans="2:6" x14ac:dyDescent="0.35">
      <c r="B118" t="s">
        <v>172</v>
      </c>
      <c r="C118">
        <v>13577032</v>
      </c>
      <c r="D118" t="s">
        <v>364</v>
      </c>
      <c r="E118" t="s">
        <v>357</v>
      </c>
      <c r="F118" s="500">
        <v>128457.9</v>
      </c>
    </row>
    <row r="119" spans="2:6" x14ac:dyDescent="0.35">
      <c r="B119" t="s">
        <v>172</v>
      </c>
      <c r="C119">
        <v>28891623</v>
      </c>
      <c r="D119" t="s">
        <v>356</v>
      </c>
      <c r="E119" t="s">
        <v>358</v>
      </c>
      <c r="F119" s="500">
        <v>112000.71</v>
      </c>
    </row>
    <row r="120" spans="2:6" x14ac:dyDescent="0.35">
      <c r="B120" t="s">
        <v>172</v>
      </c>
      <c r="C120">
        <v>13589294</v>
      </c>
      <c r="D120" t="s">
        <v>356</v>
      </c>
      <c r="E120" t="s">
        <v>357</v>
      </c>
      <c r="F120" s="500">
        <v>102185.11</v>
      </c>
    </row>
    <row r="121" spans="2:6" x14ac:dyDescent="0.35">
      <c r="B121" t="s">
        <v>172</v>
      </c>
      <c r="C121">
        <v>28867732</v>
      </c>
      <c r="D121" t="s">
        <v>356</v>
      </c>
      <c r="E121" t="s">
        <v>359</v>
      </c>
      <c r="F121" s="500">
        <v>69105.31</v>
      </c>
    </row>
    <row r="122" spans="2:6" x14ac:dyDescent="0.35">
      <c r="B122" t="s">
        <v>172</v>
      </c>
      <c r="C122">
        <v>28865479</v>
      </c>
      <c r="D122" t="s">
        <v>356</v>
      </c>
      <c r="E122" t="s">
        <v>359</v>
      </c>
      <c r="F122" s="500">
        <v>58032.43</v>
      </c>
    </row>
    <row r="123" spans="2:6" x14ac:dyDescent="0.35">
      <c r="B123" t="s">
        <v>172</v>
      </c>
      <c r="C123">
        <v>28881354</v>
      </c>
      <c r="D123" t="s">
        <v>356</v>
      </c>
      <c r="E123" t="s">
        <v>358</v>
      </c>
      <c r="F123" s="500">
        <v>56328.04</v>
      </c>
    </row>
    <row r="124" spans="2:6" x14ac:dyDescent="0.35">
      <c r="B124" t="s">
        <v>172</v>
      </c>
      <c r="C124">
        <v>28895171</v>
      </c>
      <c r="D124" t="s">
        <v>356</v>
      </c>
      <c r="E124" t="s">
        <v>359</v>
      </c>
      <c r="F124" s="500">
        <v>54415.65</v>
      </c>
    </row>
    <row r="125" spans="2:6" x14ac:dyDescent="0.35">
      <c r="B125" t="s">
        <v>172</v>
      </c>
      <c r="C125">
        <v>28873617</v>
      </c>
      <c r="D125" t="s">
        <v>356</v>
      </c>
      <c r="E125" t="s">
        <v>358</v>
      </c>
      <c r="F125" s="500">
        <v>51725.57</v>
      </c>
    </row>
    <row r="126" spans="2:6" x14ac:dyDescent="0.35">
      <c r="B126" t="s">
        <v>172</v>
      </c>
      <c r="C126">
        <v>28882314</v>
      </c>
      <c r="D126" t="s">
        <v>356</v>
      </c>
      <c r="E126" t="s">
        <v>358</v>
      </c>
      <c r="F126" s="500">
        <v>50726.07</v>
      </c>
    </row>
    <row r="127" spans="2:6" x14ac:dyDescent="0.35">
      <c r="B127" t="s">
        <v>172</v>
      </c>
      <c r="C127">
        <v>13581020</v>
      </c>
      <c r="D127" t="s">
        <v>356</v>
      </c>
      <c r="E127" t="s">
        <v>357</v>
      </c>
      <c r="F127" s="500">
        <v>42716.57</v>
      </c>
    </row>
    <row r="128" spans="2:6" x14ac:dyDescent="0.35">
      <c r="B128" t="s">
        <v>172</v>
      </c>
      <c r="C128">
        <v>13577032</v>
      </c>
      <c r="D128" t="s">
        <v>356</v>
      </c>
      <c r="E128" t="s">
        <v>357</v>
      </c>
      <c r="F128" s="500">
        <v>42512.09</v>
      </c>
    </row>
    <row r="129" spans="2:6" x14ac:dyDescent="0.35">
      <c r="B129" t="s">
        <v>172</v>
      </c>
      <c r="C129">
        <v>28864055</v>
      </c>
      <c r="D129" t="s">
        <v>356</v>
      </c>
      <c r="E129" t="s">
        <v>359</v>
      </c>
      <c r="F129" s="500">
        <v>37074.43</v>
      </c>
    </row>
    <row r="130" spans="2:6" x14ac:dyDescent="0.35">
      <c r="B130" t="s">
        <v>172</v>
      </c>
      <c r="C130">
        <v>28880956</v>
      </c>
      <c r="D130" t="s">
        <v>356</v>
      </c>
      <c r="E130" t="s">
        <v>359</v>
      </c>
      <c r="F130" s="500">
        <v>35449.89</v>
      </c>
    </row>
    <row r="131" spans="2:6" x14ac:dyDescent="0.35">
      <c r="B131" t="s">
        <v>172</v>
      </c>
      <c r="C131">
        <v>13585095</v>
      </c>
      <c r="D131" t="s">
        <v>356</v>
      </c>
      <c r="E131" t="s">
        <v>357</v>
      </c>
      <c r="F131" s="500">
        <v>32712.73</v>
      </c>
    </row>
    <row r="132" spans="2:6" x14ac:dyDescent="0.35">
      <c r="B132" t="s">
        <v>172</v>
      </c>
      <c r="C132">
        <v>28918974</v>
      </c>
      <c r="D132" t="s">
        <v>356</v>
      </c>
      <c r="E132" t="s">
        <v>359</v>
      </c>
      <c r="F132" s="500">
        <v>27935.919999999998</v>
      </c>
    </row>
    <row r="133" spans="2:6" x14ac:dyDescent="0.35">
      <c r="B133" t="s">
        <v>172</v>
      </c>
      <c r="C133">
        <v>28880195</v>
      </c>
      <c r="D133" t="s">
        <v>356</v>
      </c>
      <c r="E133" t="s">
        <v>359</v>
      </c>
      <c r="F133" s="500">
        <v>26895.52</v>
      </c>
    </row>
    <row r="134" spans="2:6" x14ac:dyDescent="0.35">
      <c r="B134" t="s">
        <v>172</v>
      </c>
      <c r="C134">
        <v>28902616</v>
      </c>
      <c r="D134" t="s">
        <v>356</v>
      </c>
      <c r="E134" t="s">
        <v>359</v>
      </c>
      <c r="F134" s="500">
        <v>26879.75</v>
      </c>
    </row>
    <row r="135" spans="2:6" x14ac:dyDescent="0.35">
      <c r="B135" t="s">
        <v>173</v>
      </c>
      <c r="C135">
        <v>28859458</v>
      </c>
      <c r="D135" t="s">
        <v>356</v>
      </c>
      <c r="E135" t="s">
        <v>358</v>
      </c>
      <c r="F135" s="500">
        <v>449444.15</v>
      </c>
    </row>
    <row r="136" spans="2:6" x14ac:dyDescent="0.35">
      <c r="B136" t="s">
        <v>173</v>
      </c>
      <c r="C136">
        <v>13575653</v>
      </c>
      <c r="D136" t="s">
        <v>356</v>
      </c>
      <c r="E136" t="s">
        <v>357</v>
      </c>
      <c r="F136" s="500">
        <v>209730.99</v>
      </c>
    </row>
    <row r="137" spans="2:6" x14ac:dyDescent="0.35">
      <c r="B137" t="s">
        <v>173</v>
      </c>
      <c r="C137">
        <v>29033259</v>
      </c>
      <c r="D137" t="s">
        <v>356</v>
      </c>
      <c r="E137" t="s">
        <v>358</v>
      </c>
      <c r="F137" s="500">
        <v>192222.69</v>
      </c>
    </row>
    <row r="138" spans="2:6" x14ac:dyDescent="0.35">
      <c r="B138" t="s">
        <v>173</v>
      </c>
      <c r="C138">
        <v>28875137</v>
      </c>
      <c r="D138" t="s">
        <v>356</v>
      </c>
      <c r="E138" t="s">
        <v>358</v>
      </c>
      <c r="F138" s="500">
        <v>166857.76</v>
      </c>
    </row>
    <row r="139" spans="2:6" x14ac:dyDescent="0.35">
      <c r="B139" t="s">
        <v>173</v>
      </c>
      <c r="C139">
        <v>13591064</v>
      </c>
      <c r="D139" t="s">
        <v>356</v>
      </c>
      <c r="E139" t="s">
        <v>357</v>
      </c>
      <c r="F139" s="500">
        <v>137822.63</v>
      </c>
    </row>
    <row r="140" spans="2:6" x14ac:dyDescent="0.35">
      <c r="B140" t="s">
        <v>173</v>
      </c>
      <c r="C140">
        <v>28839418</v>
      </c>
      <c r="D140" t="s">
        <v>356</v>
      </c>
      <c r="E140" t="s">
        <v>358</v>
      </c>
      <c r="F140" s="500">
        <v>118384.74</v>
      </c>
    </row>
    <row r="141" spans="2:6" x14ac:dyDescent="0.35">
      <c r="B141" t="s">
        <v>173</v>
      </c>
      <c r="C141">
        <v>13589324</v>
      </c>
      <c r="D141" t="s">
        <v>356</v>
      </c>
      <c r="E141" t="s">
        <v>357</v>
      </c>
      <c r="F141" s="500">
        <v>112179.97</v>
      </c>
    </row>
    <row r="142" spans="2:6" x14ac:dyDescent="0.35">
      <c r="B142" t="s">
        <v>173</v>
      </c>
      <c r="C142">
        <v>28851848</v>
      </c>
      <c r="D142" t="s">
        <v>356</v>
      </c>
      <c r="E142" t="s">
        <v>358</v>
      </c>
      <c r="F142" s="500">
        <v>90120.37</v>
      </c>
    </row>
    <row r="143" spans="2:6" x14ac:dyDescent="0.35">
      <c r="B143" t="s">
        <v>173</v>
      </c>
      <c r="C143">
        <v>28837693</v>
      </c>
      <c r="D143" t="s">
        <v>356</v>
      </c>
      <c r="E143" t="s">
        <v>358</v>
      </c>
      <c r="F143" s="500">
        <v>82614.22</v>
      </c>
    </row>
    <row r="144" spans="2:6" x14ac:dyDescent="0.35">
      <c r="B144" t="s">
        <v>173</v>
      </c>
      <c r="C144">
        <v>13578386</v>
      </c>
      <c r="D144" t="s">
        <v>356</v>
      </c>
      <c r="E144" t="s">
        <v>357</v>
      </c>
      <c r="F144" s="500">
        <v>77998.559999999998</v>
      </c>
    </row>
    <row r="145" spans="2:6" x14ac:dyDescent="0.35">
      <c r="B145" t="s">
        <v>173</v>
      </c>
      <c r="C145">
        <v>28870874</v>
      </c>
      <c r="D145" t="s">
        <v>356</v>
      </c>
      <c r="E145" t="s">
        <v>359</v>
      </c>
      <c r="F145" s="500">
        <v>71420.83</v>
      </c>
    </row>
    <row r="146" spans="2:6" x14ac:dyDescent="0.35">
      <c r="B146" t="s">
        <v>173</v>
      </c>
      <c r="C146">
        <v>13585337</v>
      </c>
      <c r="D146" t="s">
        <v>356</v>
      </c>
      <c r="E146" t="s">
        <v>357</v>
      </c>
      <c r="F146" s="500">
        <v>59918.43</v>
      </c>
    </row>
    <row r="147" spans="2:6" x14ac:dyDescent="0.35">
      <c r="B147" t="s">
        <v>173</v>
      </c>
      <c r="C147">
        <v>28874350</v>
      </c>
      <c r="D147" t="s">
        <v>356</v>
      </c>
      <c r="E147" t="s">
        <v>358</v>
      </c>
      <c r="F147" s="500">
        <v>56169.18</v>
      </c>
    </row>
    <row r="148" spans="2:6" x14ac:dyDescent="0.35">
      <c r="B148" t="s">
        <v>173</v>
      </c>
      <c r="C148">
        <v>28855962</v>
      </c>
      <c r="D148" t="s">
        <v>356</v>
      </c>
      <c r="E148" t="s">
        <v>358</v>
      </c>
      <c r="F148" s="500">
        <v>54599.33</v>
      </c>
    </row>
    <row r="149" spans="2:6" x14ac:dyDescent="0.35">
      <c r="B149" t="s">
        <v>173</v>
      </c>
      <c r="C149">
        <v>28878482</v>
      </c>
      <c r="D149" t="s">
        <v>356</v>
      </c>
      <c r="E149" t="s">
        <v>358</v>
      </c>
      <c r="F149" s="500">
        <v>47640.82</v>
      </c>
    </row>
    <row r="150" spans="2:6" x14ac:dyDescent="0.35">
      <c r="B150" t="s">
        <v>173</v>
      </c>
      <c r="C150">
        <v>28853797</v>
      </c>
      <c r="D150" t="s">
        <v>356</v>
      </c>
      <c r="E150" t="s">
        <v>358</v>
      </c>
      <c r="F150" s="500">
        <v>45059.25</v>
      </c>
    </row>
    <row r="151" spans="2:6" x14ac:dyDescent="0.35">
      <c r="B151" t="s">
        <v>173</v>
      </c>
      <c r="C151">
        <v>28857772</v>
      </c>
      <c r="D151" t="s">
        <v>356</v>
      </c>
      <c r="E151" t="s">
        <v>359</v>
      </c>
      <c r="F151" s="500">
        <v>43083.4</v>
      </c>
    </row>
    <row r="152" spans="2:6" x14ac:dyDescent="0.35">
      <c r="B152" t="s">
        <v>173</v>
      </c>
      <c r="C152">
        <v>13577968</v>
      </c>
      <c r="D152" t="s">
        <v>356</v>
      </c>
      <c r="E152" t="s">
        <v>357</v>
      </c>
      <c r="F152" s="500">
        <v>42574.94</v>
      </c>
    </row>
    <row r="153" spans="2:6" x14ac:dyDescent="0.35">
      <c r="B153" t="s">
        <v>173</v>
      </c>
      <c r="C153">
        <v>13588575</v>
      </c>
      <c r="D153" t="s">
        <v>364</v>
      </c>
      <c r="E153" t="s">
        <v>357</v>
      </c>
      <c r="F153" s="500">
        <v>39379.49</v>
      </c>
    </row>
    <row r="154" spans="2:6" x14ac:dyDescent="0.35">
      <c r="B154" t="s">
        <v>173</v>
      </c>
      <c r="C154">
        <v>28854110</v>
      </c>
      <c r="D154" t="s">
        <v>356</v>
      </c>
      <c r="E154" t="s">
        <v>358</v>
      </c>
      <c r="F154" s="500">
        <v>37060.1</v>
      </c>
    </row>
    <row r="155" spans="2:6" x14ac:dyDescent="0.35">
      <c r="B155" t="s">
        <v>173</v>
      </c>
      <c r="C155">
        <v>13593002</v>
      </c>
      <c r="D155" t="s">
        <v>356</v>
      </c>
      <c r="E155" t="s">
        <v>357</v>
      </c>
      <c r="F155" s="500">
        <v>31595.11</v>
      </c>
    </row>
    <row r="156" spans="2:6" x14ac:dyDescent="0.35">
      <c r="B156" t="s">
        <v>173</v>
      </c>
      <c r="C156">
        <v>28864070</v>
      </c>
      <c r="D156" t="s">
        <v>356</v>
      </c>
      <c r="E156" t="s">
        <v>359</v>
      </c>
      <c r="F156" s="500">
        <v>30783.91</v>
      </c>
    </row>
    <row r="157" spans="2:6" x14ac:dyDescent="0.35">
      <c r="B157" t="s">
        <v>173</v>
      </c>
      <c r="C157">
        <v>13588163</v>
      </c>
      <c r="D157" t="s">
        <v>356</v>
      </c>
      <c r="E157" t="s">
        <v>357</v>
      </c>
      <c r="F157" s="500">
        <v>30077.46</v>
      </c>
    </row>
    <row r="158" spans="2:6" x14ac:dyDescent="0.35">
      <c r="B158" t="s">
        <v>173</v>
      </c>
      <c r="C158">
        <v>13582189</v>
      </c>
      <c r="D158" t="s">
        <v>356</v>
      </c>
      <c r="E158" t="s">
        <v>357</v>
      </c>
      <c r="F158" s="500">
        <v>27616.76</v>
      </c>
    </row>
    <row r="159" spans="2:6" x14ac:dyDescent="0.35">
      <c r="B159" t="s">
        <v>173</v>
      </c>
      <c r="C159">
        <v>28905255</v>
      </c>
      <c r="D159" t="s">
        <v>356</v>
      </c>
      <c r="E159" t="s">
        <v>359</v>
      </c>
      <c r="F159" s="500">
        <v>26353.54</v>
      </c>
    </row>
    <row r="160" spans="2:6" x14ac:dyDescent="0.35">
      <c r="B160" t="s">
        <v>174</v>
      </c>
      <c r="C160">
        <v>13596686</v>
      </c>
      <c r="D160" t="s">
        <v>356</v>
      </c>
      <c r="E160" t="s">
        <v>357</v>
      </c>
      <c r="F160" s="500">
        <v>400902.16</v>
      </c>
    </row>
    <row r="161" spans="2:6" x14ac:dyDescent="0.35">
      <c r="B161" t="s">
        <v>174</v>
      </c>
      <c r="C161">
        <v>27648041</v>
      </c>
      <c r="D161" t="s">
        <v>365</v>
      </c>
      <c r="E161" t="s">
        <v>358</v>
      </c>
      <c r="F161" s="500">
        <v>97056.38</v>
      </c>
    </row>
    <row r="162" spans="2:6" x14ac:dyDescent="0.35">
      <c r="B162" t="s">
        <v>174</v>
      </c>
      <c r="C162">
        <v>13583537</v>
      </c>
      <c r="D162" t="s">
        <v>356</v>
      </c>
      <c r="E162" t="s">
        <v>357</v>
      </c>
      <c r="F162" s="500">
        <v>64328.17</v>
      </c>
    </row>
    <row r="163" spans="2:6" x14ac:dyDescent="0.35">
      <c r="B163" t="s">
        <v>174</v>
      </c>
      <c r="C163">
        <v>11605866</v>
      </c>
      <c r="D163" t="s">
        <v>365</v>
      </c>
      <c r="E163" t="s">
        <v>359</v>
      </c>
      <c r="F163" s="500">
        <v>55322.93</v>
      </c>
    </row>
    <row r="164" spans="2:6" x14ac:dyDescent="0.35">
      <c r="B164" t="s">
        <v>174</v>
      </c>
      <c r="C164">
        <v>13591161</v>
      </c>
      <c r="D164" t="s">
        <v>356</v>
      </c>
      <c r="E164" t="s">
        <v>357</v>
      </c>
      <c r="F164" s="500">
        <v>52889.279999999999</v>
      </c>
    </row>
    <row r="165" spans="2:6" x14ac:dyDescent="0.35">
      <c r="B165" t="s">
        <v>174</v>
      </c>
      <c r="C165">
        <v>13590433</v>
      </c>
      <c r="D165" t="s">
        <v>356</v>
      </c>
      <c r="E165" t="s">
        <v>357</v>
      </c>
      <c r="F165" s="500">
        <v>47738.96</v>
      </c>
    </row>
    <row r="166" spans="2:6" x14ac:dyDescent="0.35">
      <c r="B166" t="s">
        <v>174</v>
      </c>
      <c r="C166">
        <v>13592493</v>
      </c>
      <c r="D166" t="s">
        <v>356</v>
      </c>
      <c r="E166" t="s">
        <v>357</v>
      </c>
      <c r="F166" s="500">
        <v>47668.21</v>
      </c>
    </row>
    <row r="167" spans="2:6" x14ac:dyDescent="0.35">
      <c r="B167" t="s">
        <v>174</v>
      </c>
      <c r="C167">
        <v>13589802</v>
      </c>
      <c r="D167" t="s">
        <v>356</v>
      </c>
      <c r="E167" t="s">
        <v>358</v>
      </c>
      <c r="F167" s="500">
        <v>35709.949999999997</v>
      </c>
    </row>
    <row r="168" spans="2:6" x14ac:dyDescent="0.35">
      <c r="B168" t="s">
        <v>174</v>
      </c>
      <c r="C168">
        <v>13592536</v>
      </c>
      <c r="D168" t="s">
        <v>356</v>
      </c>
      <c r="E168" t="s">
        <v>358</v>
      </c>
      <c r="F168" s="500">
        <v>33418.94</v>
      </c>
    </row>
    <row r="169" spans="2:6" x14ac:dyDescent="0.35">
      <c r="B169" t="s">
        <v>174</v>
      </c>
      <c r="C169">
        <v>13580300</v>
      </c>
      <c r="D169" t="s">
        <v>365</v>
      </c>
      <c r="E169" t="s">
        <v>357</v>
      </c>
      <c r="F169" s="500">
        <v>32484.87</v>
      </c>
    </row>
    <row r="170" spans="2:6" x14ac:dyDescent="0.35">
      <c r="B170" t="s">
        <v>174</v>
      </c>
      <c r="C170">
        <v>13578843</v>
      </c>
      <c r="D170" t="s">
        <v>356</v>
      </c>
      <c r="E170" t="s">
        <v>359</v>
      </c>
      <c r="F170" s="500">
        <v>29212.03</v>
      </c>
    </row>
    <row r="171" spans="2:6" x14ac:dyDescent="0.35">
      <c r="B171" t="s">
        <v>175</v>
      </c>
      <c r="C171">
        <v>13919704</v>
      </c>
      <c r="D171" t="s">
        <v>356</v>
      </c>
      <c r="E171" t="s">
        <v>357</v>
      </c>
      <c r="F171" s="500">
        <v>220165.18</v>
      </c>
    </row>
    <row r="172" spans="2:6" x14ac:dyDescent="0.35">
      <c r="B172" t="s">
        <v>175</v>
      </c>
      <c r="C172">
        <v>13603161</v>
      </c>
      <c r="D172" t="s">
        <v>356</v>
      </c>
      <c r="E172" t="s">
        <v>357</v>
      </c>
      <c r="F172" s="500">
        <v>164009.9</v>
      </c>
    </row>
    <row r="173" spans="2:6" x14ac:dyDescent="0.35">
      <c r="B173" t="s">
        <v>175</v>
      </c>
      <c r="C173">
        <v>13594717</v>
      </c>
      <c r="D173" t="s">
        <v>356</v>
      </c>
      <c r="E173" t="s">
        <v>358</v>
      </c>
      <c r="F173" s="500">
        <v>141118.96</v>
      </c>
    </row>
    <row r="174" spans="2:6" x14ac:dyDescent="0.35">
      <c r="B174" t="s">
        <v>175</v>
      </c>
      <c r="C174">
        <v>13601782</v>
      </c>
      <c r="D174" t="s">
        <v>364</v>
      </c>
      <c r="E174" t="s">
        <v>358</v>
      </c>
      <c r="F174" s="500">
        <v>92327.19</v>
      </c>
    </row>
    <row r="175" spans="2:6" x14ac:dyDescent="0.35">
      <c r="B175" t="s">
        <v>175</v>
      </c>
      <c r="C175">
        <v>13594673</v>
      </c>
      <c r="D175" t="s">
        <v>356</v>
      </c>
      <c r="E175" t="s">
        <v>359</v>
      </c>
      <c r="F175" s="500">
        <v>51348.18</v>
      </c>
    </row>
    <row r="176" spans="2:6" x14ac:dyDescent="0.35">
      <c r="B176" t="s">
        <v>175</v>
      </c>
      <c r="C176">
        <v>27225191</v>
      </c>
      <c r="D176" t="s">
        <v>356</v>
      </c>
      <c r="E176" t="s">
        <v>357</v>
      </c>
      <c r="F176" s="500">
        <v>48199.24</v>
      </c>
    </row>
    <row r="177" spans="2:6" x14ac:dyDescent="0.35">
      <c r="B177" t="s">
        <v>175</v>
      </c>
      <c r="C177">
        <v>13973228</v>
      </c>
      <c r="D177" t="s">
        <v>356</v>
      </c>
      <c r="E177" t="s">
        <v>358</v>
      </c>
      <c r="F177" s="500">
        <v>39998.120000000003</v>
      </c>
    </row>
    <row r="178" spans="2:6" x14ac:dyDescent="0.35">
      <c r="B178" t="s">
        <v>175</v>
      </c>
      <c r="C178">
        <v>26648784</v>
      </c>
      <c r="D178" t="s">
        <v>415</v>
      </c>
      <c r="E178" t="s">
        <v>357</v>
      </c>
      <c r="F178" s="500">
        <v>26498.799999999999</v>
      </c>
    </row>
    <row r="179" spans="2:6" x14ac:dyDescent="0.35">
      <c r="B179" t="s">
        <v>183</v>
      </c>
      <c r="C179">
        <v>13599805</v>
      </c>
      <c r="D179" t="s">
        <v>356</v>
      </c>
      <c r="E179" t="s">
        <v>358</v>
      </c>
      <c r="F179" s="500">
        <v>752130.52</v>
      </c>
    </row>
    <row r="180" spans="2:6" x14ac:dyDescent="0.35">
      <c r="B180" t="s">
        <v>183</v>
      </c>
      <c r="C180">
        <v>13598360</v>
      </c>
      <c r="D180" t="s">
        <v>356</v>
      </c>
      <c r="E180" t="s">
        <v>357</v>
      </c>
      <c r="F180" s="500">
        <v>520499.9</v>
      </c>
    </row>
    <row r="181" spans="2:6" x14ac:dyDescent="0.35">
      <c r="B181" t="s">
        <v>183</v>
      </c>
      <c r="C181">
        <v>13602238</v>
      </c>
      <c r="D181" t="s">
        <v>356</v>
      </c>
      <c r="E181" t="s">
        <v>358</v>
      </c>
      <c r="F181" s="500">
        <v>191305.74</v>
      </c>
    </row>
    <row r="182" spans="2:6" x14ac:dyDescent="0.35">
      <c r="B182" t="s">
        <v>183</v>
      </c>
      <c r="C182">
        <v>26351290</v>
      </c>
      <c r="D182" t="s">
        <v>356</v>
      </c>
      <c r="E182" t="s">
        <v>358</v>
      </c>
      <c r="F182" s="500">
        <v>123000.69</v>
      </c>
    </row>
    <row r="183" spans="2:6" x14ac:dyDescent="0.35">
      <c r="B183" t="s">
        <v>183</v>
      </c>
      <c r="C183">
        <v>20956760</v>
      </c>
      <c r="D183" t="s">
        <v>356</v>
      </c>
      <c r="E183" t="s">
        <v>358</v>
      </c>
      <c r="F183" s="500">
        <v>115500.11</v>
      </c>
    </row>
    <row r="184" spans="2:6" x14ac:dyDescent="0.35">
      <c r="B184" t="s">
        <v>183</v>
      </c>
      <c r="C184">
        <v>28134507</v>
      </c>
      <c r="D184" t="s">
        <v>356</v>
      </c>
      <c r="E184" t="s">
        <v>357</v>
      </c>
      <c r="F184" s="500">
        <v>74578.850000000006</v>
      </c>
    </row>
    <row r="185" spans="2:6" x14ac:dyDescent="0.35">
      <c r="B185" t="s">
        <v>183</v>
      </c>
      <c r="C185">
        <v>13607097</v>
      </c>
      <c r="D185" t="s">
        <v>356</v>
      </c>
      <c r="E185" t="s">
        <v>357</v>
      </c>
      <c r="F185" s="500">
        <v>60360.07</v>
      </c>
    </row>
    <row r="186" spans="2:6" x14ac:dyDescent="0.35">
      <c r="B186" t="s">
        <v>183</v>
      </c>
      <c r="C186">
        <v>13609828</v>
      </c>
      <c r="D186" t="s">
        <v>356</v>
      </c>
      <c r="E186" t="s">
        <v>359</v>
      </c>
      <c r="F186" s="500">
        <v>57943.95</v>
      </c>
    </row>
    <row r="187" spans="2:6" x14ac:dyDescent="0.35">
      <c r="B187" t="s">
        <v>183</v>
      </c>
      <c r="C187">
        <v>14657936</v>
      </c>
      <c r="D187" t="s">
        <v>356</v>
      </c>
      <c r="E187" t="s">
        <v>357</v>
      </c>
      <c r="F187" s="500">
        <v>52529.17</v>
      </c>
    </row>
    <row r="188" spans="2:6" x14ac:dyDescent="0.35">
      <c r="B188" t="s">
        <v>183</v>
      </c>
      <c r="C188">
        <v>13606602</v>
      </c>
      <c r="D188" t="s">
        <v>356</v>
      </c>
      <c r="E188" t="s">
        <v>359</v>
      </c>
      <c r="F188" s="500">
        <v>51813.36</v>
      </c>
    </row>
    <row r="189" spans="2:6" x14ac:dyDescent="0.35">
      <c r="B189" t="s">
        <v>183</v>
      </c>
      <c r="C189">
        <v>14318964</v>
      </c>
      <c r="D189" t="s">
        <v>356</v>
      </c>
      <c r="E189" t="s">
        <v>357</v>
      </c>
      <c r="F189" s="500">
        <v>47635.9</v>
      </c>
    </row>
    <row r="190" spans="2:6" x14ac:dyDescent="0.35">
      <c r="B190" t="s">
        <v>183</v>
      </c>
      <c r="C190">
        <v>13597685</v>
      </c>
      <c r="D190" t="s">
        <v>356</v>
      </c>
      <c r="E190" t="s">
        <v>357</v>
      </c>
      <c r="F190" s="500">
        <v>41944.04</v>
      </c>
    </row>
    <row r="191" spans="2:6" x14ac:dyDescent="0.35">
      <c r="B191" t="s">
        <v>183</v>
      </c>
      <c r="C191">
        <v>13610273</v>
      </c>
      <c r="D191" t="s">
        <v>356</v>
      </c>
      <c r="E191" t="s">
        <v>357</v>
      </c>
      <c r="F191" s="500">
        <v>41701.78</v>
      </c>
    </row>
    <row r="192" spans="2:6" x14ac:dyDescent="0.35">
      <c r="B192" t="s">
        <v>183</v>
      </c>
      <c r="C192">
        <v>13610358</v>
      </c>
      <c r="D192" t="s">
        <v>356</v>
      </c>
      <c r="E192" t="s">
        <v>358</v>
      </c>
      <c r="F192" s="500">
        <v>37855.800000000003</v>
      </c>
    </row>
    <row r="193" spans="2:6" x14ac:dyDescent="0.35">
      <c r="B193" t="s">
        <v>183</v>
      </c>
      <c r="C193">
        <v>27042349</v>
      </c>
      <c r="D193" t="s">
        <v>365</v>
      </c>
      <c r="E193" t="s">
        <v>358</v>
      </c>
      <c r="F193" s="500">
        <v>35187.4</v>
      </c>
    </row>
    <row r="194" spans="2:6" x14ac:dyDescent="0.35">
      <c r="B194" t="s">
        <v>183</v>
      </c>
      <c r="C194">
        <v>13609182</v>
      </c>
      <c r="D194" t="s">
        <v>356</v>
      </c>
      <c r="E194" t="s">
        <v>358</v>
      </c>
      <c r="F194" s="500">
        <v>32741.22</v>
      </c>
    </row>
    <row r="195" spans="2:6" x14ac:dyDescent="0.35">
      <c r="B195" t="s">
        <v>183</v>
      </c>
      <c r="C195">
        <v>28109978</v>
      </c>
      <c r="D195" t="s">
        <v>356</v>
      </c>
      <c r="E195" t="s">
        <v>359</v>
      </c>
      <c r="F195" s="500">
        <v>32320.880000000001</v>
      </c>
    </row>
    <row r="196" spans="2:6" x14ac:dyDescent="0.35">
      <c r="B196" t="s">
        <v>183</v>
      </c>
      <c r="C196">
        <v>13602079</v>
      </c>
      <c r="D196" t="s">
        <v>356</v>
      </c>
      <c r="E196" t="s">
        <v>358</v>
      </c>
      <c r="F196" s="500">
        <v>32176.29</v>
      </c>
    </row>
    <row r="197" spans="2:6" x14ac:dyDescent="0.35">
      <c r="B197" t="s">
        <v>183</v>
      </c>
      <c r="C197">
        <v>13608355</v>
      </c>
      <c r="D197" t="s">
        <v>356</v>
      </c>
      <c r="E197" t="s">
        <v>358</v>
      </c>
      <c r="F197" s="500">
        <v>32037.66</v>
      </c>
    </row>
    <row r="198" spans="2:6" x14ac:dyDescent="0.35">
      <c r="B198" t="s">
        <v>183</v>
      </c>
      <c r="C198">
        <v>13610800</v>
      </c>
      <c r="D198" t="s">
        <v>356</v>
      </c>
      <c r="E198" t="s">
        <v>357</v>
      </c>
      <c r="F198" s="500">
        <v>31489.52</v>
      </c>
    </row>
    <row r="199" spans="2:6" x14ac:dyDescent="0.35">
      <c r="B199" t="s">
        <v>183</v>
      </c>
      <c r="C199">
        <v>13594941</v>
      </c>
      <c r="D199" t="s">
        <v>356</v>
      </c>
      <c r="E199" t="s">
        <v>357</v>
      </c>
      <c r="F199" s="500">
        <v>31456.86</v>
      </c>
    </row>
    <row r="200" spans="2:6" x14ac:dyDescent="0.35">
      <c r="B200" t="s">
        <v>183</v>
      </c>
      <c r="C200">
        <v>13607104</v>
      </c>
      <c r="D200" t="s">
        <v>356</v>
      </c>
      <c r="E200" t="s">
        <v>359</v>
      </c>
      <c r="F200" s="500">
        <v>29905.94</v>
      </c>
    </row>
    <row r="201" spans="2:6" x14ac:dyDescent="0.35">
      <c r="B201" t="s">
        <v>183</v>
      </c>
      <c r="C201">
        <v>13601395</v>
      </c>
      <c r="D201" t="s">
        <v>356</v>
      </c>
      <c r="E201" t="s">
        <v>359</v>
      </c>
      <c r="F201" s="500">
        <v>26576.47</v>
      </c>
    </row>
    <row r="202" spans="2:6" x14ac:dyDescent="0.35">
      <c r="B202" t="s">
        <v>183</v>
      </c>
      <c r="C202">
        <v>13602830</v>
      </c>
      <c r="D202" t="s">
        <v>356</v>
      </c>
      <c r="E202" t="s">
        <v>357</v>
      </c>
      <c r="F202" s="500">
        <v>26274.68</v>
      </c>
    </row>
    <row r="203" spans="2:6" x14ac:dyDescent="0.35">
      <c r="B203" t="s">
        <v>183</v>
      </c>
      <c r="C203">
        <v>13607967</v>
      </c>
      <c r="D203" t="s">
        <v>356</v>
      </c>
      <c r="E203" t="s">
        <v>359</v>
      </c>
      <c r="F203" s="500">
        <v>26173.99</v>
      </c>
    </row>
    <row r="204" spans="2:6" x14ac:dyDescent="0.35">
      <c r="B204" t="s">
        <v>183</v>
      </c>
      <c r="C204">
        <v>13603184</v>
      </c>
      <c r="D204" t="s">
        <v>365</v>
      </c>
      <c r="E204" t="s">
        <v>357</v>
      </c>
      <c r="F204" s="500">
        <v>25400.25</v>
      </c>
    </row>
    <row r="205" spans="2:6" x14ac:dyDescent="0.35">
      <c r="B205" t="s">
        <v>176</v>
      </c>
      <c r="C205">
        <v>13617410</v>
      </c>
      <c r="D205" t="s">
        <v>356</v>
      </c>
      <c r="E205" t="s">
        <v>358</v>
      </c>
      <c r="F205" s="500">
        <v>527015.11</v>
      </c>
    </row>
    <row r="206" spans="2:6" x14ac:dyDescent="0.35">
      <c r="B206" t="s">
        <v>176</v>
      </c>
      <c r="C206">
        <v>13620341</v>
      </c>
      <c r="D206" t="s">
        <v>356</v>
      </c>
      <c r="E206" t="s">
        <v>359</v>
      </c>
      <c r="F206" s="500">
        <v>411508.11</v>
      </c>
    </row>
    <row r="207" spans="2:6" x14ac:dyDescent="0.35">
      <c r="B207" t="s">
        <v>176</v>
      </c>
      <c r="C207">
        <v>13615725</v>
      </c>
      <c r="D207" t="s">
        <v>356</v>
      </c>
      <c r="E207" t="s">
        <v>357</v>
      </c>
      <c r="F207" s="500">
        <v>325802.57</v>
      </c>
    </row>
    <row r="208" spans="2:6" x14ac:dyDescent="0.35">
      <c r="B208" t="s">
        <v>176</v>
      </c>
      <c r="C208">
        <v>13616521</v>
      </c>
      <c r="D208" t="s">
        <v>356</v>
      </c>
      <c r="E208" t="s">
        <v>357</v>
      </c>
      <c r="F208" s="500">
        <v>232939.38</v>
      </c>
    </row>
    <row r="209" spans="2:6" x14ac:dyDescent="0.35">
      <c r="B209" t="s">
        <v>176</v>
      </c>
      <c r="C209">
        <v>13619583</v>
      </c>
      <c r="D209" t="s">
        <v>356</v>
      </c>
      <c r="E209" t="s">
        <v>359</v>
      </c>
      <c r="F209" s="500">
        <v>163529.17000000001</v>
      </c>
    </row>
    <row r="210" spans="2:6" x14ac:dyDescent="0.35">
      <c r="B210" t="s">
        <v>176</v>
      </c>
      <c r="C210">
        <v>13619876</v>
      </c>
      <c r="D210" t="s">
        <v>356</v>
      </c>
      <c r="E210" t="s">
        <v>358</v>
      </c>
      <c r="F210" s="500">
        <v>158658.18</v>
      </c>
    </row>
    <row r="211" spans="2:6" x14ac:dyDescent="0.35">
      <c r="B211" t="s">
        <v>176</v>
      </c>
      <c r="C211">
        <v>13618063</v>
      </c>
      <c r="D211" t="s">
        <v>356</v>
      </c>
      <c r="E211" t="s">
        <v>357</v>
      </c>
      <c r="F211" s="500">
        <v>81071.210000000006</v>
      </c>
    </row>
    <row r="212" spans="2:6" x14ac:dyDescent="0.35">
      <c r="B212" t="s">
        <v>176</v>
      </c>
      <c r="C212">
        <v>13614781</v>
      </c>
      <c r="D212" t="s">
        <v>356</v>
      </c>
      <c r="E212" t="s">
        <v>357</v>
      </c>
      <c r="F212" s="500">
        <v>73186.33</v>
      </c>
    </row>
    <row r="213" spans="2:6" x14ac:dyDescent="0.35">
      <c r="B213" t="s">
        <v>176</v>
      </c>
      <c r="C213">
        <v>13620685</v>
      </c>
      <c r="D213" t="s">
        <v>356</v>
      </c>
      <c r="E213" t="s">
        <v>358</v>
      </c>
      <c r="F213" s="500">
        <v>70606.990000000005</v>
      </c>
    </row>
    <row r="214" spans="2:6" x14ac:dyDescent="0.35">
      <c r="B214" t="s">
        <v>176</v>
      </c>
      <c r="C214">
        <v>13608831</v>
      </c>
      <c r="D214" t="s">
        <v>356</v>
      </c>
      <c r="E214" t="s">
        <v>358</v>
      </c>
      <c r="F214" s="500">
        <v>65764.56</v>
      </c>
    </row>
    <row r="215" spans="2:6" x14ac:dyDescent="0.35">
      <c r="B215" t="s">
        <v>176</v>
      </c>
      <c r="C215">
        <v>13617071</v>
      </c>
      <c r="D215" t="s">
        <v>356</v>
      </c>
      <c r="E215" t="s">
        <v>357</v>
      </c>
      <c r="F215" s="500">
        <v>46094.45</v>
      </c>
    </row>
    <row r="216" spans="2:6" x14ac:dyDescent="0.35">
      <c r="B216" t="s">
        <v>176</v>
      </c>
      <c r="C216">
        <v>13620141</v>
      </c>
      <c r="D216" t="s">
        <v>356</v>
      </c>
      <c r="E216" t="s">
        <v>358</v>
      </c>
      <c r="F216" s="500">
        <v>42885.21</v>
      </c>
    </row>
    <row r="217" spans="2:6" x14ac:dyDescent="0.35">
      <c r="B217" t="s">
        <v>176</v>
      </c>
      <c r="C217">
        <v>20931112</v>
      </c>
      <c r="D217" t="s">
        <v>356</v>
      </c>
      <c r="E217" t="s">
        <v>358</v>
      </c>
      <c r="F217" s="500">
        <v>39525.910000000003</v>
      </c>
    </row>
    <row r="218" spans="2:6" x14ac:dyDescent="0.35">
      <c r="B218" t="s">
        <v>176</v>
      </c>
      <c r="C218">
        <v>13607436</v>
      </c>
      <c r="D218" t="s">
        <v>356</v>
      </c>
      <c r="E218" t="s">
        <v>357</v>
      </c>
      <c r="F218" s="500">
        <v>32379.17</v>
      </c>
    </row>
    <row r="219" spans="2:6" x14ac:dyDescent="0.35">
      <c r="B219" t="s">
        <v>176</v>
      </c>
      <c r="C219">
        <v>13617900</v>
      </c>
      <c r="D219" t="s">
        <v>356</v>
      </c>
      <c r="E219" t="s">
        <v>357</v>
      </c>
      <c r="F219" s="500">
        <v>30318.080000000002</v>
      </c>
    </row>
    <row r="220" spans="2:6" x14ac:dyDescent="0.35">
      <c r="B220" t="s">
        <v>176</v>
      </c>
      <c r="C220">
        <v>13610630</v>
      </c>
      <c r="D220" t="s">
        <v>356</v>
      </c>
      <c r="E220" t="s">
        <v>358</v>
      </c>
      <c r="F220" s="500">
        <v>28847.360000000001</v>
      </c>
    </row>
    <row r="221" spans="2:6" x14ac:dyDescent="0.35">
      <c r="B221" t="s">
        <v>177</v>
      </c>
      <c r="C221">
        <v>13615924</v>
      </c>
      <c r="D221" t="s">
        <v>356</v>
      </c>
      <c r="E221" t="s">
        <v>358</v>
      </c>
      <c r="F221" s="500">
        <v>355363.28</v>
      </c>
    </row>
    <row r="222" spans="2:6" x14ac:dyDescent="0.35">
      <c r="B222" t="s">
        <v>177</v>
      </c>
      <c r="C222">
        <v>21669676</v>
      </c>
      <c r="D222" t="s">
        <v>356</v>
      </c>
      <c r="E222" t="s">
        <v>359</v>
      </c>
      <c r="F222" s="500">
        <v>157024.99</v>
      </c>
    </row>
    <row r="223" spans="2:6" x14ac:dyDescent="0.35">
      <c r="B223" t="s">
        <v>177</v>
      </c>
      <c r="C223">
        <v>13598417</v>
      </c>
      <c r="D223" t="s">
        <v>356</v>
      </c>
      <c r="E223" t="s">
        <v>357</v>
      </c>
      <c r="F223" s="500">
        <v>124945.98</v>
      </c>
    </row>
    <row r="224" spans="2:6" x14ac:dyDescent="0.35">
      <c r="B224" t="s">
        <v>177</v>
      </c>
      <c r="C224">
        <v>13597105</v>
      </c>
      <c r="D224" t="s">
        <v>356</v>
      </c>
      <c r="E224" t="s">
        <v>359</v>
      </c>
      <c r="F224" s="500">
        <v>111422.37</v>
      </c>
    </row>
    <row r="225" spans="2:6" x14ac:dyDescent="0.35">
      <c r="B225" t="s">
        <v>177</v>
      </c>
      <c r="C225">
        <v>13595261</v>
      </c>
      <c r="D225" t="s">
        <v>356</v>
      </c>
      <c r="E225" t="s">
        <v>358</v>
      </c>
      <c r="F225" s="500">
        <v>92850.57</v>
      </c>
    </row>
    <row r="226" spans="2:6" x14ac:dyDescent="0.35">
      <c r="B226" t="s">
        <v>177</v>
      </c>
      <c r="C226">
        <v>27855751</v>
      </c>
      <c r="D226" t="s">
        <v>356</v>
      </c>
      <c r="E226" t="s">
        <v>358</v>
      </c>
      <c r="F226" s="500">
        <v>91722.27</v>
      </c>
    </row>
    <row r="227" spans="2:6" x14ac:dyDescent="0.35">
      <c r="B227" t="s">
        <v>177</v>
      </c>
      <c r="C227">
        <v>13609741</v>
      </c>
      <c r="D227" t="s">
        <v>356</v>
      </c>
      <c r="E227" t="s">
        <v>358</v>
      </c>
      <c r="F227" s="500">
        <v>66577.240000000005</v>
      </c>
    </row>
    <row r="228" spans="2:6" x14ac:dyDescent="0.35">
      <c r="B228" t="s">
        <v>177</v>
      </c>
      <c r="C228">
        <v>13610622</v>
      </c>
      <c r="D228" t="s">
        <v>356</v>
      </c>
      <c r="E228" t="s">
        <v>357</v>
      </c>
      <c r="F228" s="500">
        <v>53684.53</v>
      </c>
    </row>
    <row r="229" spans="2:6" x14ac:dyDescent="0.35">
      <c r="B229" t="s">
        <v>177</v>
      </c>
      <c r="C229">
        <v>13603528</v>
      </c>
      <c r="D229" t="s">
        <v>415</v>
      </c>
      <c r="E229" t="s">
        <v>358</v>
      </c>
      <c r="F229" s="500">
        <v>47213.98</v>
      </c>
    </row>
    <row r="230" spans="2:6" x14ac:dyDescent="0.35">
      <c r="B230" t="s">
        <v>177</v>
      </c>
      <c r="C230">
        <v>13591097</v>
      </c>
      <c r="D230" t="s">
        <v>356</v>
      </c>
      <c r="E230" t="s">
        <v>358</v>
      </c>
      <c r="F230" s="500">
        <v>46570.13</v>
      </c>
    </row>
    <row r="231" spans="2:6" x14ac:dyDescent="0.35">
      <c r="B231" t="s">
        <v>177</v>
      </c>
      <c r="C231">
        <v>13595424</v>
      </c>
      <c r="D231" t="s">
        <v>356</v>
      </c>
      <c r="E231" t="s">
        <v>357</v>
      </c>
      <c r="F231" s="500">
        <v>46103.56</v>
      </c>
    </row>
    <row r="232" spans="2:6" x14ac:dyDescent="0.35">
      <c r="B232" t="s">
        <v>177</v>
      </c>
      <c r="C232">
        <v>13604881</v>
      </c>
      <c r="D232" t="s">
        <v>356</v>
      </c>
      <c r="E232" t="s">
        <v>358</v>
      </c>
      <c r="F232" s="500">
        <v>45803.43</v>
      </c>
    </row>
    <row r="233" spans="2:6" x14ac:dyDescent="0.35">
      <c r="B233" t="s">
        <v>177</v>
      </c>
      <c r="C233">
        <v>20854530</v>
      </c>
      <c r="D233" t="s">
        <v>356</v>
      </c>
      <c r="E233" t="s">
        <v>357</v>
      </c>
      <c r="F233" s="500">
        <v>38201.17</v>
      </c>
    </row>
    <row r="234" spans="2:6" x14ac:dyDescent="0.35">
      <c r="B234" t="s">
        <v>177</v>
      </c>
      <c r="C234">
        <v>13603528</v>
      </c>
      <c r="D234" t="s">
        <v>356</v>
      </c>
      <c r="E234" t="s">
        <v>358</v>
      </c>
      <c r="F234" s="500">
        <v>36756.03</v>
      </c>
    </row>
    <row r="235" spans="2:6" x14ac:dyDescent="0.35">
      <c r="B235" t="s">
        <v>177</v>
      </c>
      <c r="C235">
        <v>13599302</v>
      </c>
      <c r="D235" t="s">
        <v>356</v>
      </c>
      <c r="E235" t="s">
        <v>357</v>
      </c>
      <c r="F235" s="500">
        <v>34498.800000000003</v>
      </c>
    </row>
    <row r="236" spans="2:6" x14ac:dyDescent="0.35">
      <c r="B236" t="s">
        <v>177</v>
      </c>
      <c r="C236">
        <v>13597694</v>
      </c>
      <c r="D236" t="s">
        <v>356</v>
      </c>
      <c r="E236" t="s">
        <v>357</v>
      </c>
      <c r="F236" s="500">
        <v>34159.160000000003</v>
      </c>
    </row>
    <row r="237" spans="2:6" x14ac:dyDescent="0.35">
      <c r="B237" t="s">
        <v>177</v>
      </c>
      <c r="C237">
        <v>13602872</v>
      </c>
      <c r="D237" t="s">
        <v>365</v>
      </c>
      <c r="E237" t="s">
        <v>357</v>
      </c>
      <c r="F237" s="500">
        <v>33366.51</v>
      </c>
    </row>
    <row r="238" spans="2:6" x14ac:dyDescent="0.35">
      <c r="B238" t="s">
        <v>177</v>
      </c>
      <c r="C238">
        <v>13606727</v>
      </c>
      <c r="D238" t="s">
        <v>365</v>
      </c>
      <c r="E238" t="s">
        <v>358</v>
      </c>
      <c r="F238" s="500">
        <v>33113.11</v>
      </c>
    </row>
    <row r="239" spans="2:6" x14ac:dyDescent="0.35">
      <c r="B239" t="s">
        <v>177</v>
      </c>
      <c r="C239">
        <v>13610625</v>
      </c>
      <c r="D239" t="s">
        <v>356</v>
      </c>
      <c r="E239" t="s">
        <v>357</v>
      </c>
      <c r="F239" s="500">
        <v>26299.29</v>
      </c>
    </row>
    <row r="240" spans="2:6" x14ac:dyDescent="0.35">
      <c r="B240" t="s">
        <v>177</v>
      </c>
      <c r="C240">
        <v>13608786</v>
      </c>
      <c r="D240" t="s">
        <v>356</v>
      </c>
      <c r="E240" t="s">
        <v>357</v>
      </c>
      <c r="F240" s="500">
        <v>26224.12</v>
      </c>
    </row>
    <row r="241" spans="2:6" x14ac:dyDescent="0.35">
      <c r="B241" t="s">
        <v>177</v>
      </c>
      <c r="C241">
        <v>20936813</v>
      </c>
      <c r="D241" t="s">
        <v>356</v>
      </c>
      <c r="E241" t="s">
        <v>358</v>
      </c>
      <c r="F241" s="500">
        <v>25938.17</v>
      </c>
    </row>
    <row r="242" spans="2:6" x14ac:dyDescent="0.35">
      <c r="B242" t="s">
        <v>177</v>
      </c>
      <c r="C242">
        <v>26343807</v>
      </c>
      <c r="D242" t="s">
        <v>356</v>
      </c>
      <c r="E242" t="s">
        <v>358</v>
      </c>
      <c r="F242" s="500">
        <v>25401.24</v>
      </c>
    </row>
    <row r="243" spans="2:6" x14ac:dyDescent="0.35">
      <c r="B243" t="s">
        <v>177</v>
      </c>
      <c r="C243">
        <v>13601101</v>
      </c>
      <c r="D243" t="s">
        <v>356</v>
      </c>
      <c r="E243" t="s">
        <v>358</v>
      </c>
      <c r="F243" s="500">
        <v>25375.55</v>
      </c>
    </row>
    <row r="244" spans="2:6" x14ac:dyDescent="0.35">
      <c r="B244" t="s">
        <v>178</v>
      </c>
      <c r="C244">
        <v>13612822</v>
      </c>
      <c r="D244" t="s">
        <v>356</v>
      </c>
      <c r="E244" t="s">
        <v>357</v>
      </c>
      <c r="F244" s="500">
        <v>416895.73</v>
      </c>
    </row>
    <row r="245" spans="2:6" x14ac:dyDescent="0.35">
      <c r="B245" t="s">
        <v>178</v>
      </c>
      <c r="C245">
        <v>13612274</v>
      </c>
      <c r="D245" t="s">
        <v>356</v>
      </c>
      <c r="E245" t="s">
        <v>358</v>
      </c>
      <c r="F245" s="500">
        <v>381369</v>
      </c>
    </row>
    <row r="246" spans="2:6" x14ac:dyDescent="0.35">
      <c r="B246" t="s">
        <v>178</v>
      </c>
      <c r="C246">
        <v>13605668</v>
      </c>
      <c r="D246" t="s">
        <v>356</v>
      </c>
      <c r="E246" t="s">
        <v>358</v>
      </c>
      <c r="F246" s="500">
        <v>296576.12</v>
      </c>
    </row>
    <row r="247" spans="2:6" x14ac:dyDescent="0.35">
      <c r="B247" t="s">
        <v>178</v>
      </c>
      <c r="C247">
        <v>13597629</v>
      </c>
      <c r="D247" t="s">
        <v>356</v>
      </c>
      <c r="E247" t="s">
        <v>357</v>
      </c>
      <c r="F247" s="500">
        <v>216605.04</v>
      </c>
    </row>
    <row r="248" spans="2:6" x14ac:dyDescent="0.35">
      <c r="B248" t="s">
        <v>178</v>
      </c>
      <c r="C248">
        <v>27877903</v>
      </c>
      <c r="D248" t="s">
        <v>356</v>
      </c>
      <c r="E248" t="s">
        <v>357</v>
      </c>
      <c r="F248" s="500">
        <v>201791.15</v>
      </c>
    </row>
    <row r="249" spans="2:6" x14ac:dyDescent="0.35">
      <c r="B249" t="s">
        <v>178</v>
      </c>
      <c r="C249">
        <v>13601953</v>
      </c>
      <c r="D249" t="s">
        <v>356</v>
      </c>
      <c r="E249" t="s">
        <v>358</v>
      </c>
      <c r="F249" s="500">
        <v>185128.95999999999</v>
      </c>
    </row>
    <row r="250" spans="2:6" x14ac:dyDescent="0.35">
      <c r="B250" t="s">
        <v>178</v>
      </c>
      <c r="C250">
        <v>13599990</v>
      </c>
      <c r="D250" t="s">
        <v>356</v>
      </c>
      <c r="E250" t="s">
        <v>357</v>
      </c>
      <c r="F250" s="500">
        <v>118963.41</v>
      </c>
    </row>
    <row r="251" spans="2:6" x14ac:dyDescent="0.35">
      <c r="B251" t="s">
        <v>178</v>
      </c>
      <c r="C251">
        <v>13596052</v>
      </c>
      <c r="D251" t="s">
        <v>415</v>
      </c>
      <c r="E251" t="s">
        <v>357</v>
      </c>
      <c r="F251" s="500">
        <v>95899.22</v>
      </c>
    </row>
    <row r="252" spans="2:6" x14ac:dyDescent="0.35">
      <c r="B252" t="s">
        <v>178</v>
      </c>
      <c r="C252">
        <v>13604952</v>
      </c>
      <c r="D252" t="s">
        <v>356</v>
      </c>
      <c r="E252" t="s">
        <v>357</v>
      </c>
      <c r="F252" s="500">
        <v>81407.520000000004</v>
      </c>
    </row>
    <row r="253" spans="2:6" x14ac:dyDescent="0.35">
      <c r="B253" t="s">
        <v>178</v>
      </c>
      <c r="C253">
        <v>13603446</v>
      </c>
      <c r="D253" t="s">
        <v>356</v>
      </c>
      <c r="E253" t="s">
        <v>358</v>
      </c>
      <c r="F253" s="500">
        <v>73198.679999999993</v>
      </c>
    </row>
    <row r="254" spans="2:6" x14ac:dyDescent="0.35">
      <c r="B254" t="s">
        <v>178</v>
      </c>
      <c r="C254">
        <v>26341588</v>
      </c>
      <c r="D254" t="s">
        <v>356</v>
      </c>
      <c r="E254" t="s">
        <v>358</v>
      </c>
      <c r="F254" s="500">
        <v>71169.06</v>
      </c>
    </row>
    <row r="255" spans="2:6" x14ac:dyDescent="0.35">
      <c r="B255" t="s">
        <v>178</v>
      </c>
      <c r="C255">
        <v>13612548</v>
      </c>
      <c r="D255" t="s">
        <v>356</v>
      </c>
      <c r="E255" t="s">
        <v>358</v>
      </c>
      <c r="F255" s="500">
        <v>69808.23</v>
      </c>
    </row>
    <row r="256" spans="2:6" x14ac:dyDescent="0.35">
      <c r="B256" t="s">
        <v>178</v>
      </c>
      <c r="C256">
        <v>13609392</v>
      </c>
      <c r="D256" t="s">
        <v>356</v>
      </c>
      <c r="E256" t="s">
        <v>357</v>
      </c>
      <c r="F256" s="500">
        <v>63413.58</v>
      </c>
    </row>
    <row r="257" spans="2:6" x14ac:dyDescent="0.35">
      <c r="B257" t="s">
        <v>178</v>
      </c>
      <c r="C257">
        <v>13606652</v>
      </c>
      <c r="D257" t="s">
        <v>356</v>
      </c>
      <c r="E257" t="s">
        <v>357</v>
      </c>
      <c r="F257" s="500">
        <v>62524.88</v>
      </c>
    </row>
    <row r="258" spans="2:6" x14ac:dyDescent="0.35">
      <c r="B258" t="s">
        <v>178</v>
      </c>
      <c r="C258">
        <v>13594887</v>
      </c>
      <c r="D258" t="s">
        <v>356</v>
      </c>
      <c r="E258" t="s">
        <v>357</v>
      </c>
      <c r="F258" s="500">
        <v>60899.61</v>
      </c>
    </row>
    <row r="259" spans="2:6" x14ac:dyDescent="0.35">
      <c r="B259" t="s">
        <v>178</v>
      </c>
      <c r="C259">
        <v>13609959</v>
      </c>
      <c r="D259" t="s">
        <v>356</v>
      </c>
      <c r="E259" t="s">
        <v>359</v>
      </c>
      <c r="F259" s="500">
        <v>59197.25</v>
      </c>
    </row>
    <row r="260" spans="2:6" x14ac:dyDescent="0.35">
      <c r="B260" t="s">
        <v>178</v>
      </c>
      <c r="C260">
        <v>13606789</v>
      </c>
      <c r="D260" t="s">
        <v>356</v>
      </c>
      <c r="E260" t="s">
        <v>357</v>
      </c>
      <c r="F260" s="500">
        <v>54703.72</v>
      </c>
    </row>
    <row r="261" spans="2:6" x14ac:dyDescent="0.35">
      <c r="B261" t="s">
        <v>178</v>
      </c>
      <c r="C261">
        <v>13607676</v>
      </c>
      <c r="D261" t="s">
        <v>356</v>
      </c>
      <c r="E261" t="s">
        <v>358</v>
      </c>
      <c r="F261" s="500">
        <v>49977.52</v>
      </c>
    </row>
    <row r="262" spans="2:6" x14ac:dyDescent="0.35">
      <c r="B262" t="s">
        <v>178</v>
      </c>
      <c r="C262">
        <v>13599001</v>
      </c>
      <c r="D262" t="s">
        <v>356</v>
      </c>
      <c r="E262" t="s">
        <v>357</v>
      </c>
      <c r="F262" s="500">
        <v>45429.74</v>
      </c>
    </row>
    <row r="263" spans="2:6" x14ac:dyDescent="0.35">
      <c r="B263" t="s">
        <v>178</v>
      </c>
      <c r="C263">
        <v>13607100</v>
      </c>
      <c r="D263" t="s">
        <v>356</v>
      </c>
      <c r="E263" t="s">
        <v>359</v>
      </c>
      <c r="F263" s="500">
        <v>43936.13</v>
      </c>
    </row>
    <row r="264" spans="2:6" x14ac:dyDescent="0.35">
      <c r="B264" t="s">
        <v>178</v>
      </c>
      <c r="C264">
        <v>13609833</v>
      </c>
      <c r="D264" t="s">
        <v>356</v>
      </c>
      <c r="E264" t="s">
        <v>358</v>
      </c>
      <c r="F264" s="500">
        <v>43547.65</v>
      </c>
    </row>
    <row r="265" spans="2:6" x14ac:dyDescent="0.35">
      <c r="B265" t="s">
        <v>178</v>
      </c>
      <c r="C265">
        <v>13612840</v>
      </c>
      <c r="D265" t="s">
        <v>356</v>
      </c>
      <c r="E265" t="s">
        <v>357</v>
      </c>
      <c r="F265" s="500">
        <v>43045.83</v>
      </c>
    </row>
    <row r="266" spans="2:6" x14ac:dyDescent="0.35">
      <c r="B266" t="s">
        <v>178</v>
      </c>
      <c r="C266">
        <v>13596169</v>
      </c>
      <c r="D266" t="s">
        <v>356</v>
      </c>
      <c r="E266" t="s">
        <v>357</v>
      </c>
      <c r="F266" s="500">
        <v>41186.1</v>
      </c>
    </row>
    <row r="267" spans="2:6" x14ac:dyDescent="0.35">
      <c r="B267" t="s">
        <v>178</v>
      </c>
      <c r="C267">
        <v>13600001</v>
      </c>
      <c r="D267" t="s">
        <v>356</v>
      </c>
      <c r="E267" t="s">
        <v>357</v>
      </c>
      <c r="F267" s="500">
        <v>40491.89</v>
      </c>
    </row>
    <row r="268" spans="2:6" x14ac:dyDescent="0.35">
      <c r="B268" t="s">
        <v>178</v>
      </c>
      <c r="C268">
        <v>26803351</v>
      </c>
      <c r="D268" t="s">
        <v>356</v>
      </c>
      <c r="E268" t="s">
        <v>358</v>
      </c>
      <c r="F268" s="500">
        <v>37974.11</v>
      </c>
    </row>
    <row r="269" spans="2:6" x14ac:dyDescent="0.35">
      <c r="B269" t="s">
        <v>178</v>
      </c>
      <c r="C269">
        <v>13601456</v>
      </c>
      <c r="D269" t="s">
        <v>356</v>
      </c>
      <c r="E269" t="s">
        <v>357</v>
      </c>
      <c r="F269" s="500">
        <v>34691.57</v>
      </c>
    </row>
    <row r="270" spans="2:6" x14ac:dyDescent="0.35">
      <c r="B270" t="s">
        <v>178</v>
      </c>
      <c r="C270">
        <v>13597473</v>
      </c>
      <c r="D270" t="s">
        <v>356</v>
      </c>
      <c r="E270" t="s">
        <v>358</v>
      </c>
      <c r="F270" s="500">
        <v>31656.080000000002</v>
      </c>
    </row>
    <row r="271" spans="2:6" x14ac:dyDescent="0.35">
      <c r="B271" t="s">
        <v>178</v>
      </c>
      <c r="C271">
        <v>27145544</v>
      </c>
      <c r="D271" t="s">
        <v>356</v>
      </c>
      <c r="E271" t="s">
        <v>359</v>
      </c>
      <c r="F271" s="500">
        <v>31523.27</v>
      </c>
    </row>
    <row r="272" spans="2:6" x14ac:dyDescent="0.35">
      <c r="B272" t="s">
        <v>178</v>
      </c>
      <c r="C272">
        <v>13604831</v>
      </c>
      <c r="D272" t="s">
        <v>356</v>
      </c>
      <c r="E272" t="s">
        <v>357</v>
      </c>
      <c r="F272" s="500">
        <v>31174.99</v>
      </c>
    </row>
    <row r="273" spans="2:6" x14ac:dyDescent="0.35">
      <c r="B273" t="s">
        <v>178</v>
      </c>
      <c r="C273">
        <v>13608906</v>
      </c>
      <c r="D273" t="s">
        <v>356</v>
      </c>
      <c r="E273" t="s">
        <v>357</v>
      </c>
      <c r="F273" s="500">
        <v>30736.69</v>
      </c>
    </row>
    <row r="274" spans="2:6" x14ac:dyDescent="0.35">
      <c r="B274" t="s">
        <v>178</v>
      </c>
      <c r="C274">
        <v>13602246</v>
      </c>
      <c r="D274" t="s">
        <v>356</v>
      </c>
      <c r="E274" t="s">
        <v>357</v>
      </c>
      <c r="F274" s="500">
        <v>30677.37</v>
      </c>
    </row>
    <row r="275" spans="2:6" x14ac:dyDescent="0.35">
      <c r="B275" t="s">
        <v>178</v>
      </c>
      <c r="C275">
        <v>13602827</v>
      </c>
      <c r="D275" t="s">
        <v>356</v>
      </c>
      <c r="E275" t="s">
        <v>359</v>
      </c>
      <c r="F275" s="500">
        <v>28750.15</v>
      </c>
    </row>
    <row r="276" spans="2:6" x14ac:dyDescent="0.35">
      <c r="B276" t="s">
        <v>178</v>
      </c>
      <c r="C276">
        <v>13609019</v>
      </c>
      <c r="D276" t="s">
        <v>364</v>
      </c>
      <c r="E276" t="s">
        <v>357</v>
      </c>
      <c r="F276" s="500">
        <v>28155.32</v>
      </c>
    </row>
    <row r="277" spans="2:6" x14ac:dyDescent="0.35">
      <c r="B277" t="s">
        <v>178</v>
      </c>
      <c r="C277">
        <v>13604361</v>
      </c>
      <c r="D277" t="s">
        <v>356</v>
      </c>
      <c r="E277" t="s">
        <v>357</v>
      </c>
      <c r="F277" s="500">
        <v>27812.240000000002</v>
      </c>
    </row>
    <row r="278" spans="2:6" x14ac:dyDescent="0.35">
      <c r="B278" t="s">
        <v>179</v>
      </c>
      <c r="C278">
        <v>13595491</v>
      </c>
      <c r="D278" t="s">
        <v>364</v>
      </c>
      <c r="E278" t="s">
        <v>358</v>
      </c>
      <c r="F278" s="500">
        <v>198874.27</v>
      </c>
    </row>
    <row r="279" spans="2:6" x14ac:dyDescent="0.35">
      <c r="B279" t="s">
        <v>179</v>
      </c>
      <c r="C279">
        <v>13589556</v>
      </c>
      <c r="D279" t="s">
        <v>356</v>
      </c>
      <c r="E279" t="s">
        <v>358</v>
      </c>
      <c r="F279" s="500">
        <v>113299.05</v>
      </c>
    </row>
    <row r="280" spans="2:6" x14ac:dyDescent="0.35">
      <c r="B280" t="s">
        <v>179</v>
      </c>
      <c r="C280">
        <v>13597681</v>
      </c>
      <c r="D280" t="s">
        <v>356</v>
      </c>
      <c r="E280" t="s">
        <v>357</v>
      </c>
      <c r="F280" s="500">
        <v>90975.7</v>
      </c>
    </row>
    <row r="281" spans="2:6" x14ac:dyDescent="0.35">
      <c r="B281" t="s">
        <v>179</v>
      </c>
      <c r="C281">
        <v>13608908</v>
      </c>
      <c r="D281" t="s">
        <v>356</v>
      </c>
      <c r="E281" t="s">
        <v>358</v>
      </c>
      <c r="F281" s="500">
        <v>81937.440000000002</v>
      </c>
    </row>
    <row r="282" spans="2:6" x14ac:dyDescent="0.35">
      <c r="B282" t="s">
        <v>179</v>
      </c>
      <c r="C282">
        <v>15584332</v>
      </c>
      <c r="D282" t="s">
        <v>356</v>
      </c>
      <c r="E282" t="s">
        <v>358</v>
      </c>
      <c r="F282" s="500">
        <v>76236.83</v>
      </c>
    </row>
    <row r="283" spans="2:6" x14ac:dyDescent="0.35">
      <c r="B283" t="s">
        <v>179</v>
      </c>
      <c r="C283">
        <v>13607830</v>
      </c>
      <c r="D283" t="s">
        <v>356</v>
      </c>
      <c r="E283" t="s">
        <v>357</v>
      </c>
      <c r="F283" s="500">
        <v>73195.66</v>
      </c>
    </row>
    <row r="284" spans="2:6" x14ac:dyDescent="0.35">
      <c r="B284" t="s">
        <v>179</v>
      </c>
      <c r="C284">
        <v>13597209</v>
      </c>
      <c r="D284" t="s">
        <v>356</v>
      </c>
      <c r="E284" t="s">
        <v>357</v>
      </c>
      <c r="F284" s="500">
        <v>71639.59</v>
      </c>
    </row>
    <row r="285" spans="2:6" x14ac:dyDescent="0.35">
      <c r="B285" t="s">
        <v>179</v>
      </c>
      <c r="C285">
        <v>13609525</v>
      </c>
      <c r="D285" t="s">
        <v>364</v>
      </c>
      <c r="E285" t="s">
        <v>357</v>
      </c>
      <c r="F285" s="500">
        <v>70229.240000000005</v>
      </c>
    </row>
    <row r="286" spans="2:6" x14ac:dyDescent="0.35">
      <c r="B286" t="s">
        <v>179</v>
      </c>
      <c r="C286">
        <v>13611919</v>
      </c>
      <c r="D286" t="s">
        <v>356</v>
      </c>
      <c r="E286" t="s">
        <v>358</v>
      </c>
      <c r="F286" s="500">
        <v>62065.64</v>
      </c>
    </row>
    <row r="287" spans="2:6" x14ac:dyDescent="0.35">
      <c r="B287" t="s">
        <v>179</v>
      </c>
      <c r="C287">
        <v>13606814</v>
      </c>
      <c r="D287" t="s">
        <v>356</v>
      </c>
      <c r="E287" t="s">
        <v>357</v>
      </c>
      <c r="F287" s="500">
        <v>50163.15</v>
      </c>
    </row>
    <row r="288" spans="2:6" x14ac:dyDescent="0.35">
      <c r="B288" t="s">
        <v>179</v>
      </c>
      <c r="C288">
        <v>13606411</v>
      </c>
      <c r="D288" t="s">
        <v>356</v>
      </c>
      <c r="E288" t="s">
        <v>359</v>
      </c>
      <c r="F288" s="500">
        <v>45117.21</v>
      </c>
    </row>
    <row r="289" spans="2:6" x14ac:dyDescent="0.35">
      <c r="B289" t="s">
        <v>179</v>
      </c>
      <c r="C289">
        <v>13600714</v>
      </c>
      <c r="D289" t="s">
        <v>364</v>
      </c>
      <c r="E289" t="s">
        <v>357</v>
      </c>
      <c r="F289" s="500">
        <v>43898.6</v>
      </c>
    </row>
    <row r="290" spans="2:6" x14ac:dyDescent="0.35">
      <c r="B290" t="s">
        <v>179</v>
      </c>
      <c r="C290">
        <v>13605520</v>
      </c>
      <c r="D290" t="s">
        <v>356</v>
      </c>
      <c r="E290" t="s">
        <v>359</v>
      </c>
      <c r="F290" s="500">
        <v>38726.25</v>
      </c>
    </row>
    <row r="291" spans="2:6" x14ac:dyDescent="0.35">
      <c r="B291" t="s">
        <v>179</v>
      </c>
      <c r="C291">
        <v>13605200</v>
      </c>
      <c r="D291" t="s">
        <v>356</v>
      </c>
      <c r="E291" t="s">
        <v>357</v>
      </c>
      <c r="F291" s="500">
        <v>36788</v>
      </c>
    </row>
    <row r="292" spans="2:6" x14ac:dyDescent="0.35">
      <c r="B292" t="s">
        <v>179</v>
      </c>
      <c r="C292">
        <v>27096977</v>
      </c>
      <c r="D292" t="s">
        <v>356</v>
      </c>
      <c r="E292" t="s">
        <v>359</v>
      </c>
      <c r="F292" s="500">
        <v>35856.879999999997</v>
      </c>
    </row>
    <row r="293" spans="2:6" x14ac:dyDescent="0.35">
      <c r="B293" t="s">
        <v>179</v>
      </c>
      <c r="C293">
        <v>27244025</v>
      </c>
      <c r="D293" t="s">
        <v>356</v>
      </c>
      <c r="E293" t="s">
        <v>358</v>
      </c>
      <c r="F293" s="500">
        <v>33848.370000000003</v>
      </c>
    </row>
    <row r="294" spans="2:6" x14ac:dyDescent="0.35">
      <c r="B294" t="s">
        <v>179</v>
      </c>
      <c r="C294">
        <v>13639701</v>
      </c>
      <c r="D294" t="s">
        <v>356</v>
      </c>
      <c r="E294" t="s">
        <v>359</v>
      </c>
      <c r="F294" s="500">
        <v>32897.910000000003</v>
      </c>
    </row>
    <row r="295" spans="2:6" x14ac:dyDescent="0.35">
      <c r="B295" t="s">
        <v>179</v>
      </c>
      <c r="C295">
        <v>27361056</v>
      </c>
      <c r="D295" t="s">
        <v>356</v>
      </c>
      <c r="E295" t="s">
        <v>358</v>
      </c>
      <c r="F295" s="500">
        <v>31713.06</v>
      </c>
    </row>
    <row r="296" spans="2:6" x14ac:dyDescent="0.35">
      <c r="B296" t="s">
        <v>179</v>
      </c>
      <c r="C296">
        <v>13606379</v>
      </c>
      <c r="D296" t="s">
        <v>415</v>
      </c>
      <c r="E296" t="s">
        <v>357</v>
      </c>
      <c r="F296" s="500">
        <v>30758.21</v>
      </c>
    </row>
    <row r="297" spans="2:6" x14ac:dyDescent="0.35">
      <c r="B297" t="s">
        <v>179</v>
      </c>
      <c r="C297">
        <v>13595524</v>
      </c>
      <c r="D297" t="s">
        <v>356</v>
      </c>
      <c r="E297" t="s">
        <v>357</v>
      </c>
      <c r="F297" s="500">
        <v>29181.25</v>
      </c>
    </row>
    <row r="298" spans="2:6" x14ac:dyDescent="0.35">
      <c r="B298" t="s">
        <v>179</v>
      </c>
      <c r="C298">
        <v>13598592</v>
      </c>
      <c r="D298" t="s">
        <v>356</v>
      </c>
      <c r="E298" t="s">
        <v>358</v>
      </c>
      <c r="F298" s="500">
        <v>29134.91</v>
      </c>
    </row>
    <row r="299" spans="2:6" x14ac:dyDescent="0.35">
      <c r="B299" t="s">
        <v>180</v>
      </c>
      <c r="C299">
        <v>13614015</v>
      </c>
      <c r="D299" t="s">
        <v>356</v>
      </c>
      <c r="E299" t="s">
        <v>358</v>
      </c>
      <c r="F299" s="500">
        <v>154659.57</v>
      </c>
    </row>
    <row r="300" spans="2:6" x14ac:dyDescent="0.35">
      <c r="B300" t="s">
        <v>180</v>
      </c>
      <c r="C300">
        <v>13610682</v>
      </c>
      <c r="D300" t="s">
        <v>356</v>
      </c>
      <c r="E300" t="s">
        <v>358</v>
      </c>
      <c r="F300" s="500">
        <v>115699.42</v>
      </c>
    </row>
    <row r="301" spans="2:6" x14ac:dyDescent="0.35">
      <c r="B301" t="s">
        <v>180</v>
      </c>
      <c r="C301">
        <v>13611468</v>
      </c>
      <c r="D301" t="s">
        <v>356</v>
      </c>
      <c r="E301" t="s">
        <v>358</v>
      </c>
      <c r="F301" s="500">
        <v>112918.84</v>
      </c>
    </row>
    <row r="302" spans="2:6" x14ac:dyDescent="0.35">
      <c r="B302" t="s">
        <v>180</v>
      </c>
      <c r="C302">
        <v>13612101</v>
      </c>
      <c r="D302" t="s">
        <v>356</v>
      </c>
      <c r="E302" t="s">
        <v>357</v>
      </c>
      <c r="F302" s="500">
        <v>81378.19</v>
      </c>
    </row>
    <row r="303" spans="2:6" x14ac:dyDescent="0.35">
      <c r="B303" t="s">
        <v>180</v>
      </c>
      <c r="C303">
        <v>13616784</v>
      </c>
      <c r="D303" t="s">
        <v>356</v>
      </c>
      <c r="E303" t="s">
        <v>357</v>
      </c>
      <c r="F303" s="500">
        <v>60039.96</v>
      </c>
    </row>
    <row r="304" spans="2:6" x14ac:dyDescent="0.35">
      <c r="B304" t="s">
        <v>180</v>
      </c>
      <c r="C304">
        <v>15927379</v>
      </c>
      <c r="D304" t="s">
        <v>365</v>
      </c>
      <c r="E304" t="s">
        <v>357</v>
      </c>
      <c r="F304" s="500">
        <v>45196.1</v>
      </c>
    </row>
    <row r="305" spans="2:6" x14ac:dyDescent="0.35">
      <c r="B305" t="s">
        <v>180</v>
      </c>
      <c r="C305">
        <v>13615219</v>
      </c>
      <c r="D305" t="s">
        <v>356</v>
      </c>
      <c r="E305" t="s">
        <v>357</v>
      </c>
      <c r="F305" s="500">
        <v>31646.65</v>
      </c>
    </row>
    <row r="306" spans="2:6" x14ac:dyDescent="0.35">
      <c r="B306" t="s">
        <v>180</v>
      </c>
      <c r="C306">
        <v>13629584</v>
      </c>
      <c r="D306" t="s">
        <v>356</v>
      </c>
      <c r="E306" t="s">
        <v>357</v>
      </c>
      <c r="F306" s="500">
        <v>28840.13</v>
      </c>
    </row>
    <row r="307" spans="2:6" x14ac:dyDescent="0.35">
      <c r="B307" t="s">
        <v>180</v>
      </c>
      <c r="C307">
        <v>13618568</v>
      </c>
      <c r="D307" t="s">
        <v>356</v>
      </c>
      <c r="E307" t="s">
        <v>357</v>
      </c>
      <c r="F307" s="500">
        <v>25260.720000000001</v>
      </c>
    </row>
    <row r="308" spans="2:6" x14ac:dyDescent="0.35">
      <c r="B308" t="s">
        <v>181</v>
      </c>
      <c r="C308">
        <v>13615081</v>
      </c>
      <c r="D308" t="s">
        <v>356</v>
      </c>
      <c r="E308" t="s">
        <v>358</v>
      </c>
      <c r="F308" s="500">
        <v>38705.82</v>
      </c>
    </row>
    <row r="309" spans="2:6" x14ac:dyDescent="0.35">
      <c r="B309" t="s">
        <v>181</v>
      </c>
      <c r="C309">
        <v>13624478</v>
      </c>
      <c r="D309" t="s">
        <v>356</v>
      </c>
      <c r="E309" t="s">
        <v>357</v>
      </c>
      <c r="F309" s="500">
        <v>31830.89</v>
      </c>
    </row>
    <row r="310" spans="2:6" x14ac:dyDescent="0.35">
      <c r="B310" t="s">
        <v>181</v>
      </c>
      <c r="C310">
        <v>13617597</v>
      </c>
      <c r="D310" t="s">
        <v>356</v>
      </c>
      <c r="E310" t="s">
        <v>357</v>
      </c>
      <c r="F310" s="500">
        <v>28415.18</v>
      </c>
    </row>
    <row r="311" spans="2:6" x14ac:dyDescent="0.35">
      <c r="B311" t="s">
        <v>181</v>
      </c>
      <c r="C311">
        <v>13612110</v>
      </c>
      <c r="D311" t="s">
        <v>356</v>
      </c>
      <c r="E311" t="s">
        <v>357</v>
      </c>
      <c r="F311" s="500">
        <v>26866.37</v>
      </c>
    </row>
    <row r="312" spans="2:6" x14ac:dyDescent="0.35">
      <c r="B312" t="s">
        <v>182</v>
      </c>
      <c r="C312">
        <v>13622150</v>
      </c>
      <c r="D312" t="s">
        <v>356</v>
      </c>
      <c r="E312" t="s">
        <v>358</v>
      </c>
      <c r="F312" s="500">
        <v>349435.46</v>
      </c>
    </row>
    <row r="313" spans="2:6" x14ac:dyDescent="0.35">
      <c r="B313" t="s">
        <v>182</v>
      </c>
      <c r="C313">
        <v>20387375</v>
      </c>
      <c r="D313" t="s">
        <v>356</v>
      </c>
      <c r="E313" t="s">
        <v>359</v>
      </c>
      <c r="F313" s="500">
        <v>85083.36</v>
      </c>
    </row>
    <row r="314" spans="2:6" x14ac:dyDescent="0.35">
      <c r="B314" t="s">
        <v>182</v>
      </c>
      <c r="C314">
        <v>13621052</v>
      </c>
      <c r="D314" t="s">
        <v>365</v>
      </c>
      <c r="E314" t="s">
        <v>357</v>
      </c>
      <c r="F314" s="500">
        <v>82826.28</v>
      </c>
    </row>
    <row r="315" spans="2:6" x14ac:dyDescent="0.35">
      <c r="B315" t="s">
        <v>182</v>
      </c>
      <c r="C315">
        <v>13625342</v>
      </c>
      <c r="D315" t="s">
        <v>356</v>
      </c>
      <c r="E315" t="s">
        <v>358</v>
      </c>
      <c r="F315" s="500">
        <v>77752.5</v>
      </c>
    </row>
    <row r="316" spans="2:6" x14ac:dyDescent="0.35">
      <c r="B316" t="s">
        <v>182</v>
      </c>
      <c r="C316">
        <v>13623115</v>
      </c>
      <c r="D316" t="s">
        <v>356</v>
      </c>
      <c r="E316" t="s">
        <v>357</v>
      </c>
      <c r="F316" s="500">
        <v>76561.94</v>
      </c>
    </row>
    <row r="317" spans="2:6" x14ac:dyDescent="0.35">
      <c r="B317" t="s">
        <v>182</v>
      </c>
      <c r="C317">
        <v>13614867</v>
      </c>
      <c r="D317" t="s">
        <v>365</v>
      </c>
      <c r="E317" t="s">
        <v>357</v>
      </c>
      <c r="F317" s="500">
        <v>68578.67</v>
      </c>
    </row>
    <row r="318" spans="2:6" x14ac:dyDescent="0.35">
      <c r="B318" t="s">
        <v>182</v>
      </c>
      <c r="C318">
        <v>13607756</v>
      </c>
      <c r="D318" t="s">
        <v>356</v>
      </c>
      <c r="E318" t="s">
        <v>358</v>
      </c>
      <c r="F318" s="500">
        <v>61762.1</v>
      </c>
    </row>
    <row r="319" spans="2:6" x14ac:dyDescent="0.35">
      <c r="B319" t="s">
        <v>182</v>
      </c>
      <c r="C319">
        <v>13606216</v>
      </c>
      <c r="D319" t="s">
        <v>356</v>
      </c>
      <c r="E319" t="s">
        <v>357</v>
      </c>
      <c r="F319" s="500">
        <v>59692.36</v>
      </c>
    </row>
    <row r="320" spans="2:6" x14ac:dyDescent="0.35">
      <c r="B320" t="s">
        <v>182</v>
      </c>
      <c r="C320">
        <v>13615301</v>
      </c>
      <c r="D320" t="s">
        <v>356</v>
      </c>
      <c r="E320" t="s">
        <v>358</v>
      </c>
      <c r="F320" s="500">
        <v>56613.63</v>
      </c>
    </row>
    <row r="321" spans="2:6" x14ac:dyDescent="0.35">
      <c r="B321" t="s">
        <v>182</v>
      </c>
      <c r="C321">
        <v>13613168</v>
      </c>
      <c r="D321" t="s">
        <v>356</v>
      </c>
      <c r="E321" t="s">
        <v>358</v>
      </c>
      <c r="F321" s="500">
        <v>55927.67</v>
      </c>
    </row>
    <row r="322" spans="2:6" x14ac:dyDescent="0.35">
      <c r="B322" t="s">
        <v>182</v>
      </c>
      <c r="C322">
        <v>13612122</v>
      </c>
      <c r="D322" t="s">
        <v>356</v>
      </c>
      <c r="E322" t="s">
        <v>357</v>
      </c>
      <c r="F322" s="500">
        <v>53856.49</v>
      </c>
    </row>
    <row r="323" spans="2:6" x14ac:dyDescent="0.35">
      <c r="B323" t="s">
        <v>182</v>
      </c>
      <c r="C323">
        <v>13614488</v>
      </c>
      <c r="D323" t="s">
        <v>356</v>
      </c>
      <c r="E323" t="s">
        <v>357</v>
      </c>
      <c r="F323" s="500">
        <v>48939.31</v>
      </c>
    </row>
    <row r="324" spans="2:6" x14ac:dyDescent="0.35">
      <c r="B324" t="s">
        <v>182</v>
      </c>
      <c r="C324">
        <v>13620034</v>
      </c>
      <c r="D324" t="s">
        <v>356</v>
      </c>
      <c r="E324" t="s">
        <v>357</v>
      </c>
      <c r="F324" s="500">
        <v>45369.79</v>
      </c>
    </row>
    <row r="325" spans="2:6" x14ac:dyDescent="0.35">
      <c r="B325" t="s">
        <v>182</v>
      </c>
      <c r="C325">
        <v>13618776</v>
      </c>
      <c r="D325" t="s">
        <v>365</v>
      </c>
      <c r="E325" t="s">
        <v>358</v>
      </c>
      <c r="F325" s="500">
        <v>44226.3</v>
      </c>
    </row>
    <row r="326" spans="2:6" x14ac:dyDescent="0.35">
      <c r="B326" t="s">
        <v>182</v>
      </c>
      <c r="C326">
        <v>13623278</v>
      </c>
      <c r="D326" t="s">
        <v>356</v>
      </c>
      <c r="E326" t="s">
        <v>359</v>
      </c>
      <c r="F326" s="500">
        <v>43666.2</v>
      </c>
    </row>
    <row r="327" spans="2:6" x14ac:dyDescent="0.35">
      <c r="B327" t="s">
        <v>182</v>
      </c>
      <c r="C327">
        <v>26331954</v>
      </c>
      <c r="D327" t="s">
        <v>356</v>
      </c>
      <c r="E327" t="s">
        <v>359</v>
      </c>
      <c r="F327" s="500">
        <v>42310.37</v>
      </c>
    </row>
    <row r="328" spans="2:6" x14ac:dyDescent="0.35">
      <c r="B328" t="s">
        <v>182</v>
      </c>
      <c r="C328">
        <v>13610925</v>
      </c>
      <c r="D328" t="s">
        <v>356</v>
      </c>
      <c r="E328" t="s">
        <v>357</v>
      </c>
      <c r="F328" s="500">
        <v>40742.04</v>
      </c>
    </row>
    <row r="329" spans="2:6" x14ac:dyDescent="0.35">
      <c r="B329" t="s">
        <v>182</v>
      </c>
      <c r="C329">
        <v>26587422</v>
      </c>
      <c r="D329" t="s">
        <v>356</v>
      </c>
      <c r="E329" t="s">
        <v>357</v>
      </c>
      <c r="F329" s="500">
        <v>40706.42</v>
      </c>
    </row>
    <row r="330" spans="2:6" x14ac:dyDescent="0.35">
      <c r="B330" t="s">
        <v>182</v>
      </c>
      <c r="C330">
        <v>28919470</v>
      </c>
      <c r="D330" t="s">
        <v>356</v>
      </c>
      <c r="E330" t="s">
        <v>359</v>
      </c>
      <c r="F330" s="500">
        <v>34218.269999999997</v>
      </c>
    </row>
    <row r="331" spans="2:6" x14ac:dyDescent="0.35">
      <c r="B331" t="s">
        <v>182</v>
      </c>
      <c r="C331">
        <v>21868176</v>
      </c>
      <c r="D331" t="s">
        <v>356</v>
      </c>
      <c r="E331" t="s">
        <v>357</v>
      </c>
      <c r="F331" s="500">
        <v>32683.88</v>
      </c>
    </row>
    <row r="332" spans="2:6" x14ac:dyDescent="0.35">
      <c r="B332" t="s">
        <v>182</v>
      </c>
      <c r="C332">
        <v>13628064</v>
      </c>
      <c r="D332" t="s">
        <v>356</v>
      </c>
      <c r="E332" t="s">
        <v>357</v>
      </c>
      <c r="F332" s="500">
        <v>29895.439999999999</v>
      </c>
    </row>
    <row r="333" spans="2:6" x14ac:dyDescent="0.35">
      <c r="B333" t="s">
        <v>182</v>
      </c>
      <c r="C333">
        <v>14153703</v>
      </c>
      <c r="D333" t="s">
        <v>356</v>
      </c>
      <c r="E333" t="s">
        <v>357</v>
      </c>
      <c r="F333" s="500">
        <v>27062.25</v>
      </c>
    </row>
    <row r="334" spans="2:6" x14ac:dyDescent="0.35">
      <c r="B334" t="s">
        <v>182</v>
      </c>
      <c r="C334">
        <v>13615583</v>
      </c>
      <c r="D334" t="s">
        <v>365</v>
      </c>
      <c r="E334" t="s">
        <v>359</v>
      </c>
      <c r="F334" s="500">
        <v>26478.18</v>
      </c>
    </row>
  </sheetData>
  <mergeCells count="2">
    <mergeCell ref="B2:F2"/>
    <mergeCell ref="I2:J2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73C72-118C-4D9B-8B1B-156D727D91A1}">
  <sheetPr codeName="Sheet31">
    <tabColor rgb="FFC00000"/>
  </sheetPr>
  <dimension ref="B1:J154"/>
  <sheetViews>
    <sheetView zoomScale="70" zoomScaleNormal="70" workbookViewId="0">
      <selection activeCell="H154" sqref="H3:H154"/>
    </sheetView>
  </sheetViews>
  <sheetFormatPr defaultRowHeight="14.5" x14ac:dyDescent="0.35"/>
  <cols>
    <col min="1" max="1" width="1" customWidth="1"/>
    <col min="2" max="2" width="40.1796875" style="207" bestFit="1" customWidth="1"/>
    <col min="3" max="3" width="30.7265625" style="217" bestFit="1" customWidth="1"/>
    <col min="4" max="4" width="30.26953125" style="217" bestFit="1" customWidth="1"/>
    <col min="5" max="5" width="28.54296875" style="217" bestFit="1" customWidth="1"/>
    <col min="6" max="6" width="30.7265625" bestFit="1" customWidth="1"/>
    <col min="7" max="7" width="25.7265625" bestFit="1" customWidth="1"/>
    <col min="8" max="8" width="34.7265625" bestFit="1" customWidth="1"/>
  </cols>
  <sheetData>
    <row r="1" spans="2:10" ht="5.25" customHeight="1" x14ac:dyDescent="0.35"/>
    <row r="2" spans="2:10" x14ac:dyDescent="0.35">
      <c r="B2" s="225" t="s">
        <v>216</v>
      </c>
      <c r="C2" s="218" t="s">
        <v>217</v>
      </c>
      <c r="D2" s="218" t="s">
        <v>218</v>
      </c>
      <c r="E2" s="218" t="s">
        <v>219</v>
      </c>
      <c r="F2" s="215" t="s">
        <v>220</v>
      </c>
      <c r="G2" s="215" t="s">
        <v>221</v>
      </c>
      <c r="H2" s="215" t="s">
        <v>222</v>
      </c>
    </row>
    <row r="3" spans="2:10" x14ac:dyDescent="0.35">
      <c r="B3" t="s">
        <v>166</v>
      </c>
      <c r="C3">
        <v>202407</v>
      </c>
      <c r="D3">
        <v>209</v>
      </c>
      <c r="E3">
        <v>561</v>
      </c>
      <c r="F3" s="220">
        <v>285092.55</v>
      </c>
      <c r="G3" s="220">
        <v>157642.53</v>
      </c>
      <c r="H3" s="220">
        <v>3732.97</v>
      </c>
    </row>
    <row r="4" spans="2:10" x14ac:dyDescent="0.35">
      <c r="B4" t="s">
        <v>166</v>
      </c>
      <c r="C4">
        <v>202408</v>
      </c>
      <c r="D4">
        <v>210</v>
      </c>
      <c r="E4">
        <v>565</v>
      </c>
      <c r="F4" s="220">
        <v>321781.7</v>
      </c>
      <c r="G4" s="220">
        <v>180284.95</v>
      </c>
      <c r="H4" s="220">
        <v>3768.64</v>
      </c>
      <c r="J4" s="217"/>
    </row>
    <row r="5" spans="2:10" x14ac:dyDescent="0.35">
      <c r="B5" t="s">
        <v>166</v>
      </c>
      <c r="C5">
        <v>202409</v>
      </c>
      <c r="D5">
        <v>219</v>
      </c>
      <c r="E5">
        <v>587</v>
      </c>
      <c r="F5" s="220">
        <v>282346.49</v>
      </c>
      <c r="G5" s="220">
        <v>117260.98</v>
      </c>
      <c r="H5" s="220">
        <v>3885.06</v>
      </c>
      <c r="J5" s="216"/>
    </row>
    <row r="6" spans="2:10" x14ac:dyDescent="0.35">
      <c r="B6" t="s">
        <v>166</v>
      </c>
      <c r="C6">
        <v>202410</v>
      </c>
      <c r="D6">
        <v>218</v>
      </c>
      <c r="E6">
        <v>585</v>
      </c>
      <c r="F6" s="220">
        <v>184381.8</v>
      </c>
      <c r="G6" s="220">
        <v>136242</v>
      </c>
      <c r="H6" s="220">
        <v>3869.2</v>
      </c>
    </row>
    <row r="7" spans="2:10" x14ac:dyDescent="0.35">
      <c r="B7" t="s">
        <v>166</v>
      </c>
      <c r="C7">
        <v>202411</v>
      </c>
      <c r="D7">
        <v>217</v>
      </c>
      <c r="E7">
        <v>583</v>
      </c>
      <c r="F7" s="220">
        <v>226101.11</v>
      </c>
      <c r="G7" s="220">
        <v>161379.51999999999</v>
      </c>
      <c r="H7" s="220">
        <v>3953.58</v>
      </c>
    </row>
    <row r="8" spans="2:10" x14ac:dyDescent="0.35">
      <c r="B8" t="s">
        <v>166</v>
      </c>
      <c r="C8">
        <v>202412</v>
      </c>
      <c r="D8">
        <v>215</v>
      </c>
      <c r="E8">
        <v>582</v>
      </c>
      <c r="F8" s="220">
        <v>322416.5</v>
      </c>
      <c r="G8" s="220">
        <v>106183.27</v>
      </c>
      <c r="H8" s="220">
        <v>4080</v>
      </c>
    </row>
    <row r="9" spans="2:10" x14ac:dyDescent="0.35">
      <c r="B9" t="s">
        <v>166</v>
      </c>
      <c r="C9">
        <v>202501</v>
      </c>
      <c r="D9">
        <v>214</v>
      </c>
      <c r="E9">
        <v>579</v>
      </c>
      <c r="F9" s="220">
        <v>407950.73</v>
      </c>
      <c r="G9" s="220">
        <v>167370.35999999999</v>
      </c>
      <c r="H9" s="220">
        <v>4114.8900000000003</v>
      </c>
    </row>
    <row r="10" spans="2:10" x14ac:dyDescent="0.35">
      <c r="B10" t="s">
        <v>166</v>
      </c>
      <c r="C10">
        <v>202502</v>
      </c>
      <c r="D10">
        <v>213</v>
      </c>
      <c r="E10">
        <v>579</v>
      </c>
      <c r="F10" s="220">
        <v>276948.32</v>
      </c>
      <c r="G10" s="220">
        <v>127517.25</v>
      </c>
      <c r="H10" s="220">
        <v>4153.7</v>
      </c>
    </row>
    <row r="11" spans="2:10" x14ac:dyDescent="0.35">
      <c r="B11" t="s">
        <v>167</v>
      </c>
      <c r="C11">
        <v>202407</v>
      </c>
      <c r="D11">
        <v>256</v>
      </c>
      <c r="E11">
        <v>801</v>
      </c>
      <c r="F11" s="220">
        <v>274803.21999999997</v>
      </c>
      <c r="G11" s="220">
        <v>132080.69</v>
      </c>
      <c r="H11" s="220">
        <v>4786.33</v>
      </c>
    </row>
    <row r="12" spans="2:10" x14ac:dyDescent="0.35">
      <c r="B12" t="s">
        <v>167</v>
      </c>
      <c r="C12">
        <v>202408</v>
      </c>
      <c r="D12">
        <v>256</v>
      </c>
      <c r="E12">
        <v>801</v>
      </c>
      <c r="F12" s="220">
        <v>376724.64</v>
      </c>
      <c r="G12" s="220">
        <v>213901.77</v>
      </c>
      <c r="H12" s="220">
        <v>4746.99</v>
      </c>
    </row>
    <row r="13" spans="2:10" x14ac:dyDescent="0.35">
      <c r="B13" t="s">
        <v>167</v>
      </c>
      <c r="C13">
        <v>202409</v>
      </c>
      <c r="D13">
        <v>257</v>
      </c>
      <c r="E13">
        <v>804</v>
      </c>
      <c r="F13" s="220">
        <v>263527.67</v>
      </c>
      <c r="G13" s="220">
        <v>167534.04</v>
      </c>
      <c r="H13" s="220">
        <v>4722.8</v>
      </c>
    </row>
    <row r="14" spans="2:10" x14ac:dyDescent="0.35">
      <c r="B14" t="s">
        <v>167</v>
      </c>
      <c r="C14">
        <v>202410</v>
      </c>
      <c r="D14">
        <v>256</v>
      </c>
      <c r="E14">
        <v>807</v>
      </c>
      <c r="F14" s="220">
        <v>220240.21</v>
      </c>
      <c r="G14" s="220">
        <v>150496.5</v>
      </c>
      <c r="H14" s="220">
        <v>4663.62</v>
      </c>
    </row>
    <row r="15" spans="2:10" x14ac:dyDescent="0.35">
      <c r="B15" t="s">
        <v>167</v>
      </c>
      <c r="C15">
        <v>202411</v>
      </c>
      <c r="D15">
        <v>256</v>
      </c>
      <c r="E15">
        <v>812</v>
      </c>
      <c r="F15" s="220">
        <v>266470.49</v>
      </c>
      <c r="G15" s="220">
        <v>193338.61</v>
      </c>
      <c r="H15" s="220">
        <v>4766.97</v>
      </c>
    </row>
    <row r="16" spans="2:10" x14ac:dyDescent="0.35">
      <c r="B16" t="s">
        <v>167</v>
      </c>
      <c r="C16">
        <v>202412</v>
      </c>
      <c r="D16">
        <v>255</v>
      </c>
      <c r="E16">
        <v>811</v>
      </c>
      <c r="F16" s="220">
        <v>189619.97</v>
      </c>
      <c r="G16" s="220">
        <v>161747.51</v>
      </c>
      <c r="H16" s="220">
        <v>4822.68</v>
      </c>
    </row>
    <row r="17" spans="2:8" x14ac:dyDescent="0.35">
      <c r="B17" t="s">
        <v>167</v>
      </c>
      <c r="C17">
        <v>202501</v>
      </c>
      <c r="D17">
        <v>253</v>
      </c>
      <c r="E17">
        <v>809</v>
      </c>
      <c r="F17" s="220">
        <v>346971.99</v>
      </c>
      <c r="G17" s="220">
        <v>191816.51</v>
      </c>
      <c r="H17" s="220">
        <v>5748.13</v>
      </c>
    </row>
    <row r="18" spans="2:8" x14ac:dyDescent="0.35">
      <c r="B18" t="s">
        <v>167</v>
      </c>
      <c r="C18">
        <v>202502</v>
      </c>
      <c r="D18">
        <v>253</v>
      </c>
      <c r="E18">
        <v>814</v>
      </c>
      <c r="F18" s="220">
        <v>344655.87</v>
      </c>
      <c r="G18" s="220">
        <v>160838.72</v>
      </c>
      <c r="H18" s="220">
        <v>5788.82</v>
      </c>
    </row>
    <row r="19" spans="2:8" x14ac:dyDescent="0.35">
      <c r="B19" t="s">
        <v>168</v>
      </c>
      <c r="C19">
        <v>202407</v>
      </c>
      <c r="D19">
        <v>39</v>
      </c>
      <c r="E19">
        <v>110</v>
      </c>
      <c r="F19" s="220">
        <v>59068.06</v>
      </c>
      <c r="G19" s="220">
        <v>21786.31</v>
      </c>
      <c r="H19" s="220">
        <v>855.48</v>
      </c>
    </row>
    <row r="20" spans="2:8" x14ac:dyDescent="0.35">
      <c r="B20" t="s">
        <v>168</v>
      </c>
      <c r="C20">
        <v>202408</v>
      </c>
      <c r="D20">
        <v>40</v>
      </c>
      <c r="E20">
        <v>112</v>
      </c>
      <c r="F20" s="220">
        <v>70662.259999999995</v>
      </c>
      <c r="G20" s="220">
        <v>27719.65</v>
      </c>
      <c r="H20" s="220">
        <v>814.99</v>
      </c>
    </row>
    <row r="21" spans="2:8" x14ac:dyDescent="0.35">
      <c r="B21" t="s">
        <v>168</v>
      </c>
      <c r="C21">
        <v>202409</v>
      </c>
      <c r="D21">
        <v>40</v>
      </c>
      <c r="E21">
        <v>112</v>
      </c>
      <c r="F21" s="220">
        <v>49701.14</v>
      </c>
      <c r="G21" s="220">
        <v>30086.63</v>
      </c>
      <c r="H21" s="220">
        <v>797.59</v>
      </c>
    </row>
    <row r="22" spans="2:8" x14ac:dyDescent="0.35">
      <c r="B22" t="s">
        <v>168</v>
      </c>
      <c r="C22">
        <v>202410</v>
      </c>
      <c r="D22">
        <v>38</v>
      </c>
      <c r="E22">
        <v>110</v>
      </c>
      <c r="F22" s="220">
        <v>33476.44</v>
      </c>
      <c r="G22" s="220">
        <v>25473.06</v>
      </c>
      <c r="H22" s="220">
        <v>790.91</v>
      </c>
    </row>
    <row r="23" spans="2:8" x14ac:dyDescent="0.35">
      <c r="B23" t="s">
        <v>168</v>
      </c>
      <c r="C23">
        <v>202411</v>
      </c>
      <c r="D23">
        <v>38</v>
      </c>
      <c r="E23">
        <v>110</v>
      </c>
      <c r="F23" s="220">
        <v>32977.19</v>
      </c>
      <c r="G23" s="220">
        <v>33130.01</v>
      </c>
      <c r="H23" s="220">
        <v>814.09</v>
      </c>
    </row>
    <row r="24" spans="2:8" x14ac:dyDescent="0.35">
      <c r="B24" t="s">
        <v>168</v>
      </c>
      <c r="C24">
        <v>202412</v>
      </c>
      <c r="D24">
        <v>38</v>
      </c>
      <c r="E24">
        <v>109</v>
      </c>
      <c r="F24" s="220">
        <v>33735.040000000001</v>
      </c>
      <c r="G24" s="220">
        <v>22752.38</v>
      </c>
      <c r="H24" s="220">
        <v>810.58</v>
      </c>
    </row>
    <row r="25" spans="2:8" x14ac:dyDescent="0.35">
      <c r="B25" t="s">
        <v>168</v>
      </c>
      <c r="C25">
        <v>202501</v>
      </c>
      <c r="D25">
        <v>38</v>
      </c>
      <c r="E25">
        <v>109</v>
      </c>
      <c r="F25" s="220">
        <v>44927.06</v>
      </c>
      <c r="G25" s="220">
        <v>59423.45</v>
      </c>
      <c r="H25" s="220">
        <v>859.82</v>
      </c>
    </row>
    <row r="26" spans="2:8" x14ac:dyDescent="0.35">
      <c r="B26" t="s">
        <v>168</v>
      </c>
      <c r="C26">
        <v>202502</v>
      </c>
      <c r="D26">
        <v>38</v>
      </c>
      <c r="E26">
        <v>109</v>
      </c>
      <c r="F26" s="220">
        <v>19505.38</v>
      </c>
      <c r="G26" s="220">
        <v>26727.91</v>
      </c>
      <c r="H26" s="220">
        <v>845.93</v>
      </c>
    </row>
    <row r="27" spans="2:8" x14ac:dyDescent="0.35">
      <c r="B27" t="s">
        <v>354</v>
      </c>
      <c r="C27">
        <v>202407</v>
      </c>
      <c r="D27">
        <v>37</v>
      </c>
      <c r="E27">
        <v>100</v>
      </c>
      <c r="F27" s="220">
        <v>33940.29</v>
      </c>
      <c r="G27" s="220">
        <v>40074.99</v>
      </c>
      <c r="H27" s="220">
        <v>665.43</v>
      </c>
    </row>
    <row r="28" spans="2:8" x14ac:dyDescent="0.35">
      <c r="B28" t="s">
        <v>354</v>
      </c>
      <c r="C28">
        <v>202408</v>
      </c>
      <c r="D28">
        <v>39</v>
      </c>
      <c r="E28">
        <v>104</v>
      </c>
      <c r="F28" s="220">
        <v>25764.42</v>
      </c>
      <c r="G28" s="220">
        <v>23910.98</v>
      </c>
      <c r="H28" s="220">
        <v>748.04</v>
      </c>
    </row>
    <row r="29" spans="2:8" x14ac:dyDescent="0.35">
      <c r="B29" t="s">
        <v>354</v>
      </c>
      <c r="C29">
        <v>202409</v>
      </c>
      <c r="D29">
        <v>44</v>
      </c>
      <c r="E29">
        <v>118</v>
      </c>
      <c r="F29" s="220">
        <v>59057.9</v>
      </c>
      <c r="G29" s="220">
        <v>42848.27</v>
      </c>
      <c r="H29" s="220">
        <v>808.09</v>
      </c>
    </row>
    <row r="30" spans="2:8" x14ac:dyDescent="0.35">
      <c r="B30" t="s">
        <v>354</v>
      </c>
      <c r="C30">
        <v>202410</v>
      </c>
      <c r="D30">
        <v>46</v>
      </c>
      <c r="E30">
        <v>123</v>
      </c>
      <c r="F30" s="220">
        <v>39014.07</v>
      </c>
      <c r="G30" s="220">
        <v>45124.37</v>
      </c>
      <c r="H30" s="220">
        <v>775.13</v>
      </c>
    </row>
    <row r="31" spans="2:8" x14ac:dyDescent="0.35">
      <c r="B31" t="s">
        <v>354</v>
      </c>
      <c r="C31">
        <v>202411</v>
      </c>
      <c r="D31">
        <v>45</v>
      </c>
      <c r="E31">
        <v>120</v>
      </c>
      <c r="F31" s="220">
        <v>47811.38</v>
      </c>
      <c r="G31" s="220">
        <v>71213.61</v>
      </c>
      <c r="H31" s="220">
        <v>753.13</v>
      </c>
    </row>
    <row r="32" spans="2:8" x14ac:dyDescent="0.35">
      <c r="B32" t="s">
        <v>354</v>
      </c>
      <c r="C32">
        <v>202412</v>
      </c>
      <c r="D32">
        <v>46</v>
      </c>
      <c r="E32">
        <v>124</v>
      </c>
      <c r="F32" s="220">
        <v>21851.5</v>
      </c>
      <c r="G32" s="220">
        <v>35261.58</v>
      </c>
      <c r="H32" s="220">
        <v>824.01</v>
      </c>
    </row>
    <row r="33" spans="2:8" x14ac:dyDescent="0.35">
      <c r="B33" t="s">
        <v>354</v>
      </c>
      <c r="C33">
        <v>202501</v>
      </c>
      <c r="D33">
        <v>46</v>
      </c>
      <c r="E33">
        <v>125</v>
      </c>
      <c r="F33" s="220">
        <v>71609.38</v>
      </c>
      <c r="G33" s="220">
        <v>27032.16</v>
      </c>
      <c r="H33" s="220">
        <v>817.22</v>
      </c>
    </row>
    <row r="34" spans="2:8" x14ac:dyDescent="0.35">
      <c r="B34" t="s">
        <v>354</v>
      </c>
      <c r="C34">
        <v>202502</v>
      </c>
      <c r="D34">
        <v>46</v>
      </c>
      <c r="E34">
        <v>125</v>
      </c>
      <c r="F34" s="220">
        <v>57346.239999999998</v>
      </c>
      <c r="G34" s="220">
        <v>44955.47</v>
      </c>
      <c r="H34" s="220">
        <v>845.37</v>
      </c>
    </row>
    <row r="35" spans="2:8" x14ac:dyDescent="0.35">
      <c r="B35" t="s">
        <v>170</v>
      </c>
      <c r="C35">
        <v>202407</v>
      </c>
      <c r="D35">
        <v>176</v>
      </c>
      <c r="E35">
        <v>475</v>
      </c>
      <c r="F35" s="220">
        <v>264432.89</v>
      </c>
      <c r="G35" s="220">
        <v>93491.82</v>
      </c>
      <c r="H35" s="220">
        <v>3628.97</v>
      </c>
    </row>
    <row r="36" spans="2:8" x14ac:dyDescent="0.35">
      <c r="B36" t="s">
        <v>170</v>
      </c>
      <c r="C36">
        <v>202408</v>
      </c>
      <c r="D36">
        <v>176</v>
      </c>
      <c r="E36">
        <v>481</v>
      </c>
      <c r="F36" s="220">
        <v>512173.67</v>
      </c>
      <c r="G36" s="220">
        <v>147211.07</v>
      </c>
      <c r="H36" s="220">
        <v>3556.1</v>
      </c>
    </row>
    <row r="37" spans="2:8" x14ac:dyDescent="0.35">
      <c r="B37" t="s">
        <v>170</v>
      </c>
      <c r="C37">
        <v>202409</v>
      </c>
      <c r="D37">
        <v>184</v>
      </c>
      <c r="E37">
        <v>505</v>
      </c>
      <c r="F37" s="220">
        <v>324756.53999999998</v>
      </c>
      <c r="G37" s="220">
        <v>116788.44</v>
      </c>
      <c r="H37" s="220">
        <v>3660.12</v>
      </c>
    </row>
    <row r="38" spans="2:8" x14ac:dyDescent="0.35">
      <c r="B38" t="s">
        <v>170</v>
      </c>
      <c r="C38">
        <v>202410</v>
      </c>
      <c r="D38">
        <v>185</v>
      </c>
      <c r="E38">
        <v>511</v>
      </c>
      <c r="F38" s="220">
        <v>431291.74</v>
      </c>
      <c r="G38" s="220">
        <v>134649.59</v>
      </c>
      <c r="H38" s="220">
        <v>3613.73</v>
      </c>
    </row>
    <row r="39" spans="2:8" x14ac:dyDescent="0.35">
      <c r="B39" t="s">
        <v>170</v>
      </c>
      <c r="C39">
        <v>202411</v>
      </c>
      <c r="D39">
        <v>186</v>
      </c>
      <c r="E39">
        <v>511</v>
      </c>
      <c r="F39" s="220">
        <v>347423.21</v>
      </c>
      <c r="G39" s="220">
        <v>159189.75</v>
      </c>
      <c r="H39" s="220">
        <v>3732.6</v>
      </c>
    </row>
    <row r="40" spans="2:8" x14ac:dyDescent="0.35">
      <c r="B40" t="s">
        <v>170</v>
      </c>
      <c r="C40">
        <v>202412</v>
      </c>
      <c r="D40">
        <v>184</v>
      </c>
      <c r="E40">
        <v>501</v>
      </c>
      <c r="F40" s="220">
        <v>303457</v>
      </c>
      <c r="G40" s="220">
        <v>179142.75</v>
      </c>
      <c r="H40" s="220">
        <v>3731.21</v>
      </c>
    </row>
    <row r="41" spans="2:8" x14ac:dyDescent="0.35">
      <c r="B41" t="s">
        <v>170</v>
      </c>
      <c r="C41">
        <v>202501</v>
      </c>
      <c r="D41">
        <v>184</v>
      </c>
      <c r="E41">
        <v>501</v>
      </c>
      <c r="F41" s="220">
        <v>653306.88</v>
      </c>
      <c r="G41" s="220">
        <v>298148.81</v>
      </c>
      <c r="H41" s="220">
        <v>3832.6</v>
      </c>
    </row>
    <row r="42" spans="2:8" x14ac:dyDescent="0.35">
      <c r="B42" t="s">
        <v>170</v>
      </c>
      <c r="C42">
        <v>202502</v>
      </c>
      <c r="D42">
        <v>183</v>
      </c>
      <c r="E42">
        <v>502</v>
      </c>
      <c r="F42" s="220">
        <v>338887.64</v>
      </c>
      <c r="G42" s="220">
        <v>192046.1</v>
      </c>
      <c r="H42" s="220">
        <v>3942</v>
      </c>
    </row>
    <row r="43" spans="2:8" x14ac:dyDescent="0.35">
      <c r="B43" t="s">
        <v>215</v>
      </c>
      <c r="C43">
        <v>202407</v>
      </c>
      <c r="D43">
        <v>247</v>
      </c>
      <c r="E43">
        <v>647</v>
      </c>
      <c r="F43" s="220">
        <v>204982.93</v>
      </c>
      <c r="G43" s="220">
        <v>88009.85</v>
      </c>
      <c r="H43" s="220">
        <v>4297.8999999999996</v>
      </c>
    </row>
    <row r="44" spans="2:8" x14ac:dyDescent="0.35">
      <c r="B44" t="s">
        <v>215</v>
      </c>
      <c r="C44">
        <v>202408</v>
      </c>
      <c r="D44">
        <v>246</v>
      </c>
      <c r="E44">
        <v>646</v>
      </c>
      <c r="F44" s="220">
        <v>156838.47</v>
      </c>
      <c r="G44" s="220">
        <v>81941.86</v>
      </c>
      <c r="H44" s="220">
        <v>4198.58</v>
      </c>
    </row>
    <row r="45" spans="2:8" x14ac:dyDescent="0.35">
      <c r="B45" t="s">
        <v>215</v>
      </c>
      <c r="C45">
        <v>202409</v>
      </c>
      <c r="D45">
        <v>242</v>
      </c>
      <c r="E45">
        <v>636</v>
      </c>
      <c r="F45" s="220">
        <v>355754.61</v>
      </c>
      <c r="G45" s="220">
        <v>91004.85</v>
      </c>
      <c r="H45" s="220">
        <v>4167.8</v>
      </c>
    </row>
    <row r="46" spans="2:8" x14ac:dyDescent="0.35">
      <c r="B46" t="s">
        <v>215</v>
      </c>
      <c r="C46">
        <v>202410</v>
      </c>
      <c r="D46">
        <v>245</v>
      </c>
      <c r="E46">
        <v>642</v>
      </c>
      <c r="F46" s="220">
        <v>174244.24</v>
      </c>
      <c r="G46" s="220">
        <v>62190.94</v>
      </c>
      <c r="H46" s="220">
        <v>4199.62</v>
      </c>
    </row>
    <row r="47" spans="2:8" x14ac:dyDescent="0.35">
      <c r="B47" t="s">
        <v>215</v>
      </c>
      <c r="C47">
        <v>202411</v>
      </c>
      <c r="D47">
        <v>246</v>
      </c>
      <c r="E47">
        <v>643</v>
      </c>
      <c r="F47" s="220">
        <v>263959.53000000003</v>
      </c>
      <c r="G47" s="220">
        <v>125753.06</v>
      </c>
      <c r="H47" s="220">
        <v>4264.87</v>
      </c>
    </row>
    <row r="48" spans="2:8" x14ac:dyDescent="0.35">
      <c r="B48" t="s">
        <v>215</v>
      </c>
      <c r="C48">
        <v>202412</v>
      </c>
      <c r="D48">
        <v>250</v>
      </c>
      <c r="E48">
        <v>651</v>
      </c>
      <c r="F48" s="220">
        <v>234888.43</v>
      </c>
      <c r="G48" s="220">
        <v>76049.210000000006</v>
      </c>
      <c r="H48" s="220">
        <v>4331.03</v>
      </c>
    </row>
    <row r="49" spans="2:8" x14ac:dyDescent="0.35">
      <c r="B49" t="s">
        <v>215</v>
      </c>
      <c r="C49">
        <v>202501</v>
      </c>
      <c r="D49">
        <v>251</v>
      </c>
      <c r="E49">
        <v>654</v>
      </c>
      <c r="F49" s="220">
        <v>359674.98</v>
      </c>
      <c r="G49" s="220">
        <v>125346.25</v>
      </c>
      <c r="H49" s="220">
        <v>4526.3500000000004</v>
      </c>
    </row>
    <row r="50" spans="2:8" x14ac:dyDescent="0.35">
      <c r="B50" t="s">
        <v>215</v>
      </c>
      <c r="C50">
        <v>202502</v>
      </c>
      <c r="D50">
        <v>251</v>
      </c>
      <c r="E50">
        <v>653</v>
      </c>
      <c r="F50" s="220">
        <v>298034.59999999998</v>
      </c>
      <c r="G50" s="220">
        <v>92548.52</v>
      </c>
      <c r="H50" s="220">
        <v>4601.9799999999996</v>
      </c>
    </row>
    <row r="51" spans="2:8" x14ac:dyDescent="0.35">
      <c r="B51" t="s">
        <v>171</v>
      </c>
      <c r="C51">
        <v>202407</v>
      </c>
      <c r="D51">
        <v>281</v>
      </c>
      <c r="E51">
        <v>720</v>
      </c>
      <c r="F51" s="220">
        <v>294571.21999999997</v>
      </c>
      <c r="G51" s="220">
        <v>98178.5</v>
      </c>
      <c r="H51" s="220">
        <v>5070.6099999999997</v>
      </c>
    </row>
    <row r="52" spans="2:8" x14ac:dyDescent="0.35">
      <c r="B52" t="s">
        <v>171</v>
      </c>
      <c r="C52">
        <v>202408</v>
      </c>
      <c r="D52">
        <v>279</v>
      </c>
      <c r="E52">
        <v>718</v>
      </c>
      <c r="F52" s="220">
        <v>381074.41</v>
      </c>
      <c r="G52" s="220">
        <v>164572.54</v>
      </c>
      <c r="H52" s="220">
        <v>5031.96</v>
      </c>
    </row>
    <row r="53" spans="2:8" x14ac:dyDescent="0.35">
      <c r="B53" t="s">
        <v>171</v>
      </c>
      <c r="C53">
        <v>202409</v>
      </c>
      <c r="D53">
        <v>280</v>
      </c>
      <c r="E53">
        <v>721</v>
      </c>
      <c r="F53" s="220">
        <v>313571.90000000002</v>
      </c>
      <c r="G53" s="220">
        <v>103003.55</v>
      </c>
      <c r="H53" s="220">
        <v>5063.87</v>
      </c>
    </row>
    <row r="54" spans="2:8" x14ac:dyDescent="0.35">
      <c r="B54" t="s">
        <v>171</v>
      </c>
      <c r="C54">
        <v>202410</v>
      </c>
      <c r="D54">
        <v>284</v>
      </c>
      <c r="E54">
        <v>730</v>
      </c>
      <c r="F54" s="220">
        <v>173621.7</v>
      </c>
      <c r="G54" s="220">
        <v>187827.54</v>
      </c>
      <c r="H54" s="220">
        <v>5047.66</v>
      </c>
    </row>
    <row r="55" spans="2:8" x14ac:dyDescent="0.35">
      <c r="B55" t="s">
        <v>171</v>
      </c>
      <c r="C55">
        <v>202411</v>
      </c>
      <c r="D55">
        <v>287</v>
      </c>
      <c r="E55">
        <v>742</v>
      </c>
      <c r="F55" s="220">
        <v>401892.12</v>
      </c>
      <c r="G55" s="220">
        <v>152639.49</v>
      </c>
      <c r="H55" s="220">
        <v>5136.42</v>
      </c>
    </row>
    <row r="56" spans="2:8" x14ac:dyDescent="0.35">
      <c r="B56" t="s">
        <v>171</v>
      </c>
      <c r="C56">
        <v>202412</v>
      </c>
      <c r="D56">
        <v>286</v>
      </c>
      <c r="E56">
        <v>741</v>
      </c>
      <c r="F56" s="220">
        <v>300197.84000000003</v>
      </c>
      <c r="G56" s="220">
        <v>125458.41</v>
      </c>
      <c r="H56" s="220">
        <v>5164.4799999999996</v>
      </c>
    </row>
    <row r="57" spans="2:8" x14ac:dyDescent="0.35">
      <c r="B57" t="s">
        <v>171</v>
      </c>
      <c r="C57">
        <v>202501</v>
      </c>
      <c r="D57">
        <v>284</v>
      </c>
      <c r="E57">
        <v>739</v>
      </c>
      <c r="F57" s="220">
        <v>351391.67</v>
      </c>
      <c r="G57" s="220">
        <v>167930.52</v>
      </c>
      <c r="H57" s="220">
        <v>5297.56</v>
      </c>
    </row>
    <row r="58" spans="2:8" x14ac:dyDescent="0.35">
      <c r="B58" t="s">
        <v>171</v>
      </c>
      <c r="C58">
        <v>202502</v>
      </c>
      <c r="D58">
        <v>284</v>
      </c>
      <c r="E58">
        <v>736</v>
      </c>
      <c r="F58" s="220">
        <v>421168.74</v>
      </c>
      <c r="G58" s="220">
        <v>122264.65</v>
      </c>
      <c r="H58" s="220">
        <v>5309.8</v>
      </c>
    </row>
    <row r="59" spans="2:8" x14ac:dyDescent="0.35">
      <c r="B59" t="s">
        <v>172</v>
      </c>
      <c r="C59">
        <v>202407</v>
      </c>
      <c r="D59">
        <v>200</v>
      </c>
      <c r="E59">
        <v>598</v>
      </c>
      <c r="F59" s="220">
        <v>137147.12</v>
      </c>
      <c r="G59" s="220">
        <v>88330.62</v>
      </c>
      <c r="H59" s="220">
        <v>4394.76</v>
      </c>
    </row>
    <row r="60" spans="2:8" x14ac:dyDescent="0.35">
      <c r="B60" t="s">
        <v>172</v>
      </c>
      <c r="C60">
        <v>202408</v>
      </c>
      <c r="D60">
        <v>201</v>
      </c>
      <c r="E60">
        <v>598</v>
      </c>
      <c r="F60" s="220">
        <v>209967.99</v>
      </c>
      <c r="G60" s="220">
        <v>116396</v>
      </c>
      <c r="H60" s="220">
        <v>4344.5600000000004</v>
      </c>
    </row>
    <row r="61" spans="2:8" x14ac:dyDescent="0.35">
      <c r="B61" t="s">
        <v>172</v>
      </c>
      <c r="C61">
        <v>202409</v>
      </c>
      <c r="D61">
        <v>202</v>
      </c>
      <c r="E61">
        <v>609</v>
      </c>
      <c r="F61" s="220">
        <v>120102.09</v>
      </c>
      <c r="G61" s="220">
        <v>90836.73</v>
      </c>
      <c r="H61" s="220">
        <v>4340.03</v>
      </c>
    </row>
    <row r="62" spans="2:8" x14ac:dyDescent="0.35">
      <c r="B62" t="s">
        <v>172</v>
      </c>
      <c r="C62">
        <v>202410</v>
      </c>
      <c r="D62">
        <v>199</v>
      </c>
      <c r="E62">
        <v>604</v>
      </c>
      <c r="F62" s="220">
        <v>125856.92</v>
      </c>
      <c r="G62" s="220">
        <v>99874.97</v>
      </c>
      <c r="H62" s="220">
        <v>4357.6400000000003</v>
      </c>
    </row>
    <row r="63" spans="2:8" x14ac:dyDescent="0.35">
      <c r="B63" t="s">
        <v>172</v>
      </c>
      <c r="C63">
        <v>202411</v>
      </c>
      <c r="D63">
        <v>196</v>
      </c>
      <c r="E63">
        <v>601</v>
      </c>
      <c r="F63" s="220">
        <v>232651.46</v>
      </c>
      <c r="G63" s="220">
        <v>100744.84</v>
      </c>
      <c r="H63" s="220">
        <v>4316.1099999999997</v>
      </c>
    </row>
    <row r="64" spans="2:8" x14ac:dyDescent="0.35">
      <c r="B64" t="s">
        <v>172</v>
      </c>
      <c r="C64">
        <v>202412</v>
      </c>
      <c r="D64">
        <v>196</v>
      </c>
      <c r="E64">
        <v>600</v>
      </c>
      <c r="F64" s="220">
        <v>287235.34000000003</v>
      </c>
      <c r="G64" s="220">
        <v>106964.44</v>
      </c>
      <c r="H64" s="220">
        <v>4353.6000000000004</v>
      </c>
    </row>
    <row r="65" spans="2:8" x14ac:dyDescent="0.35">
      <c r="B65" t="s">
        <v>172</v>
      </c>
      <c r="C65">
        <v>202501</v>
      </c>
      <c r="D65">
        <v>194</v>
      </c>
      <c r="E65">
        <v>596</v>
      </c>
      <c r="F65" s="220">
        <v>218005.77</v>
      </c>
      <c r="G65" s="220">
        <v>80401.73</v>
      </c>
      <c r="H65" s="220">
        <v>4657.37</v>
      </c>
    </row>
    <row r="66" spans="2:8" x14ac:dyDescent="0.35">
      <c r="B66" t="s">
        <v>172</v>
      </c>
      <c r="C66">
        <v>202502</v>
      </c>
      <c r="D66">
        <v>193</v>
      </c>
      <c r="E66">
        <v>590</v>
      </c>
      <c r="F66" s="220">
        <v>144011.96</v>
      </c>
      <c r="G66" s="220">
        <v>94633.19</v>
      </c>
      <c r="H66" s="220">
        <v>4645.6000000000004</v>
      </c>
    </row>
    <row r="67" spans="2:8" x14ac:dyDescent="0.35">
      <c r="B67" t="s">
        <v>173</v>
      </c>
      <c r="C67">
        <v>202407</v>
      </c>
      <c r="D67">
        <v>214</v>
      </c>
      <c r="E67">
        <v>634</v>
      </c>
      <c r="F67" s="220">
        <v>275128.40000000002</v>
      </c>
      <c r="G67" s="220">
        <v>163205.51999999999</v>
      </c>
      <c r="H67" s="220">
        <v>4542.1000000000004</v>
      </c>
    </row>
    <row r="68" spans="2:8" x14ac:dyDescent="0.35">
      <c r="B68" t="s">
        <v>173</v>
      </c>
      <c r="C68">
        <v>202408</v>
      </c>
      <c r="D68">
        <v>220</v>
      </c>
      <c r="E68">
        <v>652</v>
      </c>
      <c r="F68" s="220">
        <v>351807.28</v>
      </c>
      <c r="G68" s="220">
        <v>150221.09</v>
      </c>
      <c r="H68" s="220">
        <v>4673.57</v>
      </c>
    </row>
    <row r="69" spans="2:8" x14ac:dyDescent="0.35">
      <c r="B69" t="s">
        <v>173</v>
      </c>
      <c r="C69">
        <v>202409</v>
      </c>
      <c r="D69">
        <v>223</v>
      </c>
      <c r="E69">
        <v>671</v>
      </c>
      <c r="F69" s="220">
        <v>351068.35</v>
      </c>
      <c r="G69" s="220">
        <v>191281</v>
      </c>
      <c r="H69" s="220">
        <v>4860.9799999999996</v>
      </c>
    </row>
    <row r="70" spans="2:8" x14ac:dyDescent="0.35">
      <c r="B70" t="s">
        <v>173</v>
      </c>
      <c r="C70">
        <v>202410</v>
      </c>
      <c r="D70">
        <v>218</v>
      </c>
      <c r="E70">
        <v>657</v>
      </c>
      <c r="F70" s="220">
        <v>360942.89</v>
      </c>
      <c r="G70" s="220">
        <v>172223.78</v>
      </c>
      <c r="H70" s="220">
        <v>4790.75</v>
      </c>
    </row>
    <row r="71" spans="2:8" x14ac:dyDescent="0.35">
      <c r="B71" t="s">
        <v>173</v>
      </c>
      <c r="C71">
        <v>202411</v>
      </c>
      <c r="D71">
        <v>218</v>
      </c>
      <c r="E71">
        <v>656</v>
      </c>
      <c r="F71" s="220">
        <v>393212.6</v>
      </c>
      <c r="G71" s="220">
        <v>167931.54</v>
      </c>
      <c r="H71" s="220">
        <v>4830.3500000000004</v>
      </c>
    </row>
    <row r="72" spans="2:8" x14ac:dyDescent="0.35">
      <c r="B72" t="s">
        <v>173</v>
      </c>
      <c r="C72">
        <v>202412</v>
      </c>
      <c r="D72">
        <v>220</v>
      </c>
      <c r="E72">
        <v>655</v>
      </c>
      <c r="F72" s="220">
        <v>314139.01</v>
      </c>
      <c r="G72" s="220">
        <v>191387.19</v>
      </c>
      <c r="H72" s="220">
        <v>4818.59</v>
      </c>
    </row>
    <row r="73" spans="2:8" x14ac:dyDescent="0.35">
      <c r="B73" t="s">
        <v>173</v>
      </c>
      <c r="C73">
        <v>202501</v>
      </c>
      <c r="D73">
        <v>222</v>
      </c>
      <c r="E73">
        <v>659</v>
      </c>
      <c r="F73" s="220">
        <v>390346.75</v>
      </c>
      <c r="G73" s="220">
        <v>187314.02</v>
      </c>
      <c r="H73" s="220">
        <v>5007.84</v>
      </c>
    </row>
    <row r="74" spans="2:8" x14ac:dyDescent="0.35">
      <c r="B74" t="s">
        <v>173</v>
      </c>
      <c r="C74">
        <v>202502</v>
      </c>
      <c r="D74">
        <v>222</v>
      </c>
      <c r="E74">
        <v>658</v>
      </c>
      <c r="F74" s="220">
        <v>364650.44</v>
      </c>
      <c r="G74" s="220">
        <v>240118.78</v>
      </c>
      <c r="H74" s="220">
        <v>5082.6899999999996</v>
      </c>
    </row>
    <row r="75" spans="2:8" x14ac:dyDescent="0.35">
      <c r="B75" t="s">
        <v>174</v>
      </c>
      <c r="C75">
        <v>202407</v>
      </c>
      <c r="D75">
        <v>153</v>
      </c>
      <c r="E75">
        <v>409</v>
      </c>
      <c r="F75" s="220">
        <v>199736.26</v>
      </c>
      <c r="G75" s="220">
        <v>64100.38</v>
      </c>
      <c r="H75" s="220">
        <v>2057.98</v>
      </c>
    </row>
    <row r="76" spans="2:8" x14ac:dyDescent="0.35">
      <c r="B76" t="s">
        <v>174</v>
      </c>
      <c r="C76">
        <v>202408</v>
      </c>
      <c r="D76">
        <v>152</v>
      </c>
      <c r="E76">
        <v>405</v>
      </c>
      <c r="F76" s="220">
        <v>129274.83</v>
      </c>
      <c r="G76" s="220">
        <v>96787.13</v>
      </c>
      <c r="H76" s="220">
        <v>2002.62</v>
      </c>
    </row>
    <row r="77" spans="2:8" x14ac:dyDescent="0.35">
      <c r="B77" t="s">
        <v>174</v>
      </c>
      <c r="C77">
        <v>202409</v>
      </c>
      <c r="D77">
        <v>157</v>
      </c>
      <c r="E77">
        <v>409</v>
      </c>
      <c r="F77" s="220">
        <v>135968.56</v>
      </c>
      <c r="G77" s="220">
        <v>55808.36</v>
      </c>
      <c r="H77" s="220">
        <v>1982.68</v>
      </c>
    </row>
    <row r="78" spans="2:8" x14ac:dyDescent="0.35">
      <c r="B78" t="s">
        <v>174</v>
      </c>
      <c r="C78">
        <v>202410</v>
      </c>
      <c r="D78">
        <v>156</v>
      </c>
      <c r="E78">
        <v>409</v>
      </c>
      <c r="F78" s="220">
        <v>185178.43</v>
      </c>
      <c r="G78" s="220">
        <v>67334.33</v>
      </c>
      <c r="H78" s="220">
        <v>1945.17</v>
      </c>
    </row>
    <row r="79" spans="2:8" x14ac:dyDescent="0.35">
      <c r="B79" t="s">
        <v>174</v>
      </c>
      <c r="C79">
        <v>202411</v>
      </c>
      <c r="D79">
        <v>160</v>
      </c>
      <c r="E79">
        <v>417</v>
      </c>
      <c r="F79" s="220">
        <v>332626.31</v>
      </c>
      <c r="G79" s="220">
        <v>100184.47</v>
      </c>
      <c r="H79" s="220">
        <v>1894.41</v>
      </c>
    </row>
    <row r="80" spans="2:8" x14ac:dyDescent="0.35">
      <c r="B80" t="s">
        <v>174</v>
      </c>
      <c r="C80">
        <v>202412</v>
      </c>
      <c r="D80">
        <v>162</v>
      </c>
      <c r="E80">
        <v>414</v>
      </c>
      <c r="F80" s="220">
        <v>104304.74</v>
      </c>
      <c r="G80" s="220">
        <v>94794.01</v>
      </c>
      <c r="H80" s="220">
        <v>1879.05</v>
      </c>
    </row>
    <row r="81" spans="2:8" x14ac:dyDescent="0.35">
      <c r="B81" t="s">
        <v>174</v>
      </c>
      <c r="C81">
        <v>202501</v>
      </c>
      <c r="D81">
        <v>161</v>
      </c>
      <c r="E81">
        <v>413</v>
      </c>
      <c r="F81" s="220">
        <v>182700.12</v>
      </c>
      <c r="G81" s="220">
        <v>49846.15</v>
      </c>
      <c r="H81" s="220">
        <v>2067.42</v>
      </c>
    </row>
    <row r="82" spans="2:8" x14ac:dyDescent="0.35">
      <c r="B82" t="s">
        <v>174</v>
      </c>
      <c r="C82">
        <v>202502</v>
      </c>
      <c r="D82">
        <v>159</v>
      </c>
      <c r="E82">
        <v>407</v>
      </c>
      <c r="F82" s="220">
        <v>117357.9</v>
      </c>
      <c r="G82" s="220">
        <v>97492.01</v>
      </c>
      <c r="H82" s="220">
        <v>1986.68</v>
      </c>
    </row>
    <row r="83" spans="2:8" x14ac:dyDescent="0.35">
      <c r="B83" t="s">
        <v>175</v>
      </c>
      <c r="C83">
        <v>202407</v>
      </c>
      <c r="D83">
        <v>157</v>
      </c>
      <c r="E83">
        <v>391</v>
      </c>
      <c r="F83" s="220">
        <v>118132.74</v>
      </c>
      <c r="G83" s="220">
        <v>45311.34</v>
      </c>
      <c r="H83" s="220">
        <v>2840.03</v>
      </c>
    </row>
    <row r="84" spans="2:8" x14ac:dyDescent="0.35">
      <c r="B84" t="s">
        <v>175</v>
      </c>
      <c r="C84">
        <v>202408</v>
      </c>
      <c r="D84">
        <v>159</v>
      </c>
      <c r="E84">
        <v>392</v>
      </c>
      <c r="F84" s="220">
        <v>144712.4</v>
      </c>
      <c r="G84" s="220">
        <v>59205.04</v>
      </c>
      <c r="H84" s="220">
        <v>2873.45</v>
      </c>
    </row>
    <row r="85" spans="2:8" x14ac:dyDescent="0.35">
      <c r="B85" t="s">
        <v>175</v>
      </c>
      <c r="C85">
        <v>202409</v>
      </c>
      <c r="D85">
        <v>160</v>
      </c>
      <c r="E85">
        <v>395</v>
      </c>
      <c r="F85" s="220">
        <v>85500.33</v>
      </c>
      <c r="G85" s="220">
        <v>53961.66</v>
      </c>
      <c r="H85" s="220">
        <v>2913.83</v>
      </c>
    </row>
    <row r="86" spans="2:8" x14ac:dyDescent="0.35">
      <c r="B86" t="s">
        <v>175</v>
      </c>
      <c r="C86">
        <v>202410</v>
      </c>
      <c r="D86">
        <v>161</v>
      </c>
      <c r="E86">
        <v>396</v>
      </c>
      <c r="F86" s="220">
        <v>106405.24</v>
      </c>
      <c r="G86" s="220">
        <v>55298.81</v>
      </c>
      <c r="H86" s="220">
        <v>2829.18</v>
      </c>
    </row>
    <row r="87" spans="2:8" x14ac:dyDescent="0.35">
      <c r="B87" t="s">
        <v>175</v>
      </c>
      <c r="C87">
        <v>202411</v>
      </c>
      <c r="D87">
        <v>162</v>
      </c>
      <c r="E87">
        <v>398</v>
      </c>
      <c r="F87" s="220">
        <v>304289.21999999997</v>
      </c>
      <c r="G87" s="220">
        <v>71637.59</v>
      </c>
      <c r="H87" s="220">
        <v>2779.85</v>
      </c>
    </row>
    <row r="88" spans="2:8" x14ac:dyDescent="0.35">
      <c r="B88" t="s">
        <v>175</v>
      </c>
      <c r="C88">
        <v>202412</v>
      </c>
      <c r="D88">
        <v>162</v>
      </c>
      <c r="E88">
        <v>400</v>
      </c>
      <c r="F88" s="220">
        <v>96119.99</v>
      </c>
      <c r="G88" s="220">
        <v>64719.16</v>
      </c>
      <c r="H88" s="220">
        <v>2826.87</v>
      </c>
    </row>
    <row r="89" spans="2:8" x14ac:dyDescent="0.35">
      <c r="B89" t="s">
        <v>175</v>
      </c>
      <c r="C89">
        <v>202501</v>
      </c>
      <c r="D89">
        <v>162</v>
      </c>
      <c r="E89">
        <v>400</v>
      </c>
      <c r="F89" s="220">
        <v>395826.87</v>
      </c>
      <c r="G89" s="220">
        <v>66981.75</v>
      </c>
      <c r="H89" s="220">
        <v>2969.23</v>
      </c>
    </row>
    <row r="90" spans="2:8" x14ac:dyDescent="0.35">
      <c r="B90" t="s">
        <v>175</v>
      </c>
      <c r="C90">
        <v>202502</v>
      </c>
      <c r="D90">
        <v>162</v>
      </c>
      <c r="E90">
        <v>400</v>
      </c>
      <c r="F90" s="220">
        <v>149052.62</v>
      </c>
      <c r="G90" s="220">
        <v>69603.259999999995</v>
      </c>
      <c r="H90" s="220">
        <v>3026.15</v>
      </c>
    </row>
    <row r="91" spans="2:8" x14ac:dyDescent="0.35">
      <c r="B91" t="s">
        <v>183</v>
      </c>
      <c r="C91">
        <v>202407</v>
      </c>
      <c r="D91">
        <v>264</v>
      </c>
      <c r="E91">
        <v>748</v>
      </c>
      <c r="F91" s="220">
        <v>359643.57</v>
      </c>
      <c r="G91" s="220">
        <v>122369.86</v>
      </c>
      <c r="H91" s="220">
        <v>5175.71</v>
      </c>
    </row>
    <row r="92" spans="2:8" x14ac:dyDescent="0.35">
      <c r="B92" t="s">
        <v>183</v>
      </c>
      <c r="C92">
        <v>202408</v>
      </c>
      <c r="D92">
        <v>263</v>
      </c>
      <c r="E92">
        <v>752</v>
      </c>
      <c r="F92" s="220">
        <v>599959.18999999994</v>
      </c>
      <c r="G92" s="220">
        <v>164533.18</v>
      </c>
      <c r="H92" s="220">
        <v>5198.41</v>
      </c>
    </row>
    <row r="93" spans="2:8" x14ac:dyDescent="0.35">
      <c r="B93" t="s">
        <v>183</v>
      </c>
      <c r="C93">
        <v>202409</v>
      </c>
      <c r="D93">
        <v>265</v>
      </c>
      <c r="E93">
        <v>756</v>
      </c>
      <c r="F93" s="220">
        <v>34112.61</v>
      </c>
      <c r="G93" s="220">
        <v>132692.51999999999</v>
      </c>
      <c r="H93" s="220">
        <v>5059.5600000000004</v>
      </c>
    </row>
    <row r="94" spans="2:8" x14ac:dyDescent="0.35">
      <c r="B94" t="s">
        <v>183</v>
      </c>
      <c r="C94">
        <v>202410</v>
      </c>
      <c r="D94">
        <v>269</v>
      </c>
      <c r="E94">
        <v>756</v>
      </c>
      <c r="F94" s="220">
        <v>417085.67</v>
      </c>
      <c r="G94" s="220">
        <v>185544.43</v>
      </c>
      <c r="H94" s="220">
        <v>5225.3599999999997</v>
      </c>
    </row>
    <row r="95" spans="2:8" x14ac:dyDescent="0.35">
      <c r="B95" t="s">
        <v>183</v>
      </c>
      <c r="C95">
        <v>202411</v>
      </c>
      <c r="D95">
        <v>270</v>
      </c>
      <c r="E95">
        <v>749</v>
      </c>
      <c r="F95" s="220">
        <v>631075.56999999995</v>
      </c>
      <c r="G95" s="220">
        <v>183246.78</v>
      </c>
      <c r="H95" s="220">
        <v>5104.5600000000004</v>
      </c>
    </row>
    <row r="96" spans="2:8" x14ac:dyDescent="0.35">
      <c r="B96" t="s">
        <v>183</v>
      </c>
      <c r="C96">
        <v>202412</v>
      </c>
      <c r="D96">
        <v>269</v>
      </c>
      <c r="E96">
        <v>746</v>
      </c>
      <c r="F96" s="220">
        <v>742254.61</v>
      </c>
      <c r="G96" s="220">
        <v>156863.07</v>
      </c>
      <c r="H96" s="220">
        <v>5054.04</v>
      </c>
    </row>
    <row r="97" spans="2:8" x14ac:dyDescent="0.35">
      <c r="B97" t="s">
        <v>183</v>
      </c>
      <c r="C97">
        <v>202501</v>
      </c>
      <c r="D97">
        <v>269</v>
      </c>
      <c r="E97">
        <v>755</v>
      </c>
      <c r="F97" s="220">
        <v>379334.89</v>
      </c>
      <c r="G97" s="220">
        <v>30310.97</v>
      </c>
      <c r="H97" s="220">
        <v>5304.79</v>
      </c>
    </row>
    <row r="98" spans="2:8" x14ac:dyDescent="0.35">
      <c r="B98" t="s">
        <v>183</v>
      </c>
      <c r="C98">
        <v>202502</v>
      </c>
      <c r="D98">
        <v>269</v>
      </c>
      <c r="E98">
        <v>750</v>
      </c>
      <c r="F98" s="220">
        <v>381067.41</v>
      </c>
      <c r="G98" s="220">
        <v>1445.9</v>
      </c>
      <c r="H98" s="220">
        <v>5426.71</v>
      </c>
    </row>
    <row r="99" spans="2:8" x14ac:dyDescent="0.35">
      <c r="B99" t="s">
        <v>176</v>
      </c>
      <c r="C99">
        <v>202407</v>
      </c>
      <c r="D99">
        <v>147</v>
      </c>
      <c r="E99">
        <v>455</v>
      </c>
      <c r="F99" s="220">
        <v>406370.28</v>
      </c>
      <c r="G99" s="220">
        <v>108765.38</v>
      </c>
      <c r="H99" s="220">
        <v>3440.9</v>
      </c>
    </row>
    <row r="100" spans="2:8" x14ac:dyDescent="0.35">
      <c r="B100" t="s">
        <v>176</v>
      </c>
      <c r="C100">
        <v>202408</v>
      </c>
      <c r="D100">
        <v>147</v>
      </c>
      <c r="E100">
        <v>455</v>
      </c>
      <c r="F100" s="220">
        <v>299926.71000000002</v>
      </c>
      <c r="G100" s="220">
        <v>117720.81</v>
      </c>
      <c r="H100" s="220">
        <v>3452.62</v>
      </c>
    </row>
    <row r="101" spans="2:8" x14ac:dyDescent="0.35">
      <c r="B101" t="s">
        <v>176</v>
      </c>
      <c r="C101">
        <v>202409</v>
      </c>
      <c r="D101">
        <v>146</v>
      </c>
      <c r="E101">
        <v>446</v>
      </c>
      <c r="F101" s="220">
        <v>388029.33</v>
      </c>
      <c r="G101" s="220">
        <v>101557.59</v>
      </c>
      <c r="H101" s="220">
        <v>3247.23</v>
      </c>
    </row>
    <row r="102" spans="2:8" x14ac:dyDescent="0.35">
      <c r="B102" t="s">
        <v>176</v>
      </c>
      <c r="C102">
        <v>202410</v>
      </c>
      <c r="D102">
        <v>146</v>
      </c>
      <c r="E102">
        <v>446</v>
      </c>
      <c r="F102" s="220">
        <v>210600.49</v>
      </c>
      <c r="G102" s="220">
        <v>48701.65</v>
      </c>
      <c r="H102" s="220">
        <v>3257.18</v>
      </c>
    </row>
    <row r="103" spans="2:8" x14ac:dyDescent="0.35">
      <c r="B103" t="s">
        <v>176</v>
      </c>
      <c r="C103">
        <v>202411</v>
      </c>
      <c r="D103">
        <v>146</v>
      </c>
      <c r="E103">
        <v>445</v>
      </c>
      <c r="F103" s="220">
        <v>423040.11</v>
      </c>
      <c r="G103" s="220">
        <v>86865.09</v>
      </c>
      <c r="H103" s="220">
        <v>3343.05</v>
      </c>
    </row>
    <row r="104" spans="2:8" x14ac:dyDescent="0.35">
      <c r="B104" t="s">
        <v>176</v>
      </c>
      <c r="C104">
        <v>202412</v>
      </c>
      <c r="D104">
        <v>146</v>
      </c>
      <c r="E104">
        <v>444</v>
      </c>
      <c r="F104" s="220">
        <v>305485.95</v>
      </c>
      <c r="G104" s="220">
        <v>81545.23</v>
      </c>
      <c r="H104" s="220">
        <v>3449.71</v>
      </c>
    </row>
    <row r="105" spans="2:8" x14ac:dyDescent="0.35">
      <c r="B105" t="s">
        <v>176</v>
      </c>
      <c r="C105">
        <v>202501</v>
      </c>
      <c r="D105">
        <v>147</v>
      </c>
      <c r="E105">
        <v>446</v>
      </c>
      <c r="F105" s="220">
        <v>442250.41</v>
      </c>
      <c r="G105" s="220">
        <v>72893.009999999995</v>
      </c>
      <c r="H105" s="220">
        <v>3510.41</v>
      </c>
    </row>
    <row r="106" spans="2:8" x14ac:dyDescent="0.35">
      <c r="B106" t="s">
        <v>176</v>
      </c>
      <c r="C106">
        <v>202502</v>
      </c>
      <c r="D106">
        <v>147</v>
      </c>
      <c r="E106">
        <v>441</v>
      </c>
      <c r="F106" s="220">
        <v>202469.81</v>
      </c>
      <c r="G106" s="220">
        <v>90772.13</v>
      </c>
      <c r="H106" s="220">
        <v>3497.13</v>
      </c>
    </row>
    <row r="107" spans="2:8" x14ac:dyDescent="0.35">
      <c r="B107" t="s">
        <v>177</v>
      </c>
      <c r="C107">
        <v>202407</v>
      </c>
      <c r="D107">
        <v>187</v>
      </c>
      <c r="E107">
        <v>580</v>
      </c>
      <c r="F107" s="220">
        <v>111967.43</v>
      </c>
      <c r="G107" s="220">
        <v>124835.82</v>
      </c>
      <c r="H107" s="220">
        <v>3819.18</v>
      </c>
    </row>
    <row r="108" spans="2:8" x14ac:dyDescent="0.35">
      <c r="B108" t="s">
        <v>177</v>
      </c>
      <c r="C108">
        <v>202408</v>
      </c>
      <c r="D108">
        <v>186</v>
      </c>
      <c r="E108">
        <v>579</v>
      </c>
      <c r="F108" s="220">
        <v>194058.28</v>
      </c>
      <c r="G108" s="220">
        <v>131876.32999999999</v>
      </c>
      <c r="H108" s="220">
        <v>3830.84</v>
      </c>
    </row>
    <row r="109" spans="2:8" x14ac:dyDescent="0.35">
      <c r="B109" t="s">
        <v>177</v>
      </c>
      <c r="C109">
        <v>202409</v>
      </c>
      <c r="D109">
        <v>198</v>
      </c>
      <c r="E109">
        <v>597</v>
      </c>
      <c r="F109" s="220">
        <v>262685.21999999997</v>
      </c>
      <c r="G109" s="220">
        <v>148394.85999999999</v>
      </c>
      <c r="H109" s="220">
        <v>3816.69</v>
      </c>
    </row>
    <row r="110" spans="2:8" x14ac:dyDescent="0.35">
      <c r="B110" t="s">
        <v>177</v>
      </c>
      <c r="C110">
        <v>202410</v>
      </c>
      <c r="D110">
        <v>197</v>
      </c>
      <c r="E110">
        <v>592</v>
      </c>
      <c r="F110" s="220">
        <v>300223.84000000003</v>
      </c>
      <c r="G110" s="220">
        <v>113544.81</v>
      </c>
      <c r="H110" s="220">
        <v>3847.4</v>
      </c>
    </row>
    <row r="111" spans="2:8" x14ac:dyDescent="0.35">
      <c r="B111" t="s">
        <v>177</v>
      </c>
      <c r="C111">
        <v>202411</v>
      </c>
      <c r="D111">
        <v>195</v>
      </c>
      <c r="E111">
        <v>591</v>
      </c>
      <c r="F111" s="220">
        <v>117570.62</v>
      </c>
      <c r="G111" s="220">
        <v>123901.3</v>
      </c>
      <c r="H111" s="220">
        <v>3815.59</v>
      </c>
    </row>
    <row r="112" spans="2:8" x14ac:dyDescent="0.35">
      <c r="B112" t="s">
        <v>177</v>
      </c>
      <c r="C112">
        <v>202412</v>
      </c>
      <c r="D112">
        <v>200</v>
      </c>
      <c r="E112">
        <v>604</v>
      </c>
      <c r="F112" s="220">
        <v>452522.91</v>
      </c>
      <c r="G112" s="220">
        <v>83158</v>
      </c>
      <c r="H112" s="220">
        <v>3869.85</v>
      </c>
    </row>
    <row r="113" spans="2:8" x14ac:dyDescent="0.35">
      <c r="B113" t="s">
        <v>177</v>
      </c>
      <c r="C113">
        <v>202501</v>
      </c>
      <c r="D113">
        <v>200</v>
      </c>
      <c r="E113">
        <v>604</v>
      </c>
      <c r="F113" s="220">
        <v>375447.54</v>
      </c>
      <c r="G113" s="220">
        <v>138582.29999999999</v>
      </c>
      <c r="H113" s="220">
        <v>4065.69</v>
      </c>
    </row>
    <row r="114" spans="2:8" x14ac:dyDescent="0.35">
      <c r="B114" t="s">
        <v>177</v>
      </c>
      <c r="C114">
        <v>202502</v>
      </c>
      <c r="D114">
        <v>199</v>
      </c>
      <c r="E114">
        <v>599</v>
      </c>
      <c r="F114" s="220">
        <v>342097.23</v>
      </c>
      <c r="G114" s="220">
        <v>94111.75</v>
      </c>
      <c r="H114" s="220">
        <v>4115.18</v>
      </c>
    </row>
    <row r="115" spans="2:8" x14ac:dyDescent="0.35">
      <c r="B115" t="s">
        <v>178</v>
      </c>
      <c r="C115">
        <v>202407</v>
      </c>
      <c r="D115">
        <v>321</v>
      </c>
      <c r="E115" s="214">
        <v>963</v>
      </c>
      <c r="F115" s="220">
        <v>315004.96000000002</v>
      </c>
      <c r="G115" s="220">
        <v>232163.9</v>
      </c>
      <c r="H115" s="220">
        <v>6735.5</v>
      </c>
    </row>
    <row r="116" spans="2:8" x14ac:dyDescent="0.35">
      <c r="B116" t="s">
        <v>178</v>
      </c>
      <c r="C116">
        <v>202408</v>
      </c>
      <c r="D116">
        <v>319</v>
      </c>
      <c r="E116" s="214">
        <v>964</v>
      </c>
      <c r="F116" s="220">
        <v>853884.28</v>
      </c>
      <c r="G116" s="220">
        <v>320032.89</v>
      </c>
      <c r="H116" s="220">
        <v>6672.33</v>
      </c>
    </row>
    <row r="117" spans="2:8" x14ac:dyDescent="0.35">
      <c r="B117" t="s">
        <v>178</v>
      </c>
      <c r="C117">
        <v>202409</v>
      </c>
      <c r="D117">
        <v>309</v>
      </c>
      <c r="E117" s="214">
        <v>938</v>
      </c>
      <c r="F117" s="220">
        <v>282358.53999999998</v>
      </c>
      <c r="G117" s="220">
        <v>232156.02</v>
      </c>
      <c r="H117" s="220">
        <v>6566.94</v>
      </c>
    </row>
    <row r="118" spans="2:8" x14ac:dyDescent="0.35">
      <c r="B118" t="s">
        <v>178</v>
      </c>
      <c r="C118">
        <v>202410</v>
      </c>
      <c r="D118">
        <v>307</v>
      </c>
      <c r="E118" s="214">
        <v>935</v>
      </c>
      <c r="F118" s="220">
        <v>263421.89</v>
      </c>
      <c r="G118" s="220">
        <v>238116.73</v>
      </c>
      <c r="H118" s="220">
        <v>6552.16</v>
      </c>
    </row>
    <row r="119" spans="2:8" x14ac:dyDescent="0.35">
      <c r="B119" t="s">
        <v>178</v>
      </c>
      <c r="C119">
        <v>202411</v>
      </c>
      <c r="D119">
        <v>307</v>
      </c>
      <c r="E119" s="214">
        <v>939</v>
      </c>
      <c r="F119" s="220">
        <v>459836.9</v>
      </c>
      <c r="G119" s="220">
        <v>300119.42</v>
      </c>
      <c r="H119" s="220">
        <v>6511.76</v>
      </c>
    </row>
    <row r="120" spans="2:8" x14ac:dyDescent="0.35">
      <c r="B120" t="s">
        <v>178</v>
      </c>
      <c r="C120">
        <v>202412</v>
      </c>
      <c r="D120">
        <v>307</v>
      </c>
      <c r="E120" s="214">
        <v>945</v>
      </c>
      <c r="F120" s="220">
        <v>619616.06999999995</v>
      </c>
      <c r="G120" s="220">
        <v>205148</v>
      </c>
      <c r="H120" s="220">
        <v>6527.19</v>
      </c>
    </row>
    <row r="121" spans="2:8" x14ac:dyDescent="0.35">
      <c r="B121" t="s">
        <v>178</v>
      </c>
      <c r="C121">
        <v>202501</v>
      </c>
      <c r="D121">
        <v>306</v>
      </c>
      <c r="E121" s="214">
        <v>941</v>
      </c>
      <c r="F121" s="220">
        <v>483849.94</v>
      </c>
      <c r="G121" s="220">
        <v>310587.28999999998</v>
      </c>
      <c r="H121" s="220">
        <v>6676.08</v>
      </c>
    </row>
    <row r="122" spans="2:8" x14ac:dyDescent="0.35">
      <c r="B122" t="s">
        <v>178</v>
      </c>
      <c r="C122">
        <v>202502</v>
      </c>
      <c r="D122">
        <v>305</v>
      </c>
      <c r="E122" s="214">
        <v>937</v>
      </c>
      <c r="F122" s="220">
        <v>495657.77</v>
      </c>
      <c r="G122" s="220">
        <v>229135.02</v>
      </c>
      <c r="H122" s="220">
        <v>6688.24</v>
      </c>
    </row>
    <row r="123" spans="2:8" x14ac:dyDescent="0.35">
      <c r="B123" t="s">
        <v>179</v>
      </c>
      <c r="C123">
        <v>202407</v>
      </c>
      <c r="D123">
        <v>192</v>
      </c>
      <c r="E123">
        <v>574</v>
      </c>
      <c r="F123" s="220">
        <v>154733.99</v>
      </c>
      <c r="G123" s="220">
        <v>55196.55</v>
      </c>
      <c r="H123" s="220">
        <v>3669.93</v>
      </c>
    </row>
    <row r="124" spans="2:8" x14ac:dyDescent="0.35">
      <c r="B124" t="s">
        <v>179</v>
      </c>
      <c r="C124">
        <v>202408</v>
      </c>
      <c r="D124">
        <v>190</v>
      </c>
      <c r="E124">
        <v>571</v>
      </c>
      <c r="F124" s="220">
        <v>335809.69</v>
      </c>
      <c r="G124" s="220">
        <v>96702.28</v>
      </c>
      <c r="H124" s="220">
        <v>3619.26</v>
      </c>
    </row>
    <row r="125" spans="2:8" x14ac:dyDescent="0.35">
      <c r="B125" t="s">
        <v>179</v>
      </c>
      <c r="C125">
        <v>202409</v>
      </c>
      <c r="D125">
        <v>194</v>
      </c>
      <c r="E125">
        <v>579</v>
      </c>
      <c r="F125" s="220">
        <v>142194.95000000001</v>
      </c>
      <c r="G125" s="220">
        <v>84598.95</v>
      </c>
      <c r="H125" s="220">
        <v>3630.81</v>
      </c>
    </row>
    <row r="126" spans="2:8" x14ac:dyDescent="0.35">
      <c r="B126" t="s">
        <v>179</v>
      </c>
      <c r="C126">
        <v>202410</v>
      </c>
      <c r="D126">
        <v>191</v>
      </c>
      <c r="E126">
        <v>575</v>
      </c>
      <c r="F126" s="220">
        <v>200888.3</v>
      </c>
      <c r="G126" s="220">
        <v>118927.92</v>
      </c>
      <c r="H126" s="220">
        <v>3694.35</v>
      </c>
    </row>
    <row r="127" spans="2:8" x14ac:dyDescent="0.35">
      <c r="B127" t="s">
        <v>179</v>
      </c>
      <c r="C127">
        <v>202411</v>
      </c>
      <c r="D127">
        <v>190</v>
      </c>
      <c r="E127">
        <v>576</v>
      </c>
      <c r="F127" s="220">
        <v>223748.29</v>
      </c>
      <c r="G127" s="220">
        <v>130574.51</v>
      </c>
      <c r="H127" s="220">
        <v>3709.47</v>
      </c>
    </row>
    <row r="128" spans="2:8" x14ac:dyDescent="0.35">
      <c r="B128" t="s">
        <v>179</v>
      </c>
      <c r="C128">
        <v>202412</v>
      </c>
      <c r="D128">
        <v>189</v>
      </c>
      <c r="E128">
        <v>575</v>
      </c>
      <c r="F128" s="220">
        <v>230557.45</v>
      </c>
      <c r="G128" s="220">
        <v>102451.34</v>
      </c>
      <c r="H128" s="220">
        <v>3700.31</v>
      </c>
    </row>
    <row r="129" spans="2:8" x14ac:dyDescent="0.35">
      <c r="B129" t="s">
        <v>179</v>
      </c>
      <c r="C129">
        <v>202501</v>
      </c>
      <c r="D129">
        <v>190</v>
      </c>
      <c r="E129">
        <v>578</v>
      </c>
      <c r="F129" s="220">
        <v>363360.94</v>
      </c>
      <c r="G129" s="220">
        <v>175560.7</v>
      </c>
      <c r="H129" s="220">
        <v>4086.36</v>
      </c>
    </row>
    <row r="130" spans="2:8" x14ac:dyDescent="0.35">
      <c r="B130" t="s">
        <v>179</v>
      </c>
      <c r="C130">
        <v>202502</v>
      </c>
      <c r="D130">
        <v>188</v>
      </c>
      <c r="E130">
        <v>574</v>
      </c>
      <c r="F130" s="220">
        <v>247916.12</v>
      </c>
      <c r="G130" s="220">
        <v>97222.26</v>
      </c>
      <c r="H130" s="220">
        <v>4112.8900000000003</v>
      </c>
    </row>
    <row r="131" spans="2:8" x14ac:dyDescent="0.35">
      <c r="B131" t="s">
        <v>180</v>
      </c>
      <c r="C131">
        <v>202407</v>
      </c>
      <c r="D131">
        <v>101</v>
      </c>
      <c r="E131">
        <v>254</v>
      </c>
      <c r="F131" s="220">
        <v>109895.02</v>
      </c>
      <c r="G131" s="220">
        <v>31248.87</v>
      </c>
      <c r="H131" s="220">
        <v>1754.26</v>
      </c>
    </row>
    <row r="132" spans="2:8" x14ac:dyDescent="0.35">
      <c r="B132" t="s">
        <v>180</v>
      </c>
      <c r="C132">
        <v>202408</v>
      </c>
      <c r="D132">
        <v>99</v>
      </c>
      <c r="E132">
        <v>250</v>
      </c>
      <c r="F132" s="220">
        <v>218041.62</v>
      </c>
      <c r="G132" s="220">
        <v>49686.35</v>
      </c>
      <c r="H132" s="220">
        <v>1720.6</v>
      </c>
    </row>
    <row r="133" spans="2:8" x14ac:dyDescent="0.35">
      <c r="B133" t="s">
        <v>180</v>
      </c>
      <c r="C133">
        <v>202409</v>
      </c>
      <c r="D133">
        <v>102</v>
      </c>
      <c r="E133">
        <v>251</v>
      </c>
      <c r="F133" s="220">
        <v>89787.12</v>
      </c>
      <c r="G133" s="220">
        <v>39423.31</v>
      </c>
      <c r="H133" s="220">
        <v>1697.54</v>
      </c>
    </row>
    <row r="134" spans="2:8" x14ac:dyDescent="0.35">
      <c r="B134" t="s">
        <v>180</v>
      </c>
      <c r="C134">
        <v>202410</v>
      </c>
      <c r="D134">
        <v>104</v>
      </c>
      <c r="E134">
        <v>255</v>
      </c>
      <c r="F134" s="220">
        <v>44142.98</v>
      </c>
      <c r="G134" s="220">
        <v>39742.379999999997</v>
      </c>
      <c r="H134" s="220">
        <v>1751.67</v>
      </c>
    </row>
    <row r="135" spans="2:8" x14ac:dyDescent="0.35">
      <c r="B135" t="s">
        <v>180</v>
      </c>
      <c r="C135">
        <v>202411</v>
      </c>
      <c r="D135">
        <v>102</v>
      </c>
      <c r="E135">
        <v>253</v>
      </c>
      <c r="F135" s="220">
        <v>84936.76</v>
      </c>
      <c r="G135" s="220">
        <v>71036.350000000006</v>
      </c>
      <c r="H135" s="220">
        <v>1756.95</v>
      </c>
    </row>
    <row r="136" spans="2:8" x14ac:dyDescent="0.35">
      <c r="B136" t="s">
        <v>180</v>
      </c>
      <c r="C136">
        <v>202412</v>
      </c>
      <c r="D136">
        <v>102</v>
      </c>
      <c r="E136">
        <v>251</v>
      </c>
      <c r="F136" s="220">
        <v>55230.22</v>
      </c>
      <c r="G136" s="220">
        <v>42115.24</v>
      </c>
      <c r="H136" s="220">
        <v>1743.59</v>
      </c>
    </row>
    <row r="137" spans="2:8" x14ac:dyDescent="0.35">
      <c r="B137" t="s">
        <v>180</v>
      </c>
      <c r="C137">
        <v>202501</v>
      </c>
      <c r="D137">
        <v>103</v>
      </c>
      <c r="E137">
        <v>252</v>
      </c>
      <c r="F137" s="220">
        <v>137655.31</v>
      </c>
      <c r="G137" s="220">
        <v>51034.239999999998</v>
      </c>
      <c r="H137" s="220">
        <v>1795.53</v>
      </c>
    </row>
    <row r="138" spans="2:8" x14ac:dyDescent="0.35">
      <c r="B138" t="s">
        <v>180</v>
      </c>
      <c r="C138">
        <v>202502</v>
      </c>
      <c r="D138">
        <v>102</v>
      </c>
      <c r="E138">
        <v>249</v>
      </c>
      <c r="F138" s="220">
        <v>232995.82</v>
      </c>
      <c r="G138" s="220">
        <v>42215.95</v>
      </c>
      <c r="H138" s="220">
        <v>1796.19</v>
      </c>
    </row>
    <row r="139" spans="2:8" x14ac:dyDescent="0.35">
      <c r="B139" t="s">
        <v>181</v>
      </c>
      <c r="C139">
        <v>202407</v>
      </c>
      <c r="D139">
        <v>52</v>
      </c>
      <c r="E139">
        <v>148</v>
      </c>
      <c r="F139" s="220">
        <v>30093.37</v>
      </c>
      <c r="G139" s="220">
        <v>20448.349999999999</v>
      </c>
      <c r="H139" s="220">
        <v>983.63</v>
      </c>
    </row>
    <row r="140" spans="2:8" x14ac:dyDescent="0.35">
      <c r="B140" t="s">
        <v>181</v>
      </c>
      <c r="C140">
        <v>202408</v>
      </c>
      <c r="D140">
        <v>52</v>
      </c>
      <c r="E140">
        <v>148</v>
      </c>
      <c r="F140" s="220">
        <v>72754.41</v>
      </c>
      <c r="G140" s="220">
        <v>33526.49</v>
      </c>
      <c r="H140" s="220">
        <v>985.49</v>
      </c>
    </row>
    <row r="141" spans="2:8" x14ac:dyDescent="0.35">
      <c r="B141" t="s">
        <v>181</v>
      </c>
      <c r="C141">
        <v>202409</v>
      </c>
      <c r="D141">
        <v>53</v>
      </c>
      <c r="E141">
        <v>149</v>
      </c>
      <c r="F141" s="220">
        <v>44789.09</v>
      </c>
      <c r="G141" s="220">
        <v>30146.77</v>
      </c>
      <c r="H141" s="220">
        <v>1001.83</v>
      </c>
    </row>
    <row r="142" spans="2:8" x14ac:dyDescent="0.35">
      <c r="B142" t="s">
        <v>181</v>
      </c>
      <c r="C142">
        <v>202410</v>
      </c>
      <c r="D142">
        <v>54</v>
      </c>
      <c r="E142">
        <v>154</v>
      </c>
      <c r="F142" s="220">
        <v>63212.59</v>
      </c>
      <c r="G142" s="220">
        <v>25994.36</v>
      </c>
      <c r="H142" s="220">
        <v>999.19</v>
      </c>
    </row>
    <row r="143" spans="2:8" x14ac:dyDescent="0.35">
      <c r="B143" t="s">
        <v>181</v>
      </c>
      <c r="C143">
        <v>202411</v>
      </c>
      <c r="D143">
        <v>55</v>
      </c>
      <c r="E143">
        <v>158</v>
      </c>
      <c r="F143" s="220">
        <v>46368.28</v>
      </c>
      <c r="G143" s="220">
        <v>30069.77</v>
      </c>
      <c r="H143" s="220">
        <v>986.47</v>
      </c>
    </row>
    <row r="144" spans="2:8" x14ac:dyDescent="0.35">
      <c r="B144" t="s">
        <v>181</v>
      </c>
      <c r="C144">
        <v>202412</v>
      </c>
      <c r="D144">
        <v>55</v>
      </c>
      <c r="E144">
        <v>158</v>
      </c>
      <c r="F144" s="220">
        <v>57978.84</v>
      </c>
      <c r="G144" s="220">
        <v>25749.22</v>
      </c>
      <c r="H144" s="220">
        <v>976.17</v>
      </c>
    </row>
    <row r="145" spans="2:8" x14ac:dyDescent="0.35">
      <c r="B145" t="s">
        <v>181</v>
      </c>
      <c r="C145">
        <v>202501</v>
      </c>
      <c r="D145">
        <v>55</v>
      </c>
      <c r="E145">
        <v>158</v>
      </c>
      <c r="F145" s="220">
        <v>69887.509999999995</v>
      </c>
      <c r="G145" s="220">
        <v>40859.99</v>
      </c>
      <c r="H145" s="220">
        <v>1043.19</v>
      </c>
    </row>
    <row r="146" spans="2:8" x14ac:dyDescent="0.35">
      <c r="B146" t="s">
        <v>181</v>
      </c>
      <c r="C146">
        <v>202502</v>
      </c>
      <c r="D146">
        <v>55</v>
      </c>
      <c r="E146">
        <v>160</v>
      </c>
      <c r="F146" s="220">
        <v>43183.92</v>
      </c>
      <c r="G146" s="220">
        <v>28114.18</v>
      </c>
      <c r="H146" s="220">
        <v>992.92</v>
      </c>
    </row>
    <row r="147" spans="2:8" x14ac:dyDescent="0.35">
      <c r="B147" t="s">
        <v>182</v>
      </c>
      <c r="C147">
        <v>202407</v>
      </c>
      <c r="D147">
        <v>154</v>
      </c>
      <c r="E147">
        <v>386</v>
      </c>
      <c r="F147" s="220">
        <v>124213.41</v>
      </c>
      <c r="G147" s="220">
        <v>125765.12</v>
      </c>
      <c r="H147" s="220">
        <v>2827.68</v>
      </c>
    </row>
    <row r="148" spans="2:8" x14ac:dyDescent="0.35">
      <c r="B148" t="s">
        <v>182</v>
      </c>
      <c r="C148">
        <v>202408</v>
      </c>
      <c r="D148">
        <v>151</v>
      </c>
      <c r="E148">
        <v>383</v>
      </c>
      <c r="F148" s="220">
        <v>226845.14</v>
      </c>
      <c r="G148" s="220">
        <v>155270.24</v>
      </c>
      <c r="H148" s="220">
        <v>2775.05</v>
      </c>
    </row>
    <row r="149" spans="2:8" x14ac:dyDescent="0.35">
      <c r="B149" t="s">
        <v>182</v>
      </c>
      <c r="C149">
        <v>202409</v>
      </c>
      <c r="D149">
        <v>155</v>
      </c>
      <c r="E149">
        <v>371</v>
      </c>
      <c r="F149" s="220">
        <v>155966.13</v>
      </c>
      <c r="G149" s="220">
        <v>134922.22</v>
      </c>
      <c r="H149" s="220">
        <v>2620.15</v>
      </c>
    </row>
    <row r="150" spans="2:8" x14ac:dyDescent="0.35">
      <c r="B150" t="s">
        <v>182</v>
      </c>
      <c r="C150">
        <v>202410</v>
      </c>
      <c r="D150">
        <v>154</v>
      </c>
      <c r="E150">
        <v>366</v>
      </c>
      <c r="F150" s="220">
        <v>113107.05</v>
      </c>
      <c r="G150" s="220">
        <v>112379.51</v>
      </c>
      <c r="H150" s="220">
        <v>2560.91</v>
      </c>
    </row>
    <row r="151" spans="2:8" x14ac:dyDescent="0.35">
      <c r="B151" t="s">
        <v>182</v>
      </c>
      <c r="C151">
        <v>202411</v>
      </c>
      <c r="D151">
        <v>153</v>
      </c>
      <c r="E151">
        <v>366</v>
      </c>
      <c r="F151" s="220">
        <v>169660.08</v>
      </c>
      <c r="G151" s="220">
        <v>158532.51</v>
      </c>
      <c r="H151" s="220">
        <v>2574.29</v>
      </c>
    </row>
    <row r="152" spans="2:8" x14ac:dyDescent="0.35">
      <c r="B152" t="s">
        <v>182</v>
      </c>
      <c r="C152">
        <v>202412</v>
      </c>
      <c r="D152">
        <v>153</v>
      </c>
      <c r="E152">
        <v>366</v>
      </c>
      <c r="F152" s="220">
        <v>205264.99</v>
      </c>
      <c r="G152" s="220">
        <v>128346.48</v>
      </c>
      <c r="H152" s="220">
        <v>2648.81</v>
      </c>
    </row>
    <row r="153" spans="2:8" x14ac:dyDescent="0.35">
      <c r="B153" t="s">
        <v>182</v>
      </c>
      <c r="C153">
        <v>202501</v>
      </c>
      <c r="D153">
        <v>156</v>
      </c>
      <c r="E153">
        <v>372</v>
      </c>
      <c r="F153" s="220">
        <v>249623.95</v>
      </c>
      <c r="G153" s="220">
        <v>153199.46</v>
      </c>
      <c r="H153" s="220">
        <v>2692.71</v>
      </c>
    </row>
    <row r="154" spans="2:8" x14ac:dyDescent="0.35">
      <c r="B154" t="s">
        <v>182</v>
      </c>
      <c r="C154">
        <v>202502</v>
      </c>
      <c r="D154">
        <v>155</v>
      </c>
      <c r="E154">
        <v>371</v>
      </c>
      <c r="F154" s="220">
        <v>192319.04</v>
      </c>
      <c r="G154" s="220">
        <v>127623.7</v>
      </c>
      <c r="H154" s="220">
        <v>2675.81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2">
    <tabColor rgb="FFC00000"/>
  </sheetPr>
  <dimension ref="B1:V17"/>
  <sheetViews>
    <sheetView topLeftCell="B1" zoomScale="90" zoomScaleNormal="90" workbookViewId="0">
      <selection activeCell="C5" sqref="C5"/>
    </sheetView>
  </sheetViews>
  <sheetFormatPr defaultColWidth="8.81640625" defaultRowHeight="14.5" x14ac:dyDescent="0.35"/>
  <cols>
    <col min="1" max="1" width="1" customWidth="1"/>
    <col min="2" max="2" width="13" bestFit="1" customWidth="1"/>
    <col min="3" max="3" width="17.26953125" customWidth="1"/>
    <col min="4" max="5" width="16.6328125" customWidth="1"/>
    <col min="6" max="6" width="16.54296875" customWidth="1"/>
    <col min="7" max="7" width="15.90625" customWidth="1"/>
    <col min="8" max="8" width="16.7265625" customWidth="1"/>
    <col min="9" max="9" width="15.26953125" bestFit="1" customWidth="1"/>
    <col min="10" max="10" width="15.26953125" customWidth="1"/>
    <col min="11" max="13" width="14.26953125" bestFit="1" customWidth="1"/>
    <col min="14" max="19" width="12.453125" customWidth="1"/>
    <col min="20" max="20" width="14.81640625" customWidth="1"/>
    <col min="21" max="21" width="12.36328125" customWidth="1"/>
    <col min="22" max="22" width="15.26953125" customWidth="1"/>
  </cols>
  <sheetData>
    <row r="1" spans="2:22" ht="15" thickBot="1" x14ac:dyDescent="0.4"/>
    <row r="2" spans="2:22" x14ac:dyDescent="0.35">
      <c r="C2" s="715" t="s">
        <v>41</v>
      </c>
      <c r="D2" s="716"/>
      <c r="E2" s="716"/>
      <c r="F2" s="716"/>
      <c r="G2" s="716"/>
      <c r="H2" s="716"/>
      <c r="I2" s="716"/>
      <c r="J2" s="717"/>
      <c r="K2" s="707" t="s">
        <v>128</v>
      </c>
      <c r="L2" s="708"/>
      <c r="M2" s="708"/>
      <c r="N2" s="708"/>
      <c r="O2" s="708"/>
      <c r="P2" s="708"/>
      <c r="Q2" s="708"/>
      <c r="R2" s="708"/>
      <c r="S2" s="709"/>
      <c r="T2" s="718" t="s">
        <v>344</v>
      </c>
      <c r="U2" s="719"/>
      <c r="V2" s="719"/>
    </row>
    <row r="3" spans="2:22" ht="29.15" customHeight="1" x14ac:dyDescent="0.35">
      <c r="C3" s="686" t="s">
        <v>1</v>
      </c>
      <c r="D3" s="688"/>
      <c r="E3" s="688"/>
      <c r="F3" s="688"/>
      <c r="G3" s="688"/>
      <c r="H3" s="702" t="s">
        <v>18</v>
      </c>
      <c r="I3" s="710" t="s">
        <v>23</v>
      </c>
      <c r="J3" s="690" t="s">
        <v>127</v>
      </c>
      <c r="K3" s="686" t="s">
        <v>1</v>
      </c>
      <c r="L3" s="711"/>
      <c r="M3" s="713" t="s">
        <v>23</v>
      </c>
      <c r="N3" s="710" t="s">
        <v>129</v>
      </c>
      <c r="O3" s="688"/>
      <c r="P3" s="688"/>
      <c r="Q3" s="688"/>
      <c r="R3" s="711"/>
      <c r="S3" s="690" t="s">
        <v>18</v>
      </c>
      <c r="T3" s="705" t="s">
        <v>345</v>
      </c>
      <c r="U3" s="705" t="s">
        <v>449</v>
      </c>
      <c r="V3" s="705" t="s">
        <v>450</v>
      </c>
    </row>
    <row r="4" spans="2:22" x14ac:dyDescent="0.35">
      <c r="C4" s="19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703"/>
      <c r="I4" s="712"/>
      <c r="J4" s="691"/>
      <c r="K4" s="19" t="s">
        <v>2</v>
      </c>
      <c r="L4" s="20" t="s">
        <v>19</v>
      </c>
      <c r="M4" s="714"/>
      <c r="N4" s="125" t="s">
        <v>130</v>
      </c>
      <c r="O4" s="20" t="s">
        <v>131</v>
      </c>
      <c r="P4" s="20" t="s">
        <v>132</v>
      </c>
      <c r="Q4" s="20" t="s">
        <v>133</v>
      </c>
      <c r="R4" s="126" t="s">
        <v>134</v>
      </c>
      <c r="S4" s="691"/>
      <c r="T4" s="706"/>
      <c r="U4" s="706"/>
      <c r="V4" s="706"/>
    </row>
    <row r="5" spans="2:22" x14ac:dyDescent="0.35">
      <c r="B5" s="16" t="str">
        <f>Addendum!E10</f>
        <v>July   2024</v>
      </c>
      <c r="C5" s="17">
        <f>IF(Conneaut!D68="","",SUM(Conneaut:Wattsburg!D68))</f>
        <v>1287676.2899999998</v>
      </c>
      <c r="D5" s="11">
        <f>IF(Conneaut!E68="","",SUM(Conneaut:Wattsburg!E68))</f>
        <v>1261624.7499999998</v>
      </c>
      <c r="E5" s="11">
        <f>IF(Conneaut!F68="","",SUM(Conneaut:Wattsburg!F68))</f>
        <v>1282156.7399999998</v>
      </c>
      <c r="F5" s="11">
        <f>IF(Conneaut!G68="","",SUM(Conneaut:Wattsburg!G68))</f>
        <v>1466181.4199999997</v>
      </c>
      <c r="G5" s="11">
        <f>IF(Conneaut!H68="","",SUM(Conneaut:Wattsburg!H68))</f>
        <v>0</v>
      </c>
      <c r="H5" s="18">
        <f>IF(Conneaut!I68="","",SUM(Conneaut:Wattsburg!I68))</f>
        <v>-156173.37</v>
      </c>
      <c r="I5" s="116">
        <f>SUM(C5:H5)</f>
        <v>5141465.8299999991</v>
      </c>
      <c r="J5" s="127">
        <f>IF(Conneaut!K68="","",SUM(Conneaut:Wattsburg!K68))</f>
        <v>3329</v>
      </c>
      <c r="K5" s="36">
        <f>IF(Iroquois!D86="","",Iroquois!D86)</f>
        <v>60182.99</v>
      </c>
      <c r="L5" s="37">
        <f>IF(Iroquois!E86="","",Iroquois!E86)</f>
        <v>22621.07</v>
      </c>
      <c r="M5" s="118">
        <f>SUM(K5:L5)</f>
        <v>82804.06</v>
      </c>
      <c r="N5" s="197">
        <f>IF(Iroquois!G86="","",Iroquois!G86)</f>
        <v>15</v>
      </c>
      <c r="O5" s="198">
        <f>IF(Iroquois!H86="","",Iroquois!H86)</f>
        <v>4</v>
      </c>
      <c r="P5" s="198">
        <f>IF(Iroquois!I86="","",Iroquois!I86)</f>
        <v>5</v>
      </c>
      <c r="Q5" s="198">
        <f>IF(Iroquois!J86="","",Iroquois!J86)</f>
        <v>3</v>
      </c>
      <c r="R5" s="199">
        <f>IF(Iroquois!K86="","",Iroquois!K86)</f>
        <v>26</v>
      </c>
      <c r="S5" s="119">
        <f>IF(Iroquois!L86="","",Iroquois!L86)</f>
        <v>8414.81</v>
      </c>
      <c r="T5" s="545">
        <f>IF(HarborCreek!J85="","",HarborCreek!J85)</f>
        <v>163344.25</v>
      </c>
      <c r="U5" s="545">
        <f>IF(Girard!J85="","",Girard!J85)</f>
        <v>87451.11</v>
      </c>
      <c r="V5" s="545">
        <f>IF(NWIU5!J85="","",NWIU5!J85)</f>
        <v>0</v>
      </c>
    </row>
    <row r="6" spans="2:22" x14ac:dyDescent="0.35">
      <c r="B6" s="16" t="str">
        <f>Addendum!E11</f>
        <v>August</v>
      </c>
      <c r="C6" s="17">
        <f>IF(Conneaut!D69="","",SUM(Conneaut:Wattsburg!D69))</f>
        <v>1388427.4200000002</v>
      </c>
      <c r="D6" s="11">
        <f>IF(Conneaut!E69="","",SUM(Conneaut:Wattsburg!E69))</f>
        <v>1400968.2799999998</v>
      </c>
      <c r="E6" s="11">
        <f>IF(Conneaut!F69="","",SUM(Conneaut:Wattsburg!F69))</f>
        <v>1802063.94</v>
      </c>
      <c r="F6" s="11">
        <f>IF(Conneaut!G69="","",SUM(Conneaut:Wattsburg!G69))</f>
        <v>1412090.48</v>
      </c>
      <c r="G6" s="11">
        <f>IF(Conneaut!H69="","",SUM(Conneaut:Wattsburg!H69))</f>
        <v>1559520.52</v>
      </c>
      <c r="H6" s="18">
        <f>IF(Conneaut!I69="","",SUM(Conneaut:Wattsburg!I69))</f>
        <v>-155974.05000000002</v>
      </c>
      <c r="I6" s="116">
        <f t="shared" ref="I6:I16" si="0">SUM(C6:H6)</f>
        <v>7407096.5900000008</v>
      </c>
      <c r="J6" s="128">
        <f>IF(Conneaut!K69="","",SUM(Conneaut:Wattsburg!K69))</f>
        <v>3355</v>
      </c>
      <c r="K6" s="17">
        <f>IF(Iroquois!D87="","",Iroquois!D87)</f>
        <v>17949.84</v>
      </c>
      <c r="L6" s="11">
        <f>IF(Iroquois!E87="","",Iroquois!E87)</f>
        <v>26397.67</v>
      </c>
      <c r="M6" s="116">
        <f t="shared" ref="M6:M16" si="1">SUM(K6:L6)</f>
        <v>44347.509999999995</v>
      </c>
      <c r="N6" s="200">
        <f>IF(Iroquois!G87="","",Iroquois!G87)</f>
        <v>15</v>
      </c>
      <c r="O6" s="201">
        <f>IF(Iroquois!H87="","",Iroquois!H87)</f>
        <v>4</v>
      </c>
      <c r="P6" s="201">
        <f>IF(Iroquois!I87="","",Iroquois!I87)</f>
        <v>5</v>
      </c>
      <c r="Q6" s="201">
        <f>IF(Iroquois!J87="","",Iroquois!J87)</f>
        <v>3</v>
      </c>
      <c r="R6" s="202">
        <f>IF(Iroquois!K87="","",Iroquois!K87)</f>
        <v>26</v>
      </c>
      <c r="S6" s="120">
        <f>IF(Iroquois!L87="","",Iroquois!L87)</f>
        <v>8414.81</v>
      </c>
      <c r="T6" s="545">
        <f>IF(HarborCreek!J86="","",HarborCreek!J86)</f>
        <v>151646.54</v>
      </c>
      <c r="U6" s="545">
        <f>IF(Girard!J86="","",Girard!J86)</f>
        <v>117179.98</v>
      </c>
      <c r="V6" s="545">
        <f>IF(NWIU5!J86="","",NWIU5!J86)</f>
        <v>0</v>
      </c>
    </row>
    <row r="7" spans="2:22" x14ac:dyDescent="0.35">
      <c r="B7" s="16" t="str">
        <f>Addendum!E12</f>
        <v>September</v>
      </c>
      <c r="C7" s="17">
        <f>IF(Conneaut!D70="","",SUM(Conneaut:Wattsburg!D70))</f>
        <v>1356339.6900000002</v>
      </c>
      <c r="D7" s="11">
        <f>IF(Conneaut!E70="","",SUM(Conneaut:Wattsburg!E70))</f>
        <v>1765553.96</v>
      </c>
      <c r="E7" s="11">
        <f>IF(Conneaut!F70="","",SUM(Conneaut:Wattsburg!F70))</f>
        <v>858097.5299999998</v>
      </c>
      <c r="F7" s="11">
        <f>IF(Conneaut!G70="","",SUM(Conneaut:Wattsburg!G70))</f>
        <v>1476071.6700000002</v>
      </c>
      <c r="G7" s="11">
        <f>IF(Conneaut!H70="","",SUM(Conneaut:Wattsburg!H70))</f>
        <v>0</v>
      </c>
      <c r="H7" s="18">
        <f>IF(Conneaut!I70="","",SUM(Conneaut:Wattsburg!I70))</f>
        <v>-156940.06</v>
      </c>
      <c r="I7" s="116">
        <f>SUM(C7:H7)</f>
        <v>5299122.790000001</v>
      </c>
      <c r="J7" s="128">
        <f>IF(Conneaut!K70="","",SUM(Conneaut:Wattsburg!K70))</f>
        <v>3372</v>
      </c>
      <c r="K7" s="17">
        <f>IF(Iroquois!D88="","",Iroquois!D88)</f>
        <v>18164.060000000001</v>
      </c>
      <c r="L7" s="11">
        <f>IF(Iroquois!E88="","",Iroquois!E88)</f>
        <v>6728.52</v>
      </c>
      <c r="M7" s="116">
        <f t="shared" si="1"/>
        <v>24892.58</v>
      </c>
      <c r="N7" s="200">
        <f>IF(Iroquois!G88="","",Iroquois!G88)</f>
        <v>15</v>
      </c>
      <c r="O7" s="201">
        <f>IF(Iroquois!H88="","",Iroquois!H88)</f>
        <v>4</v>
      </c>
      <c r="P7" s="201">
        <f>IF(Iroquois!I88="","",Iroquois!I88)</f>
        <v>5</v>
      </c>
      <c r="Q7" s="201">
        <f>IF(Iroquois!J88="","",Iroquois!J88)</f>
        <v>3</v>
      </c>
      <c r="R7" s="202">
        <f>IF(Iroquois!K88="","",Iroquois!K88)</f>
        <v>26</v>
      </c>
      <c r="S7" s="120">
        <f>IF(Iroquois!L88="","",Iroquois!L88)</f>
        <v>8414.81</v>
      </c>
      <c r="T7" s="545">
        <f>IF(HarborCreek!J87="","",HarborCreek!J87)</f>
        <v>193604.8</v>
      </c>
      <c r="U7" s="545">
        <f>IF(Girard!J87="","",Girard!J87)</f>
        <v>88570.17</v>
      </c>
      <c r="V7" s="545">
        <f>IF(NWIU5!J87="","",NWIU5!J87)</f>
        <v>0</v>
      </c>
    </row>
    <row r="8" spans="2:22" x14ac:dyDescent="0.35">
      <c r="B8" s="16" t="str">
        <f>Addendum!E13</f>
        <v>October</v>
      </c>
      <c r="C8" s="17">
        <f>IF(Conneaut!D71="","",SUM(Conneaut:Wattsburg!D71))</f>
        <v>1222222.9300000002</v>
      </c>
      <c r="D8" s="11">
        <f>IF(Conneaut!E71="","",SUM(Conneaut:Wattsburg!E71))</f>
        <v>1457914.1600000004</v>
      </c>
      <c r="E8" s="11">
        <f>IF(Conneaut!F71="","",SUM(Conneaut:Wattsburg!F71))</f>
        <v>1419449.7000000002</v>
      </c>
      <c r="F8" s="11">
        <f>IF(Conneaut!G71="","",SUM(Conneaut:Wattsburg!G71))</f>
        <v>1254436.1400000001</v>
      </c>
      <c r="G8" s="11">
        <f>IF(Conneaut!H71="","",SUM(Conneaut:Wattsburg!H71))</f>
        <v>0</v>
      </c>
      <c r="H8" s="18">
        <f>IF(Conneaut!I71="","",SUM(Conneaut:Wattsburg!I71))</f>
        <v>-158224.16</v>
      </c>
      <c r="I8" s="116">
        <f t="shared" si="0"/>
        <v>5195798.7700000014</v>
      </c>
      <c r="J8" s="128">
        <f>IF(Conneaut!K71="","",SUM(Conneaut:Wattsburg!K71))</f>
        <v>3376</v>
      </c>
      <c r="K8" s="17">
        <f>IF(Iroquois!D89="","",Iroquois!D89)</f>
        <v>64782.9</v>
      </c>
      <c r="L8" s="11">
        <f>IF(Iroquois!E89="","",Iroquois!E89)</f>
        <v>16695.740000000002</v>
      </c>
      <c r="M8" s="116">
        <f t="shared" si="1"/>
        <v>81478.64</v>
      </c>
      <c r="N8" s="200">
        <f>IF(Iroquois!G89="","",Iroquois!G89)</f>
        <v>15</v>
      </c>
      <c r="O8" s="201">
        <f>IF(Iroquois!H89="","",Iroquois!H89)</f>
        <v>4</v>
      </c>
      <c r="P8" s="201">
        <f>IF(Iroquois!I89="","",Iroquois!I89)</f>
        <v>5</v>
      </c>
      <c r="Q8" s="201">
        <f>IF(Iroquois!J89="","",Iroquois!J89)</f>
        <v>3</v>
      </c>
      <c r="R8" s="202">
        <f>IF(Iroquois!K89="","",Iroquois!K89)</f>
        <v>26</v>
      </c>
      <c r="S8" s="120">
        <f>IF(Iroquois!L89="","",Iroquois!L89)</f>
        <v>8414.81</v>
      </c>
      <c r="T8" s="545">
        <f>IF(HarborCreek!J88="","",HarborCreek!J88)</f>
        <v>174396.92</v>
      </c>
      <c r="U8" s="545">
        <f>IF(Girard!J88="","",Girard!J88)</f>
        <v>103297.4</v>
      </c>
      <c r="V8" s="545">
        <f>IF(NWIU5!J88="","",NWIU5!J88)</f>
        <v>0</v>
      </c>
    </row>
    <row r="9" spans="2:22" x14ac:dyDescent="0.35">
      <c r="B9" s="16" t="str">
        <f>Addendum!E14</f>
        <v>November</v>
      </c>
      <c r="C9" s="17">
        <f>IF(Conneaut!D72="","",SUM(Conneaut:Wattsburg!D72))</f>
        <v>1420711.9799999997</v>
      </c>
      <c r="D9" s="11">
        <f>IF(Conneaut!E72="","",SUM(Conneaut:Wattsburg!E72))</f>
        <v>1281177.7200000002</v>
      </c>
      <c r="E9" s="11">
        <f>IF(Conneaut!F72="","",SUM(Conneaut:Wattsburg!F72))</f>
        <v>1668782.87</v>
      </c>
      <c r="F9" s="11">
        <f>IF(Conneaut!G72="","",SUM(Conneaut:Wattsburg!G72))</f>
        <v>1430730.1500000004</v>
      </c>
      <c r="G9" s="11">
        <f>IF(Conneaut!H72="","",SUM(Conneaut:Wattsburg!H72))</f>
        <v>1244712.8699999999</v>
      </c>
      <c r="H9" s="18">
        <f>IF(Conneaut!I72="","",SUM(Conneaut:Wattsburg!I72))</f>
        <v>-158634.33999999997</v>
      </c>
      <c r="I9" s="116">
        <f t="shared" si="0"/>
        <v>6887481.2500000009</v>
      </c>
      <c r="J9" s="128">
        <f>IF(Conneaut!K72="","",SUM(Conneaut:Wattsburg!K72))</f>
        <v>3377</v>
      </c>
      <c r="K9" s="17">
        <f>IF(Iroquois!D90="","",Iroquois!D90)</f>
        <v>85871.93</v>
      </c>
      <c r="L9" s="11">
        <f>IF(Iroquois!E90="","",Iroquois!E90)</f>
        <v>41683.22</v>
      </c>
      <c r="M9" s="116">
        <f t="shared" si="1"/>
        <v>127555.15</v>
      </c>
      <c r="N9" s="200">
        <f>IF(Iroquois!G90="","",Iroquois!G90)</f>
        <v>14</v>
      </c>
      <c r="O9" s="201">
        <f>IF(Iroquois!H90="","",Iroquois!H90)</f>
        <v>4</v>
      </c>
      <c r="P9" s="201">
        <f>IF(Iroquois!I90="","",Iroquois!I90)</f>
        <v>5</v>
      </c>
      <c r="Q9" s="201">
        <f>IF(Iroquois!J90="","",Iroquois!J90)</f>
        <v>4</v>
      </c>
      <c r="R9" s="202">
        <f>IF(Iroquois!K90="","",Iroquois!K90)</f>
        <v>26</v>
      </c>
      <c r="S9" s="120">
        <f>IF(Iroquois!L90="","",Iroquois!L90)</f>
        <v>8414.81</v>
      </c>
      <c r="T9" s="545">
        <f>IF(HarborCreek!J89="","",HarborCreek!J89)</f>
        <v>174287.45</v>
      </c>
      <c r="U9" s="545">
        <f>IF(Girard!J89="","",Girard!J89)</f>
        <v>100801.95</v>
      </c>
      <c r="V9" s="545">
        <f>IF(NWIU5!J89="","",NWIU5!J89)</f>
        <v>0</v>
      </c>
    </row>
    <row r="10" spans="2:22" x14ac:dyDescent="0.35">
      <c r="B10" s="16" t="str">
        <f>Addendum!E15</f>
        <v>December</v>
      </c>
      <c r="C10" s="17">
        <f>IF(Conneaut!D73="","",SUM(Conneaut:Wattsburg!D73))</f>
        <v>1742867.23</v>
      </c>
      <c r="D10" s="11">
        <f>IF(Conneaut!E73="","",SUM(Conneaut:Wattsburg!E73))</f>
        <v>1410013.49</v>
      </c>
      <c r="E10" s="11">
        <f>IF(Conneaut!F73="","",SUM(Conneaut:Wattsburg!F73))</f>
        <v>1692811.41</v>
      </c>
      <c r="F10" s="11">
        <f>IF(Conneaut!G73="","",SUM(Conneaut:Wattsburg!G73))</f>
        <v>1874827.17</v>
      </c>
      <c r="G10" s="11">
        <f>IF(Conneaut!H73="","",SUM(Conneaut:Wattsburg!H73))</f>
        <v>0</v>
      </c>
      <c r="H10" s="18">
        <f>IF(Conneaut!I73="","",SUM(Conneaut:Wattsburg!I73))</f>
        <v>-157459.24999999997</v>
      </c>
      <c r="I10" s="116">
        <f t="shared" si="0"/>
        <v>6563060.0499999998</v>
      </c>
      <c r="J10" s="128">
        <f>IF(Conneaut!K73="","",SUM(Conneaut:Wattsburg!K73))</f>
        <v>3374</v>
      </c>
      <c r="K10" s="17">
        <f>IF(Iroquois!D91="","",Iroquois!D91)</f>
        <v>46030.42</v>
      </c>
      <c r="L10" s="11">
        <f>IF(Iroquois!E91="","",Iroquois!E91)</f>
        <v>50016.639999999999</v>
      </c>
      <c r="M10" s="116">
        <f t="shared" si="1"/>
        <v>96047.06</v>
      </c>
      <c r="N10" s="200">
        <f>IF(Iroquois!G91="","",Iroquois!G91)</f>
        <v>14</v>
      </c>
      <c r="O10" s="201">
        <f>IF(Iroquois!H91="","",Iroquois!H91)</f>
        <v>4</v>
      </c>
      <c r="P10" s="201">
        <f>IF(Iroquois!I91="","",Iroquois!I91)</f>
        <v>5</v>
      </c>
      <c r="Q10" s="201">
        <f>IF(Iroquois!J91="","",Iroquois!J91)</f>
        <v>4</v>
      </c>
      <c r="R10" s="202">
        <f>IF(Iroquois!K91="","",Iroquois!K91)</f>
        <v>26</v>
      </c>
      <c r="S10" s="120">
        <f>IF(Iroquois!L91="","",Iroquois!L91)</f>
        <v>8414.81</v>
      </c>
      <c r="T10" s="545">
        <f>IF(HarborCreek!J90="","",HarborCreek!J90)</f>
        <v>195839.65</v>
      </c>
      <c r="U10" s="545">
        <f>IF(Girard!J90="","",Girard!J90)</f>
        <v>108366.92</v>
      </c>
      <c r="V10" s="545">
        <f>IF(NWIU5!J90="","",NWIU5!J90)</f>
        <v>0</v>
      </c>
    </row>
    <row r="11" spans="2:22" x14ac:dyDescent="0.35">
      <c r="B11" s="16" t="str">
        <f>Addendum!E16</f>
        <v>January 2025</v>
      </c>
      <c r="C11" s="17">
        <f>IF(Conneaut!D74="","",SUM(Conneaut:Wattsburg!D74))</f>
        <v>1710994.5499999998</v>
      </c>
      <c r="D11" s="11">
        <f>IF(Conneaut!E74="","",SUM(Conneaut:Wattsburg!E74))</f>
        <v>1639497.5899999999</v>
      </c>
      <c r="E11" s="11">
        <f>IF(Conneaut!F74="","",SUM(Conneaut:Wattsburg!F74))</f>
        <v>1571105.9100000001</v>
      </c>
      <c r="F11" s="11">
        <f>IF(Conneaut!G74="","",SUM(Conneaut:Wattsburg!G74))</f>
        <v>1424655.4799999997</v>
      </c>
      <c r="G11" s="11">
        <f>IF(Conneaut!H74="","",SUM(Conneaut:Wattsburg!H74))</f>
        <v>1772515.1200000003</v>
      </c>
      <c r="H11" s="18">
        <f>IF(Conneaut!I74="","",SUM(Conneaut:Wattsburg!I74))</f>
        <v>-133292.19</v>
      </c>
      <c r="I11" s="116">
        <f t="shared" si="0"/>
        <v>7985476.459999999</v>
      </c>
      <c r="J11" s="128">
        <f>IF(Conneaut!K74="","",SUM(Conneaut:Wattsburg!K74))</f>
        <v>3426</v>
      </c>
      <c r="K11" s="17" t="str">
        <f>IF(Iroquois!D92="","",Iroquois!D92)</f>
        <v/>
      </c>
      <c r="L11" s="11" t="str">
        <f>IF(Iroquois!E92="","",Iroquois!E92)</f>
        <v/>
      </c>
      <c r="M11" s="116">
        <f t="shared" si="1"/>
        <v>0</v>
      </c>
      <c r="N11" s="200" t="str">
        <f>IF(Iroquois!G92="","",Iroquois!G92)</f>
        <v/>
      </c>
      <c r="O11" s="201" t="str">
        <f>IF(Iroquois!H92="","",Iroquois!H92)</f>
        <v/>
      </c>
      <c r="P11" s="201" t="str">
        <f>IF(Iroquois!I92="","",Iroquois!I92)</f>
        <v/>
      </c>
      <c r="Q11" s="201" t="str">
        <f>IF(Iroquois!J92="","",Iroquois!J92)</f>
        <v/>
      </c>
      <c r="R11" s="202" t="str">
        <f>IF(Iroquois!K92="","",Iroquois!K92)</f>
        <v/>
      </c>
      <c r="S11" s="120">
        <f>IF(Iroquois!L92="","",Iroquois!L92)</f>
        <v>0</v>
      </c>
      <c r="T11" s="545">
        <f>IF(HarborCreek!J91="","",HarborCreek!J91)</f>
        <v>216748.31</v>
      </c>
      <c r="U11" s="545">
        <f>IF(Girard!J91="","",Girard!J91)</f>
        <v>79312.160000000003</v>
      </c>
      <c r="V11" s="545">
        <f>IF(NWIU5!J91="","",NWIU5!J91)</f>
        <v>99472.8</v>
      </c>
    </row>
    <row r="12" spans="2:22" x14ac:dyDescent="0.35">
      <c r="B12" s="16" t="str">
        <f>Addendum!E17</f>
        <v>February</v>
      </c>
      <c r="C12" s="17">
        <f>IF(Conneaut!D75="","",SUM(Conneaut:Wattsburg!D75))</f>
        <v>1469166.32</v>
      </c>
      <c r="D12" s="11">
        <f>IF(Conneaut!E75="","",SUM(Conneaut:Wattsburg!E75))</f>
        <v>1428730.71</v>
      </c>
      <c r="E12" s="11">
        <f>IF(Conneaut!F75="","",SUM(Conneaut:Wattsburg!F75))</f>
        <v>1623163.44</v>
      </c>
      <c r="F12" s="11">
        <f>IF(Conneaut!G75="","",SUM(Conneaut:Wattsburg!G75))</f>
        <v>1841516.2300000002</v>
      </c>
      <c r="G12" s="11">
        <f>IF(Conneaut!H75="","",SUM(Conneaut:Wattsburg!H75))</f>
        <v>0</v>
      </c>
      <c r="H12" s="18">
        <f>IF(Conneaut!I75="","",SUM(Conneaut:Wattsburg!I75))</f>
        <v>-133131.15999999997</v>
      </c>
      <c r="I12" s="116">
        <f t="shared" si="0"/>
        <v>6229445.540000001</v>
      </c>
      <c r="J12" s="128">
        <f>IF(Conneaut!K75="","",SUM(Conneaut:Wattsburg!K75))</f>
        <v>3427</v>
      </c>
      <c r="K12" s="17" t="str">
        <f>IF(Iroquois!D93="","",Iroquois!D93)</f>
        <v/>
      </c>
      <c r="L12" s="11" t="str">
        <f>IF(Iroquois!E93="","",Iroquois!E93)</f>
        <v/>
      </c>
      <c r="M12" s="116">
        <f t="shared" si="1"/>
        <v>0</v>
      </c>
      <c r="N12" s="200" t="str">
        <f>IF(Iroquois!G93="","",Iroquois!G93)</f>
        <v/>
      </c>
      <c r="O12" s="201" t="str">
        <f>IF(Iroquois!H93="","",Iroquois!H93)</f>
        <v/>
      </c>
      <c r="P12" s="201" t="str">
        <f>IF(Iroquois!I93="","",Iroquois!I93)</f>
        <v/>
      </c>
      <c r="Q12" s="201" t="str">
        <f>IF(Iroquois!J93="","",Iroquois!J93)</f>
        <v/>
      </c>
      <c r="R12" s="202" t="str">
        <f>IF(Iroquois!K93="","",Iroquois!K93)</f>
        <v/>
      </c>
      <c r="S12" s="120">
        <f>IF(Iroquois!L93="","",Iroquois!L93)</f>
        <v>0</v>
      </c>
      <c r="T12" s="545">
        <f>IF(HarborCreek!J92="","",HarborCreek!J92)</f>
        <v>175370.22</v>
      </c>
      <c r="U12" s="545">
        <f>IF(Girard!J92="","",Girard!J92)</f>
        <v>78940.39</v>
      </c>
      <c r="V12" s="545">
        <f>IF(NWIU5!J92="","",NWIU5!J92)</f>
        <v>96655.45</v>
      </c>
    </row>
    <row r="13" spans="2:22" x14ac:dyDescent="0.35">
      <c r="B13" s="16" t="str">
        <f>Addendum!E18</f>
        <v>March</v>
      </c>
      <c r="C13" s="17" t="str">
        <f>IF(Conneaut!D76="","",SUM(Conneaut:Wattsburg!D76))</f>
        <v/>
      </c>
      <c r="D13" s="11" t="str">
        <f>IF(Conneaut!E76="","",SUM(Conneaut:Wattsburg!E76))</f>
        <v/>
      </c>
      <c r="E13" s="11" t="str">
        <f>IF(Conneaut!F76="","",SUM(Conneaut:Wattsburg!F76))</f>
        <v/>
      </c>
      <c r="F13" s="11" t="str">
        <f>IF(Conneaut!G76="","",SUM(Conneaut:Wattsburg!G76))</f>
        <v/>
      </c>
      <c r="G13" s="11" t="str">
        <f>IF(Conneaut!H76="","",SUM(Conneaut:Wattsburg!H76))</f>
        <v/>
      </c>
      <c r="H13" s="18" t="str">
        <f>IF(Conneaut!I76="","",SUM(Conneaut:Wattsburg!I76))</f>
        <v/>
      </c>
      <c r="I13" s="116">
        <f t="shared" si="0"/>
        <v>0</v>
      </c>
      <c r="J13" s="128" t="str">
        <f>IF(Conneaut!K76="","",SUM(Conneaut:Wattsburg!K76))</f>
        <v/>
      </c>
      <c r="K13" s="17" t="str">
        <f>IF(Iroquois!D94="","",Iroquois!D94)</f>
        <v/>
      </c>
      <c r="L13" s="11" t="str">
        <f>IF(Iroquois!E94="","",Iroquois!E94)</f>
        <v/>
      </c>
      <c r="M13" s="116">
        <f t="shared" si="1"/>
        <v>0</v>
      </c>
      <c r="N13" s="200" t="str">
        <f>IF(Iroquois!G94="","",Iroquois!G94)</f>
        <v/>
      </c>
      <c r="O13" s="201" t="str">
        <f>IF(Iroquois!H94="","",Iroquois!H94)</f>
        <v/>
      </c>
      <c r="P13" s="201" t="str">
        <f>IF(Iroquois!I94="","",Iroquois!I94)</f>
        <v/>
      </c>
      <c r="Q13" s="201" t="str">
        <f>IF(Iroquois!J94="","",Iroquois!J94)</f>
        <v/>
      </c>
      <c r="R13" s="202" t="str">
        <f>IF(Iroquois!K94="","",Iroquois!K94)</f>
        <v/>
      </c>
      <c r="S13" s="120">
        <f>IF(Iroquois!L94="","",Iroquois!L94)</f>
        <v>0</v>
      </c>
      <c r="T13" s="545" t="str">
        <f>IF(HarborCreek!J93="","",HarborCreek!J93)</f>
        <v/>
      </c>
      <c r="U13" s="545" t="str">
        <f>IF(Girard!J93="","",Girard!J93)</f>
        <v/>
      </c>
      <c r="V13" s="545" t="str">
        <f>IF(NWIU5!J93="","",NWIU5!J93)</f>
        <v/>
      </c>
    </row>
    <row r="14" spans="2:22" x14ac:dyDescent="0.35">
      <c r="B14" s="16" t="str">
        <f>Addendum!E19</f>
        <v>April</v>
      </c>
      <c r="C14" s="17" t="str">
        <f>IF(Conneaut!D77="","",SUM(Conneaut:Wattsburg!D77))</f>
        <v/>
      </c>
      <c r="D14" s="11" t="str">
        <f>IF(Conneaut!E77="","",SUM(Conneaut:Wattsburg!E77))</f>
        <v/>
      </c>
      <c r="E14" s="11" t="str">
        <f>IF(Conneaut!F77="","",SUM(Conneaut:Wattsburg!F77))</f>
        <v/>
      </c>
      <c r="F14" s="11" t="str">
        <f>IF(Conneaut!G77="","",SUM(Conneaut:Wattsburg!G77))</f>
        <v/>
      </c>
      <c r="G14" s="11" t="str">
        <f>IF(Conneaut!H77="","",SUM(Conneaut:Wattsburg!H77))</f>
        <v/>
      </c>
      <c r="H14" s="18" t="str">
        <f>IF(Conneaut!I77="","",SUM(Conneaut:Wattsburg!I77))</f>
        <v/>
      </c>
      <c r="I14" s="116">
        <f t="shared" si="0"/>
        <v>0</v>
      </c>
      <c r="J14" s="128" t="str">
        <f>IF(Conneaut!K77="","",SUM(Conneaut:Wattsburg!K77))</f>
        <v/>
      </c>
      <c r="K14" s="17" t="str">
        <f>IF(Iroquois!D95="","",Iroquois!D95)</f>
        <v/>
      </c>
      <c r="L14" s="11" t="str">
        <f>IF(Iroquois!E95="","",Iroquois!E95)</f>
        <v/>
      </c>
      <c r="M14" s="116">
        <f t="shared" si="1"/>
        <v>0</v>
      </c>
      <c r="N14" s="200" t="str">
        <f>IF(Iroquois!G95="","",Iroquois!G95)</f>
        <v/>
      </c>
      <c r="O14" s="201" t="str">
        <f>IF(Iroquois!H95="","",Iroquois!H95)</f>
        <v/>
      </c>
      <c r="P14" s="201" t="str">
        <f>IF(Iroquois!I95="","",Iroquois!I95)</f>
        <v/>
      </c>
      <c r="Q14" s="201" t="str">
        <f>IF(Iroquois!J95="","",Iroquois!J95)</f>
        <v/>
      </c>
      <c r="R14" s="202" t="str">
        <f>IF(Iroquois!K95="","",Iroquois!K95)</f>
        <v/>
      </c>
      <c r="S14" s="120">
        <f>IF(Iroquois!L95="","",Iroquois!L95)</f>
        <v>0</v>
      </c>
      <c r="T14" s="545" t="str">
        <f>IF(HarborCreek!J94="","",HarborCreek!J94)</f>
        <v/>
      </c>
      <c r="U14" s="545" t="str">
        <f>IF(Girard!J94="","",Girard!J94)</f>
        <v/>
      </c>
      <c r="V14" s="545" t="str">
        <f>IF(NWIU5!J94="","",NWIU5!J94)</f>
        <v/>
      </c>
    </row>
    <row r="15" spans="2:22" x14ac:dyDescent="0.35">
      <c r="B15" s="16" t="str">
        <f>Addendum!E20</f>
        <v>May</v>
      </c>
      <c r="C15" s="17" t="str">
        <f>IF(Conneaut!D78="","",SUM(Conneaut:Wattsburg!D78))</f>
        <v/>
      </c>
      <c r="D15" s="11" t="str">
        <f>IF(Conneaut!E78="","",SUM(Conneaut:Wattsburg!E78))</f>
        <v/>
      </c>
      <c r="E15" s="11" t="str">
        <f>IF(Conneaut!F78="","",SUM(Conneaut:Wattsburg!F78))</f>
        <v/>
      </c>
      <c r="F15" s="11" t="str">
        <f>IF(Conneaut!G78="","",SUM(Conneaut:Wattsburg!G78))</f>
        <v/>
      </c>
      <c r="G15" s="11" t="str">
        <f>IF(Conneaut!H78="","",SUM(Conneaut:Wattsburg!H78))</f>
        <v/>
      </c>
      <c r="H15" s="18" t="str">
        <f>IF(Conneaut!I78="","",SUM(Conneaut:Wattsburg!I78))</f>
        <v/>
      </c>
      <c r="I15" s="116">
        <f t="shared" si="0"/>
        <v>0</v>
      </c>
      <c r="J15" s="128" t="str">
        <f>IF(Conneaut!K78="","",SUM(Conneaut:Wattsburg!K78))</f>
        <v/>
      </c>
      <c r="K15" s="17" t="str">
        <f>IF(Iroquois!D96="","",Iroquois!D96)</f>
        <v/>
      </c>
      <c r="L15" s="11" t="str">
        <f>IF(Iroquois!E96="","",Iroquois!E96)</f>
        <v/>
      </c>
      <c r="M15" s="116">
        <f t="shared" si="1"/>
        <v>0</v>
      </c>
      <c r="N15" s="200" t="str">
        <f>IF(Iroquois!G96="","",Iroquois!G96)</f>
        <v/>
      </c>
      <c r="O15" s="201" t="str">
        <f>IF(Iroquois!H96="","",Iroquois!H96)</f>
        <v/>
      </c>
      <c r="P15" s="201" t="str">
        <f>IF(Iroquois!I96="","",Iroquois!I96)</f>
        <v/>
      </c>
      <c r="Q15" s="201" t="str">
        <f>IF(Iroquois!J96="","",Iroquois!J96)</f>
        <v/>
      </c>
      <c r="R15" s="202" t="str">
        <f>IF(Iroquois!K96="","",Iroquois!K96)</f>
        <v/>
      </c>
      <c r="S15" s="120">
        <f>IF(Iroquois!L96="","",Iroquois!L96)</f>
        <v>0</v>
      </c>
      <c r="T15" s="545" t="str">
        <f>IF(HarborCreek!J95="","",HarborCreek!J95)</f>
        <v/>
      </c>
      <c r="U15" s="545" t="str">
        <f>IF(Girard!J95="","",Girard!J95)</f>
        <v/>
      </c>
      <c r="V15" s="545" t="str">
        <f>IF(NWIU5!J95="","",NWIU5!J95)</f>
        <v/>
      </c>
    </row>
    <row r="16" spans="2:22" ht="15" thickBot="1" x14ac:dyDescent="0.4">
      <c r="B16" s="16" t="str">
        <f>Addendum!E21</f>
        <v>June</v>
      </c>
      <c r="C16" s="17" t="str">
        <f>IF(Conneaut!D79="","",SUM(Conneaut:Wattsburg!D79))</f>
        <v/>
      </c>
      <c r="D16" s="11" t="str">
        <f>IF(Conneaut!E79="","",SUM(Conneaut:Wattsburg!E79))</f>
        <v/>
      </c>
      <c r="E16" s="11" t="str">
        <f>IF(Conneaut!F79="","",SUM(Conneaut:Wattsburg!F79))</f>
        <v/>
      </c>
      <c r="F16" s="11" t="str">
        <f>IF(Conneaut!G79="","",SUM(Conneaut:Wattsburg!G79))</f>
        <v/>
      </c>
      <c r="G16" s="11" t="str">
        <f>IF(Conneaut!H79="","",SUM(Conneaut:Wattsburg!H79))</f>
        <v/>
      </c>
      <c r="H16" s="18" t="str">
        <f>IF(Conneaut!I79="","",SUM(Conneaut:Wattsburg!I79))</f>
        <v/>
      </c>
      <c r="I16" s="116">
        <f t="shared" si="0"/>
        <v>0</v>
      </c>
      <c r="J16" s="720" t="str">
        <f>IF(Conneaut!K79="","",SUM(Conneaut:Wattsburg!K79))</f>
        <v/>
      </c>
      <c r="K16" s="17" t="str">
        <f>IF(Iroquois!D97="","",Iroquois!D97)</f>
        <v/>
      </c>
      <c r="L16" s="11" t="str">
        <f>IF(Iroquois!E97="","",Iroquois!E97)</f>
        <v/>
      </c>
      <c r="M16" s="116">
        <f t="shared" si="1"/>
        <v>0</v>
      </c>
      <c r="N16" s="200" t="str">
        <f>IF(Iroquois!G97="","",Iroquois!G97)</f>
        <v/>
      </c>
      <c r="O16" s="201" t="str">
        <f>IF(Iroquois!H97="","",Iroquois!H97)</f>
        <v/>
      </c>
      <c r="P16" s="201" t="str">
        <f>IF(Iroquois!I97="","",Iroquois!I97)</f>
        <v/>
      </c>
      <c r="Q16" s="201" t="str">
        <f>IF(Iroquois!J97="","",Iroquois!J97)</f>
        <v/>
      </c>
      <c r="R16" s="202" t="str">
        <f>IF(Iroquois!K97="","",Iroquois!K97)</f>
        <v/>
      </c>
      <c r="S16" s="120">
        <f>IF(Iroquois!L97="","",Iroquois!L97)</f>
        <v>0</v>
      </c>
      <c r="T16" s="545" t="str">
        <f>IF(HarborCreek!J96="","",HarborCreek!J96)</f>
        <v/>
      </c>
      <c r="U16" s="545" t="str">
        <f>IF(Girard!J96="","",Girard!J96)</f>
        <v/>
      </c>
      <c r="V16" s="545" t="str">
        <f>IF(NWIU5!J96="","",NWIU5!J96)</f>
        <v/>
      </c>
    </row>
    <row r="17" spans="2:22" ht="15.5" thickTop="1" thickBot="1" x14ac:dyDescent="0.4">
      <c r="B17" s="8" t="s">
        <v>22</v>
      </c>
      <c r="C17" s="25">
        <f>SUM(C5:C16)</f>
        <v>11598406.41</v>
      </c>
      <c r="D17" s="26">
        <f t="shared" ref="D17:I17" si="2">SUM(D5:D16)</f>
        <v>11645480.66</v>
      </c>
      <c r="E17" s="26">
        <f t="shared" si="2"/>
        <v>11917631.539999999</v>
      </c>
      <c r="F17" s="26">
        <f t="shared" si="2"/>
        <v>12180508.74</v>
      </c>
      <c r="G17" s="26">
        <f t="shared" si="2"/>
        <v>4576748.51</v>
      </c>
      <c r="H17" s="27">
        <f t="shared" si="2"/>
        <v>-1209828.5799999998</v>
      </c>
      <c r="I17" s="117">
        <f t="shared" si="2"/>
        <v>50708947.280000001</v>
      </c>
      <c r="J17" s="129">
        <f>SUM(J5:J16)</f>
        <v>27036</v>
      </c>
      <c r="K17" s="121">
        <f>SUM(K5:K16)</f>
        <v>292982.14</v>
      </c>
      <c r="L17" s="122">
        <f>SUM(L5:L16)</f>
        <v>164142.85999999999</v>
      </c>
      <c r="M17" s="123">
        <f>SUM(M5:M16)</f>
        <v>457124.99999999994</v>
      </c>
      <c r="N17" s="130">
        <f>AVERAGE(N5:N16)</f>
        <v>14.666666666666666</v>
      </c>
      <c r="O17" s="130">
        <f t="shared" ref="O17:R17" si="3">AVERAGE(O5:O16)</f>
        <v>4</v>
      </c>
      <c r="P17" s="130">
        <f t="shared" si="3"/>
        <v>5</v>
      </c>
      <c r="Q17" s="130">
        <f t="shared" si="3"/>
        <v>3.3333333333333335</v>
      </c>
      <c r="R17" s="130">
        <f t="shared" si="3"/>
        <v>26</v>
      </c>
      <c r="S17" s="124">
        <f>SUM(S5:S16)</f>
        <v>50488.859999999993</v>
      </c>
      <c r="T17" s="544">
        <f>SUM(T5:T16)</f>
        <v>1445238.14</v>
      </c>
      <c r="U17" s="544">
        <f t="shared" ref="U17:V17" si="4">SUM(U5:U16)</f>
        <v>763920.08000000007</v>
      </c>
      <c r="V17" s="544">
        <f t="shared" si="4"/>
        <v>196128.25</v>
      </c>
    </row>
  </sheetData>
  <mergeCells count="14">
    <mergeCell ref="U3:U4"/>
    <mergeCell ref="V3:V4"/>
    <mergeCell ref="T2:V2"/>
    <mergeCell ref="T3:T4"/>
    <mergeCell ref="K2:S2"/>
    <mergeCell ref="N3:R3"/>
    <mergeCell ref="S3:S4"/>
    <mergeCell ref="C3:G3"/>
    <mergeCell ref="H3:H4"/>
    <mergeCell ref="I3:I4"/>
    <mergeCell ref="K3:L3"/>
    <mergeCell ref="M3:M4"/>
    <mergeCell ref="C2:J2"/>
    <mergeCell ref="J3:J4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0ECC3-2CBE-48EF-AB7B-0C397C285B32}">
  <dimension ref="A1:G241"/>
  <sheetViews>
    <sheetView workbookViewId="0">
      <selection activeCell="J12" sqref="J12"/>
    </sheetView>
  </sheetViews>
  <sheetFormatPr defaultRowHeight="14.5" x14ac:dyDescent="0.35"/>
  <cols>
    <col min="1" max="1" width="10.453125" customWidth="1"/>
    <col min="2" max="2" width="9.453125" style="569" bestFit="1" customWidth="1"/>
    <col min="4" max="5" width="13.54296875" style="524" bestFit="1" customWidth="1"/>
    <col min="6" max="6" width="14.26953125" style="524" bestFit="1" customWidth="1"/>
    <col min="7" max="7" width="12.81640625" style="524" bestFit="1" customWidth="1"/>
  </cols>
  <sheetData>
    <row r="1" spans="1:7" x14ac:dyDescent="0.35">
      <c r="A1" t="s">
        <v>399</v>
      </c>
      <c r="B1" s="569" t="s">
        <v>0</v>
      </c>
      <c r="C1" t="s">
        <v>400</v>
      </c>
      <c r="D1" s="524" t="s">
        <v>2</v>
      </c>
      <c r="E1" s="524" t="s">
        <v>19</v>
      </c>
      <c r="F1" s="524" t="s">
        <v>401</v>
      </c>
      <c r="G1" s="524" t="s">
        <v>402</v>
      </c>
    </row>
    <row r="2" spans="1:7" x14ac:dyDescent="0.35">
      <c r="A2" t="s">
        <v>252</v>
      </c>
      <c r="B2" s="569">
        <v>45108</v>
      </c>
      <c r="C2">
        <v>216</v>
      </c>
      <c r="D2" s="524">
        <v>314165.71000000002</v>
      </c>
      <c r="E2" s="524">
        <v>167818.94</v>
      </c>
      <c r="F2" s="524">
        <v>-16220.789999999997</v>
      </c>
      <c r="G2" s="524">
        <v>-23760</v>
      </c>
    </row>
    <row r="3" spans="1:7" x14ac:dyDescent="0.35">
      <c r="A3" t="s">
        <v>252</v>
      </c>
      <c r="B3" s="569">
        <v>45139</v>
      </c>
      <c r="C3">
        <v>217</v>
      </c>
      <c r="D3" s="524">
        <v>283223.8</v>
      </c>
      <c r="E3" s="524">
        <v>118426.91</v>
      </c>
      <c r="F3" s="524">
        <v>-64014.64</v>
      </c>
      <c r="G3" s="524">
        <v>-23870</v>
      </c>
    </row>
    <row r="4" spans="1:7" x14ac:dyDescent="0.35">
      <c r="A4" t="s">
        <v>252</v>
      </c>
      <c r="B4" s="569">
        <v>45170</v>
      </c>
      <c r="C4">
        <v>215</v>
      </c>
      <c r="D4" s="524">
        <v>393121.9</v>
      </c>
      <c r="E4" s="524">
        <v>155118.70000000001</v>
      </c>
      <c r="F4" s="524">
        <v>-74133.180000000008</v>
      </c>
      <c r="G4" s="524">
        <v>-23650</v>
      </c>
    </row>
    <row r="5" spans="1:7" x14ac:dyDescent="0.35">
      <c r="A5" t="s">
        <v>252</v>
      </c>
      <c r="B5" s="569">
        <v>45200</v>
      </c>
      <c r="C5">
        <v>206</v>
      </c>
      <c r="D5" s="524">
        <v>173194.97</v>
      </c>
      <c r="E5" s="524">
        <v>130874.06</v>
      </c>
      <c r="F5" s="524">
        <v>-7826.4700000000012</v>
      </c>
      <c r="G5" s="524">
        <v>-22660</v>
      </c>
    </row>
    <row r="6" spans="1:7" x14ac:dyDescent="0.35">
      <c r="A6" t="s">
        <v>252</v>
      </c>
      <c r="B6" s="569">
        <v>45231</v>
      </c>
      <c r="C6">
        <v>205</v>
      </c>
      <c r="D6" s="524">
        <v>156810.31000000003</v>
      </c>
      <c r="E6" s="524">
        <v>96703.9</v>
      </c>
      <c r="F6" s="524">
        <v>-34940.599999999984</v>
      </c>
      <c r="G6" s="524">
        <v>-22550</v>
      </c>
    </row>
    <row r="7" spans="1:7" x14ac:dyDescent="0.35">
      <c r="A7" t="s">
        <v>252</v>
      </c>
      <c r="B7" s="569">
        <v>45261</v>
      </c>
      <c r="C7">
        <v>207</v>
      </c>
      <c r="D7" s="524">
        <v>478822.2</v>
      </c>
      <c r="E7" s="524">
        <v>182402.8</v>
      </c>
      <c r="F7" s="524">
        <v>-147494.87000000002</v>
      </c>
      <c r="G7" s="524">
        <v>-22770</v>
      </c>
    </row>
    <row r="8" spans="1:7" x14ac:dyDescent="0.35">
      <c r="A8" t="s">
        <v>252</v>
      </c>
      <c r="B8" s="569">
        <v>45292</v>
      </c>
      <c r="C8">
        <v>209</v>
      </c>
      <c r="D8" s="524">
        <v>314681.24</v>
      </c>
      <c r="E8" s="524">
        <v>114187.06</v>
      </c>
      <c r="F8" s="524">
        <v>-75030.279999999955</v>
      </c>
      <c r="G8" s="524">
        <v>-22990</v>
      </c>
    </row>
    <row r="9" spans="1:7" x14ac:dyDescent="0.35">
      <c r="A9" t="s">
        <v>252</v>
      </c>
      <c r="B9" s="569">
        <v>45323</v>
      </c>
      <c r="C9">
        <v>209</v>
      </c>
      <c r="D9" s="524">
        <v>287699.21999999997</v>
      </c>
      <c r="E9" s="524">
        <v>116935.64</v>
      </c>
      <c r="F9" s="524">
        <v>-89153.620000000068</v>
      </c>
      <c r="G9" s="524">
        <v>-22990</v>
      </c>
    </row>
    <row r="10" spans="1:7" x14ac:dyDescent="0.35">
      <c r="A10" t="s">
        <v>252</v>
      </c>
      <c r="B10" s="569">
        <v>45352</v>
      </c>
      <c r="C10">
        <v>210</v>
      </c>
      <c r="D10" s="524">
        <v>347933.5</v>
      </c>
      <c r="E10" s="524">
        <v>136836.26</v>
      </c>
      <c r="F10" s="524">
        <v>-207525.89999999997</v>
      </c>
      <c r="G10" s="524">
        <v>-23100</v>
      </c>
    </row>
    <row r="11" spans="1:7" x14ac:dyDescent="0.35">
      <c r="A11" t="s">
        <v>252</v>
      </c>
      <c r="B11" s="569">
        <v>45383</v>
      </c>
      <c r="C11">
        <v>210</v>
      </c>
      <c r="D11" s="524">
        <v>267010.8</v>
      </c>
      <c r="E11" s="524">
        <v>135789.60999999999</v>
      </c>
      <c r="F11" s="524">
        <v>-175674.22999999995</v>
      </c>
      <c r="G11" s="524">
        <v>-23100</v>
      </c>
    </row>
    <row r="12" spans="1:7" x14ac:dyDescent="0.35">
      <c r="A12" t="s">
        <v>252</v>
      </c>
      <c r="B12" s="569">
        <v>45413</v>
      </c>
      <c r="C12">
        <v>209</v>
      </c>
      <c r="D12" s="524">
        <v>289958.06999999995</v>
      </c>
      <c r="E12" s="524">
        <v>184688.32</v>
      </c>
      <c r="F12" s="524">
        <v>-101853.51000000004</v>
      </c>
      <c r="G12" s="524">
        <v>-22990</v>
      </c>
    </row>
    <row r="13" spans="1:7" x14ac:dyDescent="0.35">
      <c r="A13" t="s">
        <v>252</v>
      </c>
      <c r="B13" s="569">
        <v>45444</v>
      </c>
      <c r="C13">
        <v>210</v>
      </c>
      <c r="D13" s="524">
        <v>285604.24000000005</v>
      </c>
      <c r="E13" s="524">
        <v>117496.77</v>
      </c>
      <c r="F13" s="524">
        <v>-110879.31000000003</v>
      </c>
      <c r="G13" s="524">
        <v>-23100</v>
      </c>
    </row>
    <row r="14" spans="1:7" x14ac:dyDescent="0.35">
      <c r="A14" t="s">
        <v>253</v>
      </c>
      <c r="B14" s="569">
        <v>45108</v>
      </c>
      <c r="C14">
        <v>260</v>
      </c>
      <c r="D14" s="524">
        <v>308629.12</v>
      </c>
      <c r="E14" s="524">
        <v>138319.43</v>
      </c>
      <c r="F14" s="524">
        <v>-96436.900000000009</v>
      </c>
      <c r="G14" s="524">
        <v>-28600</v>
      </c>
    </row>
    <row r="15" spans="1:7" x14ac:dyDescent="0.35">
      <c r="A15" t="s">
        <v>253</v>
      </c>
      <c r="B15" s="569">
        <v>45139</v>
      </c>
      <c r="C15">
        <v>259</v>
      </c>
      <c r="D15" s="524">
        <v>283370.25</v>
      </c>
      <c r="E15" s="524">
        <v>130401.33</v>
      </c>
      <c r="F15" s="524">
        <v>-23651.88</v>
      </c>
      <c r="G15" s="524">
        <v>-28490</v>
      </c>
    </row>
    <row r="16" spans="1:7" x14ac:dyDescent="0.35">
      <c r="A16" t="s">
        <v>253</v>
      </c>
      <c r="B16" s="569">
        <v>45170</v>
      </c>
      <c r="C16">
        <v>262</v>
      </c>
      <c r="D16" s="524">
        <v>355374.09</v>
      </c>
      <c r="E16" s="524">
        <v>170582.34</v>
      </c>
      <c r="F16" s="524">
        <v>-85293.42</v>
      </c>
      <c r="G16" s="524">
        <v>-28820</v>
      </c>
    </row>
    <row r="17" spans="1:7" x14ac:dyDescent="0.35">
      <c r="A17" t="s">
        <v>253</v>
      </c>
      <c r="B17" s="569">
        <v>45200</v>
      </c>
      <c r="C17">
        <v>263</v>
      </c>
      <c r="D17" s="524">
        <v>229730.09999999998</v>
      </c>
      <c r="E17" s="524">
        <v>181565.09</v>
      </c>
      <c r="F17" s="524">
        <v>-72178.150000000009</v>
      </c>
      <c r="G17" s="524">
        <v>-28930</v>
      </c>
    </row>
    <row r="18" spans="1:7" x14ac:dyDescent="0.35">
      <c r="A18" t="s">
        <v>253</v>
      </c>
      <c r="B18" s="569">
        <v>45231</v>
      </c>
      <c r="C18">
        <v>263</v>
      </c>
      <c r="D18" s="524">
        <v>157130.10999999999</v>
      </c>
      <c r="E18" s="524">
        <v>125715.7</v>
      </c>
      <c r="F18" s="524">
        <v>-53253.079999999994</v>
      </c>
      <c r="G18" s="524">
        <v>-28930</v>
      </c>
    </row>
    <row r="19" spans="1:7" x14ac:dyDescent="0.35">
      <c r="A19" t="s">
        <v>253</v>
      </c>
      <c r="B19" s="569">
        <v>45261</v>
      </c>
      <c r="C19">
        <v>261</v>
      </c>
      <c r="D19" s="524">
        <v>460052.30000000005</v>
      </c>
      <c r="E19" s="524">
        <v>155428.84</v>
      </c>
      <c r="F19" s="524">
        <v>-154729.82999999999</v>
      </c>
      <c r="G19" s="524">
        <v>-28710</v>
      </c>
    </row>
    <row r="20" spans="1:7" x14ac:dyDescent="0.35">
      <c r="A20" t="s">
        <v>253</v>
      </c>
      <c r="B20" s="569">
        <v>45292</v>
      </c>
      <c r="C20">
        <v>261</v>
      </c>
      <c r="D20" s="524">
        <v>272758.77999999997</v>
      </c>
      <c r="E20" s="524">
        <v>128067.22</v>
      </c>
      <c r="F20" s="524">
        <v>-165457.31000000003</v>
      </c>
      <c r="G20" s="524">
        <v>-28710</v>
      </c>
    </row>
    <row r="21" spans="1:7" x14ac:dyDescent="0.35">
      <c r="A21" t="s">
        <v>253</v>
      </c>
      <c r="B21" s="569">
        <v>45323</v>
      </c>
      <c r="C21">
        <v>260</v>
      </c>
      <c r="D21" s="524">
        <v>290866.47000000003</v>
      </c>
      <c r="E21" s="524">
        <v>143642.79</v>
      </c>
      <c r="F21" s="524">
        <v>-134147.15999999997</v>
      </c>
      <c r="G21" s="524">
        <v>-28600</v>
      </c>
    </row>
    <row r="22" spans="1:7" x14ac:dyDescent="0.35">
      <c r="A22" t="s">
        <v>253</v>
      </c>
      <c r="B22" s="569">
        <v>45352</v>
      </c>
      <c r="C22">
        <v>260</v>
      </c>
      <c r="D22" s="524">
        <v>275919.87</v>
      </c>
      <c r="E22" s="524">
        <v>183244.3</v>
      </c>
      <c r="F22" s="524">
        <v>-99031.230000000069</v>
      </c>
      <c r="G22" s="524">
        <v>-28600</v>
      </c>
    </row>
    <row r="23" spans="1:7" x14ac:dyDescent="0.35">
      <c r="A23" t="s">
        <v>253</v>
      </c>
      <c r="B23" s="569">
        <v>45383</v>
      </c>
      <c r="C23">
        <v>256</v>
      </c>
      <c r="D23" s="524">
        <v>356258.88</v>
      </c>
      <c r="E23" s="524">
        <v>140262.21</v>
      </c>
      <c r="F23" s="524">
        <v>-249781.25999999995</v>
      </c>
      <c r="G23" s="524">
        <v>-28160</v>
      </c>
    </row>
    <row r="24" spans="1:7" x14ac:dyDescent="0.35">
      <c r="A24" t="s">
        <v>253</v>
      </c>
      <c r="B24" s="569">
        <v>45413</v>
      </c>
      <c r="C24">
        <v>256</v>
      </c>
      <c r="D24" s="524">
        <v>260305.3</v>
      </c>
      <c r="E24" s="524">
        <v>182638.77</v>
      </c>
      <c r="F24" s="524">
        <v>-43794.21</v>
      </c>
      <c r="G24" s="524">
        <v>-28160</v>
      </c>
    </row>
    <row r="25" spans="1:7" x14ac:dyDescent="0.35">
      <c r="A25" t="s">
        <v>253</v>
      </c>
      <c r="B25" s="569">
        <v>45444</v>
      </c>
      <c r="C25">
        <v>255</v>
      </c>
      <c r="D25" s="524">
        <v>384538.46</v>
      </c>
      <c r="E25" s="524">
        <v>120527.18</v>
      </c>
      <c r="F25" s="524">
        <v>-165243.06</v>
      </c>
      <c r="G25" s="524">
        <v>-28050</v>
      </c>
    </row>
    <row r="26" spans="1:7" x14ac:dyDescent="0.35">
      <c r="A26" t="s">
        <v>254</v>
      </c>
      <c r="B26" s="569">
        <v>45108</v>
      </c>
      <c r="C26">
        <v>39</v>
      </c>
      <c r="D26" s="524">
        <v>27091.420000000002</v>
      </c>
      <c r="E26" s="524">
        <v>32078.23</v>
      </c>
      <c r="F26" s="524">
        <v>31.439999999999998</v>
      </c>
      <c r="G26" s="524">
        <v>-4290</v>
      </c>
    </row>
    <row r="27" spans="1:7" x14ac:dyDescent="0.35">
      <c r="A27" t="s">
        <v>254</v>
      </c>
      <c r="B27" s="569">
        <v>45139</v>
      </c>
      <c r="C27">
        <v>39</v>
      </c>
      <c r="D27" s="524">
        <v>55708.19</v>
      </c>
      <c r="E27" s="524">
        <v>44953.53</v>
      </c>
      <c r="F27" s="524">
        <v>126.6</v>
      </c>
      <c r="G27" s="524">
        <v>-4290</v>
      </c>
    </row>
    <row r="28" spans="1:7" x14ac:dyDescent="0.35">
      <c r="A28" t="s">
        <v>254</v>
      </c>
      <c r="B28" s="569">
        <v>45170</v>
      </c>
      <c r="C28">
        <v>40</v>
      </c>
      <c r="D28" s="524">
        <v>62648.11</v>
      </c>
      <c r="E28" s="524">
        <v>50485.37</v>
      </c>
      <c r="F28" s="524">
        <v>105.43</v>
      </c>
      <c r="G28" s="524">
        <v>-4400</v>
      </c>
    </row>
    <row r="29" spans="1:7" x14ac:dyDescent="0.35">
      <c r="A29" t="s">
        <v>254</v>
      </c>
      <c r="B29" s="569">
        <v>45200</v>
      </c>
      <c r="C29">
        <v>39</v>
      </c>
      <c r="D29" s="524">
        <v>29704.69</v>
      </c>
      <c r="E29" s="524">
        <v>23274.06</v>
      </c>
      <c r="F29" s="524">
        <v>63.14</v>
      </c>
      <c r="G29" s="524">
        <v>-4290</v>
      </c>
    </row>
    <row r="30" spans="1:7" x14ac:dyDescent="0.35">
      <c r="A30" t="s">
        <v>254</v>
      </c>
      <c r="B30" s="569">
        <v>45231</v>
      </c>
      <c r="C30">
        <v>40</v>
      </c>
      <c r="D30" s="524">
        <v>72977.789999999994</v>
      </c>
      <c r="E30" s="524">
        <v>27466.73</v>
      </c>
      <c r="F30" s="524">
        <v>129.97999999999999</v>
      </c>
      <c r="G30" s="524">
        <v>-4400</v>
      </c>
    </row>
    <row r="31" spans="1:7" x14ac:dyDescent="0.35">
      <c r="A31" t="s">
        <v>254</v>
      </c>
      <c r="B31" s="569">
        <v>45261</v>
      </c>
      <c r="C31">
        <v>41</v>
      </c>
      <c r="D31" s="524">
        <v>74049.66</v>
      </c>
      <c r="E31" s="524">
        <v>35891.550000000003</v>
      </c>
      <c r="F31" s="524">
        <v>291.39999999999998</v>
      </c>
      <c r="G31" s="524">
        <v>-4510</v>
      </c>
    </row>
    <row r="32" spans="1:7" x14ac:dyDescent="0.35">
      <c r="A32" t="s">
        <v>254</v>
      </c>
      <c r="B32" s="569">
        <v>45292</v>
      </c>
      <c r="C32">
        <v>40</v>
      </c>
      <c r="D32" s="524">
        <v>35076.69</v>
      </c>
      <c r="E32" s="524">
        <v>23489.7</v>
      </c>
      <c r="F32" s="524">
        <v>102.57</v>
      </c>
      <c r="G32" s="524">
        <v>-4400</v>
      </c>
    </row>
    <row r="33" spans="1:7" x14ac:dyDescent="0.35">
      <c r="A33" t="s">
        <v>254</v>
      </c>
      <c r="B33" s="569">
        <v>45323</v>
      </c>
      <c r="C33">
        <v>43</v>
      </c>
      <c r="D33" s="524">
        <v>38650.9</v>
      </c>
      <c r="E33" s="524">
        <v>29886.13</v>
      </c>
      <c r="F33" s="524">
        <v>-2288.5800000000004</v>
      </c>
      <c r="G33" s="524">
        <v>-4730</v>
      </c>
    </row>
    <row r="34" spans="1:7" x14ac:dyDescent="0.35">
      <c r="A34" t="s">
        <v>254</v>
      </c>
      <c r="B34" s="569">
        <v>45352</v>
      </c>
      <c r="C34">
        <v>43</v>
      </c>
      <c r="D34" s="524">
        <v>25928.89</v>
      </c>
      <c r="E34" s="524">
        <v>33003.89</v>
      </c>
      <c r="F34" s="524">
        <v>-1158.0399999999997</v>
      </c>
      <c r="G34" s="524">
        <v>-4730</v>
      </c>
    </row>
    <row r="35" spans="1:7" x14ac:dyDescent="0.35">
      <c r="A35" t="s">
        <v>254</v>
      </c>
      <c r="B35" s="569">
        <v>45383</v>
      </c>
      <c r="C35">
        <v>43</v>
      </c>
      <c r="D35" s="524">
        <v>24960.210000000003</v>
      </c>
      <c r="E35" s="524">
        <v>42634.68</v>
      </c>
      <c r="F35" s="524">
        <v>-15976.59</v>
      </c>
      <c r="G35" s="524">
        <v>-4730</v>
      </c>
    </row>
    <row r="36" spans="1:7" x14ac:dyDescent="0.35">
      <c r="A36" t="s">
        <v>254</v>
      </c>
      <c r="B36" s="569">
        <v>45413</v>
      </c>
      <c r="C36">
        <v>43</v>
      </c>
      <c r="D36" s="524">
        <v>41974.42</v>
      </c>
      <c r="E36" s="524">
        <v>39709.39</v>
      </c>
      <c r="F36" s="524">
        <v>-5080.9799999999987</v>
      </c>
      <c r="G36" s="524">
        <v>-4730</v>
      </c>
    </row>
    <row r="37" spans="1:7" x14ac:dyDescent="0.35">
      <c r="A37" t="s">
        <v>254</v>
      </c>
      <c r="B37" s="569">
        <v>45444</v>
      </c>
      <c r="C37">
        <v>39</v>
      </c>
      <c r="D37" s="524">
        <v>54527</v>
      </c>
      <c r="E37" s="524">
        <v>23353.37</v>
      </c>
      <c r="F37" s="524">
        <v>-679.97999999999956</v>
      </c>
      <c r="G37" s="524">
        <v>-4290</v>
      </c>
    </row>
    <row r="38" spans="1:7" x14ac:dyDescent="0.35">
      <c r="A38" t="s">
        <v>255</v>
      </c>
      <c r="B38" s="569">
        <v>45108</v>
      </c>
      <c r="C38">
        <v>47</v>
      </c>
      <c r="D38" s="524">
        <v>29422.92</v>
      </c>
      <c r="E38" s="524">
        <v>9569.69</v>
      </c>
      <c r="F38" s="524">
        <v>170.54000000000002</v>
      </c>
      <c r="G38" s="524">
        <v>-5170</v>
      </c>
    </row>
    <row r="39" spans="1:7" x14ac:dyDescent="0.35">
      <c r="A39" t="s">
        <v>255</v>
      </c>
      <c r="B39" s="569">
        <v>45139</v>
      </c>
      <c r="C39">
        <v>47</v>
      </c>
      <c r="D39" s="524">
        <v>26707.510000000002</v>
      </c>
      <c r="E39" s="524">
        <v>7746.28</v>
      </c>
      <c r="F39" s="524">
        <v>345.44</v>
      </c>
      <c r="G39" s="524">
        <v>-5170</v>
      </c>
    </row>
    <row r="40" spans="1:7" x14ac:dyDescent="0.35">
      <c r="A40" t="s">
        <v>255</v>
      </c>
      <c r="B40" s="569">
        <v>45170</v>
      </c>
      <c r="C40">
        <v>48</v>
      </c>
      <c r="D40" s="524">
        <v>42157.15</v>
      </c>
      <c r="E40" s="524">
        <v>10310.35</v>
      </c>
      <c r="F40" s="524">
        <v>28.77</v>
      </c>
      <c r="G40" s="524">
        <v>-5280</v>
      </c>
    </row>
    <row r="41" spans="1:7" x14ac:dyDescent="0.35">
      <c r="A41" t="s">
        <v>255</v>
      </c>
      <c r="B41" s="569">
        <v>45200</v>
      </c>
      <c r="C41">
        <v>45</v>
      </c>
      <c r="D41" s="524">
        <v>33394.26</v>
      </c>
      <c r="E41" s="524">
        <v>9122.61</v>
      </c>
      <c r="F41" s="524">
        <v>413.21</v>
      </c>
      <c r="G41" s="524">
        <v>-4950</v>
      </c>
    </row>
    <row r="42" spans="1:7" x14ac:dyDescent="0.35">
      <c r="A42" t="s">
        <v>255</v>
      </c>
      <c r="B42" s="569">
        <v>45231</v>
      </c>
      <c r="C42">
        <v>44</v>
      </c>
      <c r="D42" s="524">
        <v>7197.01</v>
      </c>
      <c r="E42" s="524">
        <v>9518.11</v>
      </c>
      <c r="F42" s="524">
        <v>17.100000000000001</v>
      </c>
      <c r="G42" s="524">
        <v>-4840</v>
      </c>
    </row>
    <row r="43" spans="1:7" x14ac:dyDescent="0.35">
      <c r="A43" t="s">
        <v>255</v>
      </c>
      <c r="B43" s="569">
        <v>45261</v>
      </c>
      <c r="C43">
        <v>46</v>
      </c>
      <c r="D43" s="524">
        <v>56463.839999999997</v>
      </c>
      <c r="E43" s="524">
        <v>9199.64</v>
      </c>
      <c r="F43" s="524">
        <v>1610.0699999999997</v>
      </c>
      <c r="G43" s="524">
        <v>-5060</v>
      </c>
    </row>
    <row r="44" spans="1:7" x14ac:dyDescent="0.35">
      <c r="A44" t="s">
        <v>255</v>
      </c>
      <c r="B44" s="569">
        <v>45292</v>
      </c>
      <c r="C44">
        <v>42</v>
      </c>
      <c r="D44" s="524">
        <v>14574.17</v>
      </c>
      <c r="E44" s="524">
        <v>40623.94</v>
      </c>
      <c r="F44" s="524">
        <v>-575.95999999999992</v>
      </c>
      <c r="G44" s="524">
        <v>-4620</v>
      </c>
    </row>
    <row r="45" spans="1:7" x14ac:dyDescent="0.35">
      <c r="A45" t="s">
        <v>255</v>
      </c>
      <c r="B45" s="569">
        <v>45323</v>
      </c>
      <c r="C45">
        <v>42</v>
      </c>
      <c r="D45" s="524">
        <v>25580.079999999998</v>
      </c>
      <c r="E45" s="524">
        <v>9938.36</v>
      </c>
      <c r="F45" s="524">
        <v>-139.00000000000017</v>
      </c>
      <c r="G45" s="524">
        <v>-4620</v>
      </c>
    </row>
    <row r="46" spans="1:7" x14ac:dyDescent="0.35">
      <c r="A46" t="s">
        <v>255</v>
      </c>
      <c r="B46" s="569">
        <v>45352</v>
      </c>
      <c r="C46">
        <v>42</v>
      </c>
      <c r="D46" s="524">
        <v>33020.160000000003</v>
      </c>
      <c r="E46" s="524">
        <v>12898.58</v>
      </c>
      <c r="F46" s="524">
        <v>-581.18999999999994</v>
      </c>
      <c r="G46" s="524">
        <v>-4620</v>
      </c>
    </row>
    <row r="47" spans="1:7" x14ac:dyDescent="0.35">
      <c r="A47" t="s">
        <v>255</v>
      </c>
      <c r="B47" s="569">
        <v>45383</v>
      </c>
      <c r="C47">
        <v>41</v>
      </c>
      <c r="D47" s="524">
        <v>18895.849999999999</v>
      </c>
      <c r="E47" s="524">
        <v>11377.47</v>
      </c>
      <c r="F47" s="524">
        <v>-993.98</v>
      </c>
      <c r="G47" s="524">
        <v>-4510</v>
      </c>
    </row>
    <row r="48" spans="1:7" x14ac:dyDescent="0.35">
      <c r="A48" t="s">
        <v>255</v>
      </c>
      <c r="B48" s="569">
        <v>45413</v>
      </c>
      <c r="C48">
        <v>41</v>
      </c>
      <c r="D48" s="524">
        <v>24815.66</v>
      </c>
      <c r="E48" s="524">
        <v>45058.87</v>
      </c>
      <c r="F48" s="524">
        <v>-14052.839999999998</v>
      </c>
      <c r="G48" s="524">
        <v>-4510</v>
      </c>
    </row>
    <row r="49" spans="1:7" x14ac:dyDescent="0.35">
      <c r="A49" t="s">
        <v>255</v>
      </c>
      <c r="B49" s="569">
        <v>45444</v>
      </c>
      <c r="C49">
        <v>40</v>
      </c>
      <c r="D49" s="524">
        <v>30090.63</v>
      </c>
      <c r="E49" s="524">
        <v>18744.93</v>
      </c>
      <c r="F49" s="524">
        <v>-3543.0400000000022</v>
      </c>
      <c r="G49" s="524">
        <v>-4400</v>
      </c>
    </row>
    <row r="50" spans="1:7" x14ac:dyDescent="0.35">
      <c r="A50" t="s">
        <v>256</v>
      </c>
      <c r="B50" s="569">
        <v>45108</v>
      </c>
      <c r="C50">
        <v>170</v>
      </c>
      <c r="D50" s="524">
        <v>262254.96999999997</v>
      </c>
      <c r="E50" s="524">
        <v>72686.100000000006</v>
      </c>
      <c r="F50" s="524">
        <v>-228557.91</v>
      </c>
      <c r="G50" s="524">
        <v>-18700</v>
      </c>
    </row>
    <row r="51" spans="1:7" x14ac:dyDescent="0.35">
      <c r="A51" t="s">
        <v>256</v>
      </c>
      <c r="B51" s="569">
        <v>45139</v>
      </c>
      <c r="C51">
        <v>172</v>
      </c>
      <c r="D51" s="524">
        <v>403886.31</v>
      </c>
      <c r="E51" s="524">
        <v>62818.41</v>
      </c>
      <c r="F51" s="524">
        <v>-2363.4200000000037</v>
      </c>
      <c r="G51" s="524">
        <v>-18920</v>
      </c>
    </row>
    <row r="52" spans="1:7" x14ac:dyDescent="0.35">
      <c r="A52" t="s">
        <v>256</v>
      </c>
      <c r="B52" s="569">
        <v>45170</v>
      </c>
      <c r="C52">
        <v>181</v>
      </c>
      <c r="D52" s="524">
        <v>370801.84</v>
      </c>
      <c r="E52" s="524">
        <v>102200.94</v>
      </c>
      <c r="F52" s="524">
        <v>-33741.900000000009</v>
      </c>
      <c r="G52" s="524">
        <v>-19910</v>
      </c>
    </row>
    <row r="53" spans="1:7" x14ac:dyDescent="0.35">
      <c r="A53" t="s">
        <v>256</v>
      </c>
      <c r="B53" s="569">
        <v>45200</v>
      </c>
      <c r="C53">
        <v>181</v>
      </c>
      <c r="D53" s="524">
        <v>244706.78999999998</v>
      </c>
      <c r="E53" s="524">
        <v>63145.04</v>
      </c>
      <c r="F53" s="524">
        <v>-6891.32</v>
      </c>
      <c r="G53" s="524">
        <v>-19910</v>
      </c>
    </row>
    <row r="54" spans="1:7" x14ac:dyDescent="0.35">
      <c r="A54" t="s">
        <v>256</v>
      </c>
      <c r="B54" s="569">
        <v>45231</v>
      </c>
      <c r="C54">
        <v>178</v>
      </c>
      <c r="D54" s="524">
        <v>218873.82</v>
      </c>
      <c r="E54" s="524">
        <v>125236.03</v>
      </c>
      <c r="F54" s="524">
        <v>-293287.76</v>
      </c>
      <c r="G54" s="524">
        <v>-19580</v>
      </c>
    </row>
    <row r="55" spans="1:7" x14ac:dyDescent="0.35">
      <c r="A55" t="s">
        <v>256</v>
      </c>
      <c r="B55" s="569">
        <v>45261</v>
      </c>
      <c r="C55">
        <v>178</v>
      </c>
      <c r="D55" s="524">
        <v>446506.92</v>
      </c>
      <c r="E55" s="524">
        <v>93034.15</v>
      </c>
      <c r="F55" s="524">
        <v>-148629.48000000001</v>
      </c>
      <c r="G55" s="524">
        <v>-19580</v>
      </c>
    </row>
    <row r="56" spans="1:7" x14ac:dyDescent="0.35">
      <c r="A56" t="s">
        <v>256</v>
      </c>
      <c r="B56" s="569">
        <v>45292</v>
      </c>
      <c r="C56">
        <v>178</v>
      </c>
      <c r="D56" s="524">
        <v>297926.52</v>
      </c>
      <c r="E56" s="524">
        <v>88846.65</v>
      </c>
      <c r="F56" s="524">
        <v>-269312.59999999992</v>
      </c>
      <c r="G56" s="524">
        <v>-19580</v>
      </c>
    </row>
    <row r="57" spans="1:7" x14ac:dyDescent="0.35">
      <c r="A57" t="s">
        <v>256</v>
      </c>
      <c r="B57" s="569">
        <v>45323</v>
      </c>
      <c r="C57">
        <v>177</v>
      </c>
      <c r="D57" s="524">
        <v>336487.2</v>
      </c>
      <c r="E57" s="524">
        <v>80468.12</v>
      </c>
      <c r="F57" s="524">
        <v>-348483.91000000003</v>
      </c>
      <c r="G57" s="524">
        <v>-19470</v>
      </c>
    </row>
    <row r="58" spans="1:7" x14ac:dyDescent="0.35">
      <c r="A58" t="s">
        <v>256</v>
      </c>
      <c r="B58" s="569">
        <v>45352</v>
      </c>
      <c r="C58">
        <v>179</v>
      </c>
      <c r="D58" s="524">
        <v>376249.43</v>
      </c>
      <c r="E58" s="524">
        <v>117913.39</v>
      </c>
      <c r="F58" s="524">
        <v>-158651.73999999993</v>
      </c>
      <c r="G58" s="524">
        <v>-19690</v>
      </c>
    </row>
    <row r="59" spans="1:7" x14ac:dyDescent="0.35">
      <c r="A59" t="s">
        <v>256</v>
      </c>
      <c r="B59" s="569">
        <v>45383</v>
      </c>
      <c r="C59">
        <v>182</v>
      </c>
      <c r="D59" s="524">
        <v>410659.39999999997</v>
      </c>
      <c r="E59" s="524">
        <v>108078.93</v>
      </c>
      <c r="F59" s="524">
        <v>-234639.17</v>
      </c>
      <c r="G59" s="524">
        <v>-20020</v>
      </c>
    </row>
    <row r="60" spans="1:7" x14ac:dyDescent="0.35">
      <c r="A60" t="s">
        <v>256</v>
      </c>
      <c r="B60" s="569">
        <v>45413</v>
      </c>
      <c r="C60">
        <v>181</v>
      </c>
      <c r="D60" s="524">
        <v>294323.93</v>
      </c>
      <c r="E60" s="524">
        <v>148468.41</v>
      </c>
      <c r="F60" s="524">
        <v>-98634.960000000021</v>
      </c>
      <c r="G60" s="524">
        <v>-19910</v>
      </c>
    </row>
    <row r="61" spans="1:7" x14ac:dyDescent="0.35">
      <c r="A61" t="s">
        <v>256</v>
      </c>
      <c r="B61" s="569">
        <v>45444</v>
      </c>
      <c r="C61">
        <v>180</v>
      </c>
      <c r="D61" s="524">
        <v>274579.55000000005</v>
      </c>
      <c r="E61" s="524">
        <v>131717.79</v>
      </c>
      <c r="F61" s="524">
        <v>-62253.579999999965</v>
      </c>
      <c r="G61" s="524">
        <v>-19800</v>
      </c>
    </row>
    <row r="62" spans="1:7" x14ac:dyDescent="0.35">
      <c r="A62" t="s">
        <v>264</v>
      </c>
      <c r="B62" s="569">
        <v>45108</v>
      </c>
      <c r="C62">
        <v>278</v>
      </c>
      <c r="D62" s="524">
        <v>294555.82</v>
      </c>
      <c r="E62" s="524">
        <v>114786.13</v>
      </c>
      <c r="F62" s="524">
        <v>-119883.17000000001</v>
      </c>
      <c r="G62" s="524">
        <v>-30580</v>
      </c>
    </row>
    <row r="63" spans="1:7" x14ac:dyDescent="0.35">
      <c r="A63" t="s">
        <v>264</v>
      </c>
      <c r="B63" s="569">
        <v>45139</v>
      </c>
      <c r="C63">
        <v>282</v>
      </c>
      <c r="D63" s="524">
        <v>387474.20999999996</v>
      </c>
      <c r="E63" s="524">
        <v>50940.5</v>
      </c>
      <c r="F63" s="524">
        <v>-71314.22</v>
      </c>
      <c r="G63" s="524">
        <v>-31020</v>
      </c>
    </row>
    <row r="64" spans="1:7" x14ac:dyDescent="0.35">
      <c r="A64" t="s">
        <v>264</v>
      </c>
      <c r="B64" s="569">
        <v>45170</v>
      </c>
      <c r="C64">
        <v>279</v>
      </c>
      <c r="D64" s="524">
        <v>321945.78000000003</v>
      </c>
      <c r="E64" s="524">
        <v>148406.56</v>
      </c>
      <c r="F64" s="524">
        <v>-63505.229999999996</v>
      </c>
      <c r="G64" s="524">
        <v>-30690</v>
      </c>
    </row>
    <row r="65" spans="1:7" x14ac:dyDescent="0.35">
      <c r="A65" t="s">
        <v>264</v>
      </c>
      <c r="B65" s="569">
        <v>45200</v>
      </c>
      <c r="C65">
        <v>280</v>
      </c>
      <c r="D65" s="524">
        <v>300006.02</v>
      </c>
      <c r="E65" s="524">
        <v>76070.880000000005</v>
      </c>
      <c r="F65" s="524">
        <v>-58839.040000000001</v>
      </c>
      <c r="G65" s="524">
        <v>-30800</v>
      </c>
    </row>
    <row r="66" spans="1:7" x14ac:dyDescent="0.35">
      <c r="A66" t="s">
        <v>264</v>
      </c>
      <c r="B66" s="569">
        <v>45231</v>
      </c>
      <c r="C66">
        <v>281</v>
      </c>
      <c r="D66" s="524">
        <v>349166.71</v>
      </c>
      <c r="E66" s="524">
        <v>121203.82</v>
      </c>
      <c r="F66" s="524">
        <v>-86770.409999999989</v>
      </c>
      <c r="G66" s="524">
        <v>-30910</v>
      </c>
    </row>
    <row r="67" spans="1:7" x14ac:dyDescent="0.35">
      <c r="A67" t="s">
        <v>264</v>
      </c>
      <c r="B67" s="569">
        <v>45261</v>
      </c>
      <c r="C67">
        <v>281</v>
      </c>
      <c r="D67" s="524">
        <v>352945.18000000005</v>
      </c>
      <c r="E67" s="524">
        <v>101622.82</v>
      </c>
      <c r="F67" s="524">
        <v>-113763.07</v>
      </c>
      <c r="G67" s="524">
        <v>-30910</v>
      </c>
    </row>
    <row r="68" spans="1:7" x14ac:dyDescent="0.35">
      <c r="A68" t="s">
        <v>264</v>
      </c>
      <c r="B68" s="569">
        <v>45292</v>
      </c>
      <c r="C68">
        <v>280</v>
      </c>
      <c r="D68" s="524">
        <v>228508.88</v>
      </c>
      <c r="E68" s="524">
        <v>105836.77</v>
      </c>
      <c r="F68" s="524">
        <v>-84224.51999999999</v>
      </c>
      <c r="G68" s="524">
        <v>-30800</v>
      </c>
    </row>
    <row r="69" spans="1:7" x14ac:dyDescent="0.35">
      <c r="A69" t="s">
        <v>264</v>
      </c>
      <c r="B69" s="569">
        <v>45323</v>
      </c>
      <c r="C69">
        <v>279</v>
      </c>
      <c r="D69" s="524">
        <v>287138.90000000002</v>
      </c>
      <c r="E69" s="524">
        <v>104051.47</v>
      </c>
      <c r="F69" s="524">
        <v>-96972.819999999992</v>
      </c>
      <c r="G69" s="524">
        <v>-30690</v>
      </c>
    </row>
    <row r="70" spans="1:7" x14ac:dyDescent="0.35">
      <c r="A70" t="s">
        <v>264</v>
      </c>
      <c r="B70" s="569">
        <v>45352</v>
      </c>
      <c r="C70">
        <v>280</v>
      </c>
      <c r="D70" s="524">
        <v>205855.73</v>
      </c>
      <c r="E70" s="524">
        <v>127622.81</v>
      </c>
      <c r="F70" s="524">
        <v>-19050.810000000074</v>
      </c>
      <c r="G70" s="524">
        <v>-30800</v>
      </c>
    </row>
    <row r="71" spans="1:7" x14ac:dyDescent="0.35">
      <c r="A71" t="s">
        <v>264</v>
      </c>
      <c r="B71" s="569">
        <v>45383</v>
      </c>
      <c r="C71">
        <v>280</v>
      </c>
      <c r="D71" s="524">
        <v>212183.47</v>
      </c>
      <c r="E71" s="524">
        <v>127019.46</v>
      </c>
      <c r="F71" s="524">
        <v>-115886.56999999992</v>
      </c>
      <c r="G71" s="524">
        <v>-30800</v>
      </c>
    </row>
    <row r="72" spans="1:7" x14ac:dyDescent="0.35">
      <c r="A72" t="s">
        <v>264</v>
      </c>
      <c r="B72" s="569">
        <v>45413</v>
      </c>
      <c r="C72">
        <v>280</v>
      </c>
      <c r="D72" s="524">
        <v>239202.11000000002</v>
      </c>
      <c r="E72" s="524">
        <v>109450.11</v>
      </c>
      <c r="F72" s="524">
        <v>1867.609999999916</v>
      </c>
      <c r="G72" s="524">
        <v>-30800</v>
      </c>
    </row>
    <row r="73" spans="1:7" x14ac:dyDescent="0.35">
      <c r="A73" t="s">
        <v>264</v>
      </c>
      <c r="B73" s="569">
        <v>45444</v>
      </c>
      <c r="C73">
        <v>281</v>
      </c>
      <c r="D73" s="524">
        <v>198225.06</v>
      </c>
      <c r="E73" s="524">
        <v>142554.87</v>
      </c>
      <c r="F73" s="524">
        <v>-51724.85999999995</v>
      </c>
      <c r="G73" s="524">
        <v>-30910</v>
      </c>
    </row>
    <row r="74" spans="1:7" x14ac:dyDescent="0.35">
      <c r="A74" t="s">
        <v>257</v>
      </c>
      <c r="B74" s="569">
        <v>45108</v>
      </c>
      <c r="C74">
        <v>257</v>
      </c>
      <c r="D74" s="524">
        <v>215463.48</v>
      </c>
      <c r="E74" s="524">
        <v>75672.67</v>
      </c>
      <c r="F74" s="524">
        <v>1588.4099999999999</v>
      </c>
      <c r="G74" s="524">
        <v>-28270</v>
      </c>
    </row>
    <row r="75" spans="1:7" x14ac:dyDescent="0.35">
      <c r="A75" t="s">
        <v>257</v>
      </c>
      <c r="B75" s="569">
        <v>45139</v>
      </c>
      <c r="C75">
        <v>256</v>
      </c>
      <c r="D75" s="524">
        <v>426844.36</v>
      </c>
      <c r="E75" s="524">
        <v>84525.24</v>
      </c>
      <c r="F75" s="524">
        <v>-21620.84</v>
      </c>
      <c r="G75" s="524">
        <v>-28160</v>
      </c>
    </row>
    <row r="76" spans="1:7" x14ac:dyDescent="0.35">
      <c r="A76" t="s">
        <v>257</v>
      </c>
      <c r="B76" s="569">
        <v>45170</v>
      </c>
      <c r="C76">
        <v>254</v>
      </c>
      <c r="D76" s="524">
        <v>325758.57</v>
      </c>
      <c r="E76" s="524">
        <v>78977.69</v>
      </c>
      <c r="F76" s="524">
        <v>-15772.94999999999</v>
      </c>
      <c r="G76" s="524">
        <v>-27940</v>
      </c>
    </row>
    <row r="77" spans="1:7" x14ac:dyDescent="0.35">
      <c r="A77" t="s">
        <v>257</v>
      </c>
      <c r="B77" s="569">
        <v>45200</v>
      </c>
      <c r="C77">
        <v>251</v>
      </c>
      <c r="D77" s="524">
        <v>285370.84999999998</v>
      </c>
      <c r="E77" s="524">
        <v>83417.740000000005</v>
      </c>
      <c r="F77" s="524">
        <v>-48058.36</v>
      </c>
      <c r="G77" s="524">
        <v>-27610</v>
      </c>
    </row>
    <row r="78" spans="1:7" x14ac:dyDescent="0.35">
      <c r="A78" t="s">
        <v>257</v>
      </c>
      <c r="B78" s="569">
        <v>45231</v>
      </c>
      <c r="C78">
        <v>252</v>
      </c>
      <c r="D78" s="524">
        <v>149376.13999999998</v>
      </c>
      <c r="E78" s="524">
        <v>79591.16</v>
      </c>
      <c r="F78" s="524">
        <v>-37487.850000000006</v>
      </c>
      <c r="G78" s="524">
        <v>-27720</v>
      </c>
    </row>
    <row r="79" spans="1:7" x14ac:dyDescent="0.35">
      <c r="A79" t="s">
        <v>257</v>
      </c>
      <c r="B79" s="569">
        <v>45261</v>
      </c>
      <c r="C79">
        <v>250</v>
      </c>
      <c r="D79" s="524">
        <v>324053.42</v>
      </c>
      <c r="E79" s="524">
        <v>78341.61</v>
      </c>
      <c r="F79" s="524">
        <v>-67525.909999999989</v>
      </c>
      <c r="G79" s="524">
        <v>-27500</v>
      </c>
    </row>
    <row r="80" spans="1:7" x14ac:dyDescent="0.35">
      <c r="A80" t="s">
        <v>257</v>
      </c>
      <c r="B80" s="569">
        <v>45292</v>
      </c>
      <c r="C80">
        <v>247</v>
      </c>
      <c r="D80" s="524">
        <v>213045.21000000002</v>
      </c>
      <c r="E80" s="524">
        <v>89764.26</v>
      </c>
      <c r="F80" s="524">
        <v>-41999.639999999985</v>
      </c>
      <c r="G80" s="524">
        <v>-27170</v>
      </c>
    </row>
    <row r="81" spans="1:7" x14ac:dyDescent="0.35">
      <c r="A81" t="s">
        <v>257</v>
      </c>
      <c r="B81" s="569">
        <v>45323</v>
      </c>
      <c r="C81">
        <v>247</v>
      </c>
      <c r="D81" s="524">
        <v>230996.62</v>
      </c>
      <c r="E81" s="524">
        <v>77531.789999999994</v>
      </c>
      <c r="F81" s="524">
        <v>-13913.340000000009</v>
      </c>
      <c r="G81" s="524">
        <v>-27170</v>
      </c>
    </row>
    <row r="82" spans="1:7" x14ac:dyDescent="0.35">
      <c r="A82" t="s">
        <v>257</v>
      </c>
      <c r="B82" s="569">
        <v>45352</v>
      </c>
      <c r="C82">
        <v>247</v>
      </c>
      <c r="D82" s="524">
        <v>312775.19999999995</v>
      </c>
      <c r="E82" s="524">
        <v>115917.46</v>
      </c>
      <c r="F82" s="524">
        <v>-79804.74000000002</v>
      </c>
      <c r="G82" s="524">
        <v>-27170</v>
      </c>
    </row>
    <row r="83" spans="1:7" x14ac:dyDescent="0.35">
      <c r="A83" t="s">
        <v>257</v>
      </c>
      <c r="B83" s="569">
        <v>45383</v>
      </c>
      <c r="C83">
        <v>247</v>
      </c>
      <c r="D83" s="524">
        <v>311855.99</v>
      </c>
      <c r="E83" s="524">
        <v>62598.28</v>
      </c>
      <c r="F83" s="524">
        <v>-132735.54999999993</v>
      </c>
      <c r="G83" s="524">
        <v>-27170</v>
      </c>
    </row>
    <row r="84" spans="1:7" x14ac:dyDescent="0.35">
      <c r="A84" t="s">
        <v>257</v>
      </c>
      <c r="B84" s="569">
        <v>45413</v>
      </c>
      <c r="C84">
        <v>246</v>
      </c>
      <c r="D84" s="524">
        <v>383120.37</v>
      </c>
      <c r="E84" s="524">
        <v>106666.06</v>
      </c>
      <c r="F84" s="524">
        <v>-13411.930000000033</v>
      </c>
      <c r="G84" s="524">
        <v>-27060</v>
      </c>
    </row>
    <row r="85" spans="1:7" x14ac:dyDescent="0.35">
      <c r="A85" t="s">
        <v>257</v>
      </c>
      <c r="B85" s="569">
        <v>45444</v>
      </c>
      <c r="C85">
        <v>246</v>
      </c>
      <c r="D85" s="524">
        <v>376731.25</v>
      </c>
      <c r="E85" s="524">
        <v>77331.179999999993</v>
      </c>
      <c r="F85" s="524">
        <v>-121997.88000000002</v>
      </c>
      <c r="G85" s="524">
        <v>-27060</v>
      </c>
    </row>
    <row r="86" spans="1:7" x14ac:dyDescent="0.35">
      <c r="A86" t="s">
        <v>258</v>
      </c>
      <c r="B86" s="569">
        <v>45108</v>
      </c>
      <c r="C86">
        <v>205</v>
      </c>
      <c r="D86" s="524">
        <v>292832.19</v>
      </c>
      <c r="E86" s="524">
        <v>118250.63</v>
      </c>
      <c r="F86" s="524">
        <v>-42091.93</v>
      </c>
      <c r="G86" s="524">
        <v>-22550</v>
      </c>
    </row>
    <row r="87" spans="1:7" x14ac:dyDescent="0.35">
      <c r="A87" t="s">
        <v>258</v>
      </c>
      <c r="B87" s="569">
        <v>45139</v>
      </c>
      <c r="C87">
        <v>203</v>
      </c>
      <c r="D87" s="524">
        <v>247269.73</v>
      </c>
      <c r="E87" s="524">
        <v>104556.69</v>
      </c>
      <c r="F87" s="524">
        <v>-70387.64</v>
      </c>
      <c r="G87" s="524">
        <v>-22330</v>
      </c>
    </row>
    <row r="88" spans="1:7" x14ac:dyDescent="0.35">
      <c r="A88" t="s">
        <v>258</v>
      </c>
      <c r="B88" s="569">
        <v>45170</v>
      </c>
      <c r="C88">
        <v>208</v>
      </c>
      <c r="D88" s="524">
        <v>177469.47999999998</v>
      </c>
      <c r="E88" s="524">
        <v>141128.57999999999</v>
      </c>
      <c r="F88" s="524">
        <v>-6260.120000000009</v>
      </c>
      <c r="G88" s="524">
        <v>-22880</v>
      </c>
    </row>
    <row r="89" spans="1:7" x14ac:dyDescent="0.35">
      <c r="A89" t="s">
        <v>258</v>
      </c>
      <c r="B89" s="569">
        <v>45200</v>
      </c>
      <c r="C89">
        <v>205</v>
      </c>
      <c r="D89" s="524">
        <v>147000.51999999999</v>
      </c>
      <c r="E89" s="524">
        <v>57335.97</v>
      </c>
      <c r="F89" s="524">
        <v>-24814.849999999991</v>
      </c>
      <c r="G89" s="524">
        <v>-22550</v>
      </c>
    </row>
    <row r="90" spans="1:7" x14ac:dyDescent="0.35">
      <c r="A90" t="s">
        <v>258</v>
      </c>
      <c r="B90" s="569">
        <v>45231</v>
      </c>
      <c r="C90">
        <v>206</v>
      </c>
      <c r="D90" s="524">
        <v>84374.05</v>
      </c>
      <c r="E90" s="524">
        <v>113986</v>
      </c>
      <c r="F90" s="524">
        <v>-13127.029999999999</v>
      </c>
      <c r="G90" s="524">
        <v>-22660</v>
      </c>
    </row>
    <row r="91" spans="1:7" x14ac:dyDescent="0.35">
      <c r="A91" t="s">
        <v>258</v>
      </c>
      <c r="B91" s="569">
        <v>45261</v>
      </c>
      <c r="C91">
        <v>205</v>
      </c>
      <c r="D91" s="524">
        <v>314390.36</v>
      </c>
      <c r="E91" s="524">
        <v>135544.09</v>
      </c>
      <c r="F91" s="524">
        <v>-68289.39</v>
      </c>
      <c r="G91" s="524">
        <v>-22550</v>
      </c>
    </row>
    <row r="92" spans="1:7" x14ac:dyDescent="0.35">
      <c r="A92" t="s">
        <v>258</v>
      </c>
      <c r="B92" s="569">
        <v>45292</v>
      </c>
      <c r="C92">
        <v>207</v>
      </c>
      <c r="D92" s="524">
        <v>136603.84</v>
      </c>
      <c r="E92" s="524">
        <v>77035.62</v>
      </c>
      <c r="F92" s="524">
        <v>-23616.249999999993</v>
      </c>
      <c r="G92" s="524">
        <v>-22770</v>
      </c>
    </row>
    <row r="93" spans="1:7" x14ac:dyDescent="0.35">
      <c r="A93" t="s">
        <v>258</v>
      </c>
      <c r="B93" s="569">
        <v>45323</v>
      </c>
      <c r="C93">
        <v>207</v>
      </c>
      <c r="D93" s="524">
        <v>220191.68</v>
      </c>
      <c r="E93" s="524">
        <v>61332.28</v>
      </c>
      <c r="F93" s="524">
        <v>-63554.740000000034</v>
      </c>
      <c r="G93" s="524">
        <v>0</v>
      </c>
    </row>
    <row r="94" spans="1:7" x14ac:dyDescent="0.35">
      <c r="A94" t="s">
        <v>258</v>
      </c>
      <c r="B94" s="569">
        <v>45352</v>
      </c>
      <c r="C94">
        <v>202</v>
      </c>
      <c r="D94" s="524">
        <v>195431.26</v>
      </c>
      <c r="E94" s="524">
        <v>56227.03</v>
      </c>
      <c r="F94" s="524">
        <v>3195.7700000000204</v>
      </c>
      <c r="G94" s="524">
        <v>0</v>
      </c>
    </row>
    <row r="95" spans="1:7" x14ac:dyDescent="0.35">
      <c r="A95" t="s">
        <v>258</v>
      </c>
      <c r="B95" s="569">
        <v>45383</v>
      </c>
      <c r="C95">
        <v>202</v>
      </c>
      <c r="D95" s="524">
        <v>170166.5</v>
      </c>
      <c r="E95" s="524">
        <v>88743.079999999987</v>
      </c>
      <c r="F95" s="524">
        <v>-8256.7100000000228</v>
      </c>
      <c r="G95" s="524">
        <v>0</v>
      </c>
    </row>
    <row r="96" spans="1:7" x14ac:dyDescent="0.35">
      <c r="A96" t="s">
        <v>258</v>
      </c>
      <c r="B96" s="569">
        <v>45413</v>
      </c>
      <c r="C96">
        <v>201</v>
      </c>
      <c r="D96" s="524">
        <v>203119.31</v>
      </c>
      <c r="E96" s="524">
        <v>65400.289999999994</v>
      </c>
      <c r="F96" s="524">
        <v>-8277.1499999999905</v>
      </c>
      <c r="G96" s="524">
        <v>0</v>
      </c>
    </row>
    <row r="97" spans="1:7" x14ac:dyDescent="0.35">
      <c r="A97" t="s">
        <v>258</v>
      </c>
      <c r="B97" s="569">
        <v>45444</v>
      </c>
      <c r="C97">
        <v>201</v>
      </c>
      <c r="D97" s="524">
        <v>254656.11</v>
      </c>
      <c r="E97" s="524">
        <v>92691.43</v>
      </c>
      <c r="F97" s="524">
        <v>-95321.959999999977</v>
      </c>
      <c r="G97" s="524">
        <v>0</v>
      </c>
    </row>
    <row r="98" spans="1:7" x14ac:dyDescent="0.35">
      <c r="A98" t="s">
        <v>265</v>
      </c>
      <c r="B98" s="569">
        <v>45108</v>
      </c>
      <c r="C98">
        <v>211</v>
      </c>
      <c r="D98" s="524">
        <v>167228.32</v>
      </c>
      <c r="E98" s="524">
        <v>113342.09</v>
      </c>
      <c r="F98" s="524">
        <v>-73172.240000000005</v>
      </c>
      <c r="G98" s="524">
        <v>-23210</v>
      </c>
    </row>
    <row r="99" spans="1:7" x14ac:dyDescent="0.35">
      <c r="A99" t="s">
        <v>265</v>
      </c>
      <c r="B99" s="569">
        <v>45139</v>
      </c>
      <c r="C99">
        <v>220</v>
      </c>
      <c r="D99" s="524">
        <v>355833.27</v>
      </c>
      <c r="E99" s="524">
        <v>75756.600000000006</v>
      </c>
      <c r="F99" s="524">
        <v>1365.56</v>
      </c>
      <c r="G99" s="524">
        <v>0</v>
      </c>
    </row>
    <row r="100" spans="1:7" x14ac:dyDescent="0.35">
      <c r="A100" t="s">
        <v>265</v>
      </c>
      <c r="B100" s="569">
        <v>45170</v>
      </c>
      <c r="C100">
        <v>220</v>
      </c>
      <c r="D100" s="524">
        <v>314512.03000000003</v>
      </c>
      <c r="E100" s="524">
        <v>140346.54</v>
      </c>
      <c r="F100" s="524">
        <v>-48413.78</v>
      </c>
      <c r="G100" s="524">
        <v>0</v>
      </c>
    </row>
    <row r="101" spans="1:7" x14ac:dyDescent="0.35">
      <c r="A101" t="s">
        <v>265</v>
      </c>
      <c r="B101" s="569">
        <v>45200</v>
      </c>
      <c r="C101">
        <v>220</v>
      </c>
      <c r="D101" s="524">
        <v>164728.70000000001</v>
      </c>
      <c r="E101" s="524">
        <v>135036.03</v>
      </c>
      <c r="F101" s="524">
        <v>-3095.4599999999978</v>
      </c>
      <c r="G101" s="524">
        <v>0</v>
      </c>
    </row>
    <row r="102" spans="1:7" x14ac:dyDescent="0.35">
      <c r="A102" t="s">
        <v>265</v>
      </c>
      <c r="B102" s="569">
        <v>45231</v>
      </c>
      <c r="C102">
        <v>215</v>
      </c>
      <c r="D102" s="524">
        <v>160657.51999999999</v>
      </c>
      <c r="E102" s="524">
        <v>108042.44</v>
      </c>
      <c r="F102" s="524">
        <v>-38335.03</v>
      </c>
      <c r="G102" s="524">
        <v>0</v>
      </c>
    </row>
    <row r="103" spans="1:7" x14ac:dyDescent="0.35">
      <c r="A103" t="s">
        <v>265</v>
      </c>
      <c r="B103" s="569">
        <v>45261</v>
      </c>
      <c r="C103">
        <v>214</v>
      </c>
      <c r="D103" s="524">
        <v>297884.25</v>
      </c>
      <c r="E103" s="524">
        <v>155604.85</v>
      </c>
      <c r="F103" s="524">
        <v>-86947.25</v>
      </c>
      <c r="G103" s="524">
        <v>0</v>
      </c>
    </row>
    <row r="104" spans="1:7" x14ac:dyDescent="0.35">
      <c r="A104" t="s">
        <v>265</v>
      </c>
      <c r="B104" s="569">
        <v>45292</v>
      </c>
      <c r="C104">
        <v>215</v>
      </c>
      <c r="D104" s="524">
        <v>234715.46</v>
      </c>
      <c r="E104" s="524">
        <v>158879.12</v>
      </c>
      <c r="F104" s="524">
        <v>-92093.719999999987</v>
      </c>
      <c r="G104" s="524">
        <v>0</v>
      </c>
    </row>
    <row r="105" spans="1:7" x14ac:dyDescent="0.35">
      <c r="A105" t="s">
        <v>265</v>
      </c>
      <c r="B105" s="569">
        <v>45323</v>
      </c>
      <c r="C105">
        <v>215</v>
      </c>
      <c r="D105" s="524">
        <v>346667.76</v>
      </c>
      <c r="E105" s="524">
        <v>212409.89999999997</v>
      </c>
      <c r="F105" s="524">
        <v>-69214.560000000041</v>
      </c>
      <c r="G105" s="524">
        <v>0</v>
      </c>
    </row>
    <row r="106" spans="1:7" x14ac:dyDescent="0.35">
      <c r="A106" t="s">
        <v>265</v>
      </c>
      <c r="B106" s="569">
        <v>45352</v>
      </c>
      <c r="C106">
        <v>214</v>
      </c>
      <c r="D106" s="524">
        <v>347033.97</v>
      </c>
      <c r="E106" s="524">
        <v>164351.46000000002</v>
      </c>
      <c r="F106" s="524">
        <v>-101829.86999999998</v>
      </c>
      <c r="G106" s="524">
        <v>0</v>
      </c>
    </row>
    <row r="107" spans="1:7" x14ac:dyDescent="0.35">
      <c r="A107" t="s">
        <v>265</v>
      </c>
      <c r="B107" s="569">
        <v>45383</v>
      </c>
      <c r="C107">
        <v>214</v>
      </c>
      <c r="D107" s="524">
        <v>363958.58999999997</v>
      </c>
      <c r="E107" s="524">
        <v>150778.46000000002</v>
      </c>
      <c r="F107" s="524">
        <v>-135142.97999999998</v>
      </c>
      <c r="G107" s="524">
        <v>0</v>
      </c>
    </row>
    <row r="108" spans="1:7" x14ac:dyDescent="0.35">
      <c r="A108" t="s">
        <v>265</v>
      </c>
      <c r="B108" s="569">
        <v>45413</v>
      </c>
      <c r="C108">
        <v>213</v>
      </c>
      <c r="D108" s="524">
        <v>212847.17</v>
      </c>
      <c r="E108" s="524">
        <v>149038.88</v>
      </c>
      <c r="F108" s="524">
        <v>3741.2199999999484</v>
      </c>
      <c r="G108" s="524">
        <v>-167145</v>
      </c>
    </row>
    <row r="109" spans="1:7" x14ac:dyDescent="0.35">
      <c r="A109" t="s">
        <v>265</v>
      </c>
      <c r="B109" s="569">
        <v>45444</v>
      </c>
      <c r="C109">
        <v>214</v>
      </c>
      <c r="D109" s="524">
        <v>194724.92</v>
      </c>
      <c r="E109" s="524">
        <v>213159.12</v>
      </c>
      <c r="F109" s="524">
        <v>-47339.919999999962</v>
      </c>
      <c r="G109" s="524">
        <v>0</v>
      </c>
    </row>
    <row r="110" spans="1:7" x14ac:dyDescent="0.35">
      <c r="A110" t="s">
        <v>248</v>
      </c>
      <c r="B110" s="569">
        <v>45108</v>
      </c>
      <c r="C110">
        <v>161</v>
      </c>
      <c r="D110" s="524">
        <v>126146.56</v>
      </c>
      <c r="E110" s="524">
        <v>47099.58</v>
      </c>
      <c r="F110" s="524">
        <v>204.67999999999998</v>
      </c>
      <c r="G110" s="524">
        <v>-11440</v>
      </c>
    </row>
    <row r="111" spans="1:7" x14ac:dyDescent="0.35">
      <c r="A111" t="s">
        <v>248</v>
      </c>
      <c r="B111" s="569">
        <v>45139</v>
      </c>
      <c r="C111">
        <v>161</v>
      </c>
      <c r="D111" s="524">
        <v>107094.15000000001</v>
      </c>
      <c r="E111" s="524">
        <v>48016.5</v>
      </c>
      <c r="F111" s="524">
        <v>-54988.74</v>
      </c>
      <c r="G111" s="524">
        <v>-11110</v>
      </c>
    </row>
    <row r="112" spans="1:7" x14ac:dyDescent="0.35">
      <c r="A112" t="s">
        <v>248</v>
      </c>
      <c r="B112" s="569">
        <v>45170</v>
      </c>
      <c r="C112">
        <v>161</v>
      </c>
      <c r="D112" s="524">
        <v>222658.35</v>
      </c>
      <c r="E112" s="524">
        <v>52832.5</v>
      </c>
      <c r="F112" s="524">
        <v>-29503.849999999995</v>
      </c>
      <c r="G112" s="524">
        <v>-11660</v>
      </c>
    </row>
    <row r="113" spans="1:7" x14ac:dyDescent="0.35">
      <c r="A113" t="s">
        <v>248</v>
      </c>
      <c r="B113" s="569">
        <v>45200</v>
      </c>
      <c r="C113">
        <v>161</v>
      </c>
      <c r="D113" s="524">
        <v>177251.91999999998</v>
      </c>
      <c r="E113" s="524">
        <v>50997.37</v>
      </c>
      <c r="F113" s="524">
        <v>-7228.0300000000097</v>
      </c>
      <c r="G113" s="524">
        <v>-11330</v>
      </c>
    </row>
    <row r="114" spans="1:7" x14ac:dyDescent="0.35">
      <c r="A114" t="s">
        <v>248</v>
      </c>
      <c r="B114" s="569">
        <v>45231</v>
      </c>
      <c r="C114">
        <v>162</v>
      </c>
      <c r="D114" s="524">
        <v>99855.700000000012</v>
      </c>
      <c r="E114" s="524">
        <v>54058.63</v>
      </c>
      <c r="F114" s="524">
        <v>-8491.2099999999991</v>
      </c>
      <c r="G114" s="524">
        <v>-11330</v>
      </c>
    </row>
    <row r="115" spans="1:7" x14ac:dyDescent="0.35">
      <c r="A115" t="s">
        <v>248</v>
      </c>
      <c r="B115" s="569">
        <v>45261</v>
      </c>
      <c r="C115">
        <v>163</v>
      </c>
      <c r="D115" s="524">
        <v>140625.27000000002</v>
      </c>
      <c r="E115" s="524">
        <v>60314.06</v>
      </c>
      <c r="F115" s="524">
        <v>4840.4000000000069</v>
      </c>
      <c r="G115" s="524">
        <v>-11330</v>
      </c>
    </row>
    <row r="116" spans="1:7" x14ac:dyDescent="0.35">
      <c r="A116" t="s">
        <v>248</v>
      </c>
      <c r="B116" s="569">
        <v>45292</v>
      </c>
      <c r="C116">
        <v>159</v>
      </c>
      <c r="D116" s="524">
        <v>93694.080000000002</v>
      </c>
      <c r="E116" s="524">
        <v>51414.33</v>
      </c>
      <c r="F116" s="524">
        <v>-5806.1200000000026</v>
      </c>
      <c r="G116" s="524">
        <v>-11330</v>
      </c>
    </row>
    <row r="117" spans="1:7" x14ac:dyDescent="0.35">
      <c r="A117" t="s">
        <v>248</v>
      </c>
      <c r="B117" s="569">
        <v>45323</v>
      </c>
      <c r="C117">
        <v>157</v>
      </c>
      <c r="D117" s="524">
        <v>94511.31</v>
      </c>
      <c r="E117" s="524">
        <v>46007.64</v>
      </c>
      <c r="F117" s="524">
        <v>1202.3900000000003</v>
      </c>
      <c r="G117" s="524">
        <v>-11330</v>
      </c>
    </row>
    <row r="118" spans="1:7" x14ac:dyDescent="0.35">
      <c r="A118" t="s">
        <v>248</v>
      </c>
      <c r="B118" s="569">
        <v>45352</v>
      </c>
      <c r="C118">
        <v>156</v>
      </c>
      <c r="D118" s="524">
        <v>147445.95000000001</v>
      </c>
      <c r="E118" s="524">
        <v>67556.240000000005</v>
      </c>
      <c r="F118" s="524">
        <v>737.52000000000362</v>
      </c>
      <c r="G118" s="524">
        <v>-11220</v>
      </c>
    </row>
    <row r="119" spans="1:7" x14ac:dyDescent="0.35">
      <c r="A119" t="s">
        <v>248</v>
      </c>
      <c r="B119" s="569">
        <v>45383</v>
      </c>
      <c r="C119">
        <v>155</v>
      </c>
      <c r="D119" s="524">
        <v>144025.28</v>
      </c>
      <c r="E119" s="524">
        <v>45752.31</v>
      </c>
      <c r="F119" s="524">
        <v>1288.9799999999955</v>
      </c>
      <c r="G119" s="524">
        <v>-11220</v>
      </c>
    </row>
    <row r="120" spans="1:7" x14ac:dyDescent="0.35">
      <c r="A120" t="s">
        <v>248</v>
      </c>
      <c r="B120" s="569">
        <v>45413</v>
      </c>
      <c r="C120">
        <v>155</v>
      </c>
      <c r="D120" s="524">
        <v>256837.32</v>
      </c>
      <c r="E120" s="524">
        <v>71178.13</v>
      </c>
      <c r="F120" s="524">
        <v>-98264.790000000008</v>
      </c>
      <c r="G120" s="524">
        <v>-11220</v>
      </c>
    </row>
    <row r="121" spans="1:7" x14ac:dyDescent="0.35">
      <c r="A121" t="s">
        <v>248</v>
      </c>
      <c r="B121" s="569">
        <v>45444</v>
      </c>
      <c r="C121">
        <v>155</v>
      </c>
      <c r="D121" s="524">
        <v>146484.13</v>
      </c>
      <c r="E121" s="524">
        <v>78303.289999999994</v>
      </c>
      <c r="F121" s="524">
        <v>-36797.229999999974</v>
      </c>
      <c r="G121" s="524">
        <v>-11110</v>
      </c>
    </row>
    <row r="122" spans="1:7" x14ac:dyDescent="0.35">
      <c r="A122" t="s">
        <v>262</v>
      </c>
      <c r="B122" s="569">
        <v>45108</v>
      </c>
      <c r="C122">
        <v>157</v>
      </c>
      <c r="D122" s="524">
        <v>102982.3</v>
      </c>
      <c r="E122" s="524">
        <v>42167.839999999997</v>
      </c>
      <c r="F122" s="524">
        <v>1286.95</v>
      </c>
      <c r="G122" s="524">
        <v>-17270</v>
      </c>
    </row>
    <row r="123" spans="1:7" x14ac:dyDescent="0.35">
      <c r="A123" t="s">
        <v>262</v>
      </c>
      <c r="B123" s="569">
        <v>45139</v>
      </c>
      <c r="C123">
        <v>158</v>
      </c>
      <c r="D123" s="524">
        <v>141712.5</v>
      </c>
      <c r="E123" s="524">
        <v>63878.54</v>
      </c>
      <c r="F123" s="524">
        <v>1708.44</v>
      </c>
      <c r="G123" s="524">
        <v>-17380</v>
      </c>
    </row>
    <row r="124" spans="1:7" x14ac:dyDescent="0.35">
      <c r="A124" t="s">
        <v>262</v>
      </c>
      <c r="B124" s="569">
        <v>45170</v>
      </c>
      <c r="C124">
        <v>161</v>
      </c>
      <c r="D124" s="524">
        <v>-25281.969999999998</v>
      </c>
      <c r="E124" s="524">
        <v>53901.16</v>
      </c>
      <c r="F124" s="524">
        <v>175.89</v>
      </c>
      <c r="G124" s="524">
        <v>-17710</v>
      </c>
    </row>
    <row r="125" spans="1:7" x14ac:dyDescent="0.35">
      <c r="A125" t="s">
        <v>262</v>
      </c>
      <c r="B125" s="569">
        <v>45200</v>
      </c>
      <c r="C125">
        <v>161</v>
      </c>
      <c r="D125" s="524">
        <v>96193.76999999999</v>
      </c>
      <c r="E125" s="524">
        <v>51606.68</v>
      </c>
      <c r="F125" s="524">
        <v>-4964.37</v>
      </c>
      <c r="G125" s="524">
        <v>-17710</v>
      </c>
    </row>
    <row r="126" spans="1:7" x14ac:dyDescent="0.35">
      <c r="A126" t="s">
        <v>262</v>
      </c>
      <c r="B126" s="569">
        <v>45231</v>
      </c>
      <c r="C126">
        <v>162</v>
      </c>
      <c r="D126" s="524">
        <v>123380.25</v>
      </c>
      <c r="E126" s="524">
        <v>33524.720000000001</v>
      </c>
      <c r="F126" s="524">
        <v>-19706.41</v>
      </c>
      <c r="G126" s="524">
        <v>-17820</v>
      </c>
    </row>
    <row r="127" spans="1:7" x14ac:dyDescent="0.35">
      <c r="A127" t="s">
        <v>262</v>
      </c>
      <c r="B127" s="569">
        <v>45261</v>
      </c>
      <c r="C127">
        <v>161</v>
      </c>
      <c r="D127" s="524">
        <v>183375.78000000003</v>
      </c>
      <c r="E127" s="524">
        <v>47229.58</v>
      </c>
      <c r="F127" s="524">
        <v>5541.85</v>
      </c>
      <c r="G127" s="524">
        <v>-17710</v>
      </c>
    </row>
    <row r="128" spans="1:7" x14ac:dyDescent="0.35">
      <c r="A128" t="s">
        <v>262</v>
      </c>
      <c r="B128" s="569">
        <v>45292</v>
      </c>
      <c r="C128">
        <v>160</v>
      </c>
      <c r="D128" s="524">
        <v>72178.960000000006</v>
      </c>
      <c r="E128" s="524">
        <v>38647.5</v>
      </c>
      <c r="F128" s="524">
        <v>-19398.97</v>
      </c>
      <c r="G128" s="524">
        <v>-17600</v>
      </c>
    </row>
    <row r="129" spans="1:7" x14ac:dyDescent="0.35">
      <c r="A129" t="s">
        <v>262</v>
      </c>
      <c r="B129" s="569">
        <v>45323</v>
      </c>
      <c r="C129">
        <v>160</v>
      </c>
      <c r="D129" s="524">
        <v>92923.670000000013</v>
      </c>
      <c r="E129" s="524">
        <v>65388.480000000003</v>
      </c>
      <c r="F129" s="524">
        <v>-22753.73</v>
      </c>
      <c r="G129" s="524">
        <v>-17600</v>
      </c>
    </row>
    <row r="130" spans="1:7" x14ac:dyDescent="0.35">
      <c r="A130" t="s">
        <v>262</v>
      </c>
      <c r="B130" s="569">
        <v>45352</v>
      </c>
      <c r="C130">
        <v>157</v>
      </c>
      <c r="D130" s="524">
        <v>232033.43000000002</v>
      </c>
      <c r="E130" s="524">
        <v>54247.1</v>
      </c>
      <c r="F130" s="524">
        <v>-19118.690000000002</v>
      </c>
      <c r="G130" s="524">
        <v>-17270</v>
      </c>
    </row>
    <row r="131" spans="1:7" x14ac:dyDescent="0.35">
      <c r="A131" t="s">
        <v>262</v>
      </c>
      <c r="B131" s="569">
        <v>45383</v>
      </c>
      <c r="C131">
        <v>156</v>
      </c>
      <c r="D131" s="524">
        <v>140350.5</v>
      </c>
      <c r="E131" s="524">
        <v>29538.33</v>
      </c>
      <c r="F131" s="524">
        <v>-20931.329999999994</v>
      </c>
      <c r="G131" s="524">
        <v>-17160</v>
      </c>
    </row>
    <row r="132" spans="1:7" x14ac:dyDescent="0.35">
      <c r="A132" t="s">
        <v>262</v>
      </c>
      <c r="B132" s="569">
        <v>45413</v>
      </c>
      <c r="C132">
        <v>156</v>
      </c>
      <c r="D132" s="524">
        <v>173952.31</v>
      </c>
      <c r="E132" s="524">
        <v>49143.19</v>
      </c>
      <c r="F132" s="524">
        <v>-3281.930000000003</v>
      </c>
      <c r="G132" s="524">
        <v>-17160</v>
      </c>
    </row>
    <row r="133" spans="1:7" x14ac:dyDescent="0.35">
      <c r="A133" t="s">
        <v>262</v>
      </c>
      <c r="B133" s="569">
        <v>45444</v>
      </c>
      <c r="C133">
        <v>156</v>
      </c>
      <c r="D133" s="524">
        <v>224733.38</v>
      </c>
      <c r="E133" s="524">
        <v>66298.649999999994</v>
      </c>
      <c r="F133" s="524">
        <v>-87278.389999999985</v>
      </c>
      <c r="G133" s="524">
        <v>-17160</v>
      </c>
    </row>
    <row r="134" spans="1:7" x14ac:dyDescent="0.35">
      <c r="A134" t="s">
        <v>263</v>
      </c>
      <c r="B134" s="569">
        <v>45108</v>
      </c>
      <c r="C134">
        <v>155</v>
      </c>
      <c r="D134" s="524">
        <v>297932</v>
      </c>
      <c r="E134" s="524">
        <v>98159.64</v>
      </c>
      <c r="F134" s="524">
        <v>18.350000000000001</v>
      </c>
      <c r="G134" s="524">
        <v>-17050</v>
      </c>
    </row>
    <row r="135" spans="1:7" x14ac:dyDescent="0.35">
      <c r="A135" t="s">
        <v>263</v>
      </c>
      <c r="B135" s="569">
        <v>45139</v>
      </c>
      <c r="C135">
        <v>155</v>
      </c>
      <c r="D135" s="524">
        <v>150946.91</v>
      </c>
      <c r="E135" s="524">
        <v>59030.76</v>
      </c>
      <c r="F135" s="524">
        <v>183.03999999999996</v>
      </c>
      <c r="G135" s="524">
        <v>-17050</v>
      </c>
    </row>
    <row r="136" spans="1:7" x14ac:dyDescent="0.35">
      <c r="A136" t="s">
        <v>263</v>
      </c>
      <c r="B136" s="569">
        <v>45170</v>
      </c>
      <c r="C136">
        <v>149</v>
      </c>
      <c r="D136" s="524">
        <v>160468.68</v>
      </c>
      <c r="E136" s="524">
        <v>112905.07</v>
      </c>
      <c r="F136" s="524">
        <v>40.480000000000004</v>
      </c>
      <c r="G136" s="524">
        <v>-16390</v>
      </c>
    </row>
    <row r="137" spans="1:7" x14ac:dyDescent="0.35">
      <c r="A137" t="s">
        <v>263</v>
      </c>
      <c r="B137" s="569">
        <v>45200</v>
      </c>
      <c r="C137">
        <v>150</v>
      </c>
      <c r="D137" s="524">
        <v>298613.51999999996</v>
      </c>
      <c r="E137" s="524">
        <v>85025.279999999999</v>
      </c>
      <c r="F137" s="524">
        <v>-129639.09999999999</v>
      </c>
      <c r="G137" s="524">
        <v>-16500</v>
      </c>
    </row>
    <row r="138" spans="1:7" x14ac:dyDescent="0.35">
      <c r="A138" t="s">
        <v>263</v>
      </c>
      <c r="B138" s="569">
        <v>45231</v>
      </c>
      <c r="C138">
        <v>151</v>
      </c>
      <c r="D138" s="524">
        <v>96880.33</v>
      </c>
      <c r="E138" s="524">
        <v>63423.34</v>
      </c>
      <c r="F138" s="524">
        <v>-4256.2700000000059</v>
      </c>
      <c r="G138" s="524">
        <v>-16610</v>
      </c>
    </row>
    <row r="139" spans="1:7" x14ac:dyDescent="0.35">
      <c r="A139" t="s">
        <v>263</v>
      </c>
      <c r="B139" s="569">
        <v>45261</v>
      </c>
      <c r="C139">
        <v>151</v>
      </c>
      <c r="D139" s="524">
        <v>417848.83</v>
      </c>
      <c r="E139" s="524">
        <v>105870.76</v>
      </c>
      <c r="F139" s="524">
        <v>-149025.51999999999</v>
      </c>
      <c r="G139" s="524">
        <v>-16610</v>
      </c>
    </row>
    <row r="140" spans="1:7" x14ac:dyDescent="0.35">
      <c r="A140" t="s">
        <v>263</v>
      </c>
      <c r="B140" s="569">
        <v>45292</v>
      </c>
      <c r="C140">
        <v>149</v>
      </c>
      <c r="D140" s="524">
        <v>81203.3</v>
      </c>
      <c r="E140" s="524">
        <v>64456.15</v>
      </c>
      <c r="F140" s="524">
        <v>-31053.889999999996</v>
      </c>
      <c r="G140" s="524">
        <v>-16390</v>
      </c>
    </row>
    <row r="141" spans="1:7" x14ac:dyDescent="0.35">
      <c r="A141" t="s">
        <v>263</v>
      </c>
      <c r="B141" s="569">
        <v>45323</v>
      </c>
      <c r="C141">
        <v>152</v>
      </c>
      <c r="D141" s="524">
        <v>252949.96000000002</v>
      </c>
      <c r="E141" s="524">
        <v>39645.54</v>
      </c>
      <c r="F141" s="524">
        <v>-118234.3</v>
      </c>
      <c r="G141" s="524">
        <v>-16720</v>
      </c>
    </row>
    <row r="142" spans="1:7" x14ac:dyDescent="0.35">
      <c r="A142" t="s">
        <v>263</v>
      </c>
      <c r="B142" s="569">
        <v>45352</v>
      </c>
      <c r="C142">
        <v>152</v>
      </c>
      <c r="D142" s="524">
        <v>289354.99</v>
      </c>
      <c r="E142" s="524">
        <v>105675.34</v>
      </c>
      <c r="F142" s="524">
        <v>-183854.17000000007</v>
      </c>
      <c r="G142" s="524">
        <v>-16720</v>
      </c>
    </row>
    <row r="143" spans="1:7" x14ac:dyDescent="0.35">
      <c r="A143" t="s">
        <v>263</v>
      </c>
      <c r="B143" s="569">
        <v>45383</v>
      </c>
      <c r="C143">
        <v>150</v>
      </c>
      <c r="D143" s="524">
        <v>283826.43</v>
      </c>
      <c r="E143" s="524">
        <v>91576.53</v>
      </c>
      <c r="F143" s="524">
        <v>-286833.52</v>
      </c>
      <c r="G143" s="524">
        <v>-16500</v>
      </c>
    </row>
    <row r="144" spans="1:7" x14ac:dyDescent="0.35">
      <c r="A144" t="s">
        <v>263</v>
      </c>
      <c r="B144" s="569">
        <v>45413</v>
      </c>
      <c r="C144">
        <v>149</v>
      </c>
      <c r="D144" s="524">
        <v>204444.94</v>
      </c>
      <c r="E144" s="524">
        <v>103125.44</v>
      </c>
      <c r="F144" s="524">
        <v>-152859.09999999995</v>
      </c>
      <c r="G144" s="524">
        <v>-16390</v>
      </c>
    </row>
    <row r="145" spans="1:7" x14ac:dyDescent="0.35">
      <c r="A145" t="s">
        <v>263</v>
      </c>
      <c r="B145" s="569">
        <v>45444</v>
      </c>
      <c r="C145">
        <v>147</v>
      </c>
      <c r="D145" s="524">
        <v>341785.25</v>
      </c>
      <c r="E145" s="524">
        <v>76993.53</v>
      </c>
      <c r="F145" s="524">
        <v>-153920.90000000002</v>
      </c>
      <c r="G145" s="524">
        <v>-16170</v>
      </c>
    </row>
    <row r="146" spans="1:7" x14ac:dyDescent="0.35">
      <c r="A146" t="s">
        <v>266</v>
      </c>
      <c r="B146" s="569">
        <v>45108</v>
      </c>
      <c r="C146">
        <v>255</v>
      </c>
      <c r="D146" s="524">
        <v>120902.09</v>
      </c>
      <c r="E146" s="524">
        <v>113606.18</v>
      </c>
      <c r="F146" s="524">
        <v>108188.5</v>
      </c>
      <c r="G146" s="524">
        <v>-28050</v>
      </c>
    </row>
    <row r="147" spans="1:7" x14ac:dyDescent="0.35">
      <c r="A147" t="s">
        <v>266</v>
      </c>
      <c r="B147" s="569">
        <v>45139</v>
      </c>
      <c r="C147">
        <v>259</v>
      </c>
      <c r="D147" s="524">
        <v>199219.27</v>
      </c>
      <c r="E147" s="524">
        <v>143498.20000000001</v>
      </c>
      <c r="F147" s="524">
        <v>-45301.95</v>
      </c>
      <c r="G147" s="524">
        <v>-28490</v>
      </c>
    </row>
    <row r="148" spans="1:7" x14ac:dyDescent="0.35">
      <c r="A148" t="s">
        <v>266</v>
      </c>
      <c r="B148" s="569">
        <v>45170</v>
      </c>
      <c r="C148">
        <v>256</v>
      </c>
      <c r="D148" s="524">
        <v>277298.37</v>
      </c>
      <c r="E148" s="524">
        <v>149984.32000000001</v>
      </c>
      <c r="F148" s="524">
        <v>217.01999999999953</v>
      </c>
      <c r="G148" s="524">
        <v>-28160</v>
      </c>
    </row>
    <row r="149" spans="1:7" x14ac:dyDescent="0.35">
      <c r="A149" t="s">
        <v>266</v>
      </c>
      <c r="B149" s="569">
        <v>45200</v>
      </c>
      <c r="C149">
        <v>252</v>
      </c>
      <c r="D149" s="524">
        <v>517839.74</v>
      </c>
      <c r="E149" s="524">
        <v>115362.56</v>
      </c>
      <c r="F149" s="524">
        <v>-205040.19</v>
      </c>
      <c r="G149" s="524">
        <v>-27720</v>
      </c>
    </row>
    <row r="150" spans="1:7" x14ac:dyDescent="0.35">
      <c r="A150" t="s">
        <v>266</v>
      </c>
      <c r="B150" s="569">
        <v>45231</v>
      </c>
      <c r="C150">
        <v>256</v>
      </c>
      <c r="D150" s="524">
        <v>232290.53999999998</v>
      </c>
      <c r="E150" s="524">
        <v>120322.31</v>
      </c>
      <c r="F150" s="524">
        <v>-39684.360000000008</v>
      </c>
      <c r="G150" s="524">
        <v>-28160</v>
      </c>
    </row>
    <row r="151" spans="1:7" x14ac:dyDescent="0.35">
      <c r="A151" t="s">
        <v>266</v>
      </c>
      <c r="B151" s="569">
        <v>45261</v>
      </c>
      <c r="C151">
        <v>259</v>
      </c>
      <c r="D151" s="524">
        <v>1117497.5</v>
      </c>
      <c r="E151" s="524">
        <v>140442.07</v>
      </c>
      <c r="F151" s="524">
        <v>364177.14999999991</v>
      </c>
      <c r="G151" s="524">
        <v>-28490</v>
      </c>
    </row>
    <row r="152" spans="1:7" x14ac:dyDescent="0.35">
      <c r="A152" t="s">
        <v>266</v>
      </c>
      <c r="B152" s="569">
        <v>45292</v>
      </c>
      <c r="C152">
        <v>261</v>
      </c>
      <c r="D152" s="524">
        <v>272128.73</v>
      </c>
      <c r="E152" s="524">
        <v>107385.61</v>
      </c>
      <c r="F152" s="524">
        <v>-347954.17999999993</v>
      </c>
      <c r="G152" s="524">
        <v>-28710</v>
      </c>
    </row>
    <row r="153" spans="1:7" x14ac:dyDescent="0.35">
      <c r="A153" t="s">
        <v>266</v>
      </c>
      <c r="B153" s="569">
        <v>45323</v>
      </c>
      <c r="C153">
        <v>263</v>
      </c>
      <c r="D153" s="524">
        <v>543048.94999999995</v>
      </c>
      <c r="E153" s="524">
        <v>136042.93</v>
      </c>
      <c r="F153" s="524">
        <v>-38444.24000000002</v>
      </c>
      <c r="G153" s="524">
        <v>-28930</v>
      </c>
    </row>
    <row r="154" spans="1:7" x14ac:dyDescent="0.35">
      <c r="A154" t="s">
        <v>266</v>
      </c>
      <c r="B154" s="569">
        <v>45352</v>
      </c>
      <c r="C154">
        <v>262</v>
      </c>
      <c r="D154" s="524">
        <v>503200.03</v>
      </c>
      <c r="E154" s="524">
        <v>137011.34</v>
      </c>
      <c r="F154" s="524">
        <v>-335499.34000000003</v>
      </c>
      <c r="G154" s="524">
        <v>-28820</v>
      </c>
    </row>
    <row r="155" spans="1:7" x14ac:dyDescent="0.35">
      <c r="A155" t="s">
        <v>266</v>
      </c>
      <c r="B155" s="569">
        <v>45383</v>
      </c>
      <c r="C155">
        <v>262</v>
      </c>
      <c r="D155" s="524">
        <v>302736.46000000002</v>
      </c>
      <c r="E155" s="524">
        <v>129514.02</v>
      </c>
      <c r="F155" s="524">
        <v>-61531.830000000031</v>
      </c>
      <c r="G155" s="524">
        <v>-28820</v>
      </c>
    </row>
    <row r="156" spans="1:7" x14ac:dyDescent="0.35">
      <c r="A156" t="s">
        <v>266</v>
      </c>
      <c r="B156" s="569">
        <v>45413</v>
      </c>
      <c r="C156">
        <v>258</v>
      </c>
      <c r="D156" s="524">
        <v>769957.16999999993</v>
      </c>
      <c r="E156" s="524">
        <v>173715.15</v>
      </c>
      <c r="F156" s="524">
        <v>-203298.00999999995</v>
      </c>
      <c r="G156" s="524">
        <v>-28380</v>
      </c>
    </row>
    <row r="157" spans="1:7" x14ac:dyDescent="0.35">
      <c r="A157" t="s">
        <v>266</v>
      </c>
      <c r="B157" s="569">
        <v>45444</v>
      </c>
      <c r="C157">
        <v>257</v>
      </c>
      <c r="D157" s="524">
        <v>539272.79999999993</v>
      </c>
      <c r="E157" s="524">
        <v>159690.81</v>
      </c>
      <c r="F157" s="524">
        <v>-328104.64</v>
      </c>
      <c r="G157" s="524">
        <v>-28270</v>
      </c>
    </row>
    <row r="158" spans="1:7" x14ac:dyDescent="0.35">
      <c r="A158" t="s">
        <v>267</v>
      </c>
      <c r="B158" s="569">
        <v>45108</v>
      </c>
      <c r="C158">
        <v>198</v>
      </c>
      <c r="D158" s="524">
        <v>288999.77</v>
      </c>
      <c r="E158" s="524">
        <v>102962.48</v>
      </c>
      <c r="F158" s="524">
        <v>-107689.36</v>
      </c>
      <c r="G158" s="524">
        <v>-21780</v>
      </c>
    </row>
    <row r="159" spans="1:7" x14ac:dyDescent="0.35">
      <c r="A159" t="s">
        <v>267</v>
      </c>
      <c r="B159" s="569">
        <v>45139</v>
      </c>
      <c r="C159">
        <v>195</v>
      </c>
      <c r="D159" s="524">
        <v>216484.38</v>
      </c>
      <c r="E159" s="524">
        <v>64555.31</v>
      </c>
      <c r="F159" s="524">
        <v>-13761.619999999999</v>
      </c>
      <c r="G159" s="524">
        <v>-21450</v>
      </c>
    </row>
    <row r="160" spans="1:7" x14ac:dyDescent="0.35">
      <c r="A160" t="s">
        <v>267</v>
      </c>
      <c r="B160" s="569">
        <v>45170</v>
      </c>
      <c r="C160">
        <v>197</v>
      </c>
      <c r="D160" s="524">
        <v>251870.31</v>
      </c>
      <c r="E160" s="524">
        <v>143562.79999999999</v>
      </c>
      <c r="F160" s="524">
        <v>-6436.5700000000015</v>
      </c>
      <c r="G160" s="524">
        <v>-21670</v>
      </c>
    </row>
    <row r="161" spans="1:7" x14ac:dyDescent="0.35">
      <c r="A161" t="s">
        <v>267</v>
      </c>
      <c r="B161" s="569">
        <v>45200</v>
      </c>
      <c r="C161">
        <v>200</v>
      </c>
      <c r="D161" s="524">
        <v>710709.39</v>
      </c>
      <c r="E161" s="524">
        <v>101460.46</v>
      </c>
      <c r="F161" s="524">
        <v>-337270.57</v>
      </c>
      <c r="G161" s="524">
        <v>-22000</v>
      </c>
    </row>
    <row r="162" spans="1:7" x14ac:dyDescent="0.35">
      <c r="A162" t="s">
        <v>267</v>
      </c>
      <c r="B162" s="569">
        <v>45231</v>
      </c>
      <c r="C162">
        <v>197</v>
      </c>
      <c r="D162" s="524">
        <v>249269.94</v>
      </c>
      <c r="E162" s="524">
        <v>145574.67000000001</v>
      </c>
      <c r="F162" s="524">
        <v>-118032.20999999995</v>
      </c>
      <c r="G162" s="524">
        <v>-21670</v>
      </c>
    </row>
    <row r="163" spans="1:7" x14ac:dyDescent="0.35">
      <c r="A163" t="s">
        <v>267</v>
      </c>
      <c r="B163" s="569">
        <v>45261</v>
      </c>
      <c r="C163">
        <v>196</v>
      </c>
      <c r="D163" s="524">
        <v>741553.06</v>
      </c>
      <c r="E163" s="524">
        <v>141035.76</v>
      </c>
      <c r="F163" s="524">
        <v>-10846.610000000015</v>
      </c>
      <c r="G163" s="524">
        <v>-21560</v>
      </c>
    </row>
    <row r="164" spans="1:7" x14ac:dyDescent="0.35">
      <c r="A164" t="s">
        <v>267</v>
      </c>
      <c r="B164" s="569">
        <v>45292</v>
      </c>
      <c r="C164">
        <v>197</v>
      </c>
      <c r="D164" s="524">
        <v>-38418.450000000004</v>
      </c>
      <c r="E164" s="524">
        <v>106280.72</v>
      </c>
      <c r="F164" s="524">
        <v>-609537.31000000006</v>
      </c>
      <c r="G164" s="524">
        <v>-21670</v>
      </c>
    </row>
    <row r="165" spans="1:7" x14ac:dyDescent="0.35">
      <c r="A165" t="s">
        <v>267</v>
      </c>
      <c r="B165" s="569">
        <v>45323</v>
      </c>
      <c r="C165">
        <v>195</v>
      </c>
      <c r="D165" s="524">
        <v>548658.01</v>
      </c>
      <c r="E165" s="524">
        <v>114652.41</v>
      </c>
      <c r="F165" s="524">
        <v>-27355.100000000028</v>
      </c>
      <c r="G165" s="524">
        <v>-21450</v>
      </c>
    </row>
    <row r="166" spans="1:7" x14ac:dyDescent="0.35">
      <c r="A166" t="s">
        <v>267</v>
      </c>
      <c r="B166" s="569">
        <v>45352</v>
      </c>
      <c r="C166">
        <v>195</v>
      </c>
      <c r="D166" s="524">
        <v>550279.51</v>
      </c>
      <c r="E166" s="524">
        <v>129048.96000000001</v>
      </c>
      <c r="F166" s="524">
        <v>-325890.56999999995</v>
      </c>
      <c r="G166" s="524">
        <v>-21450</v>
      </c>
    </row>
    <row r="167" spans="1:7" x14ac:dyDescent="0.35">
      <c r="A167" t="s">
        <v>267</v>
      </c>
      <c r="B167" s="569">
        <v>45383</v>
      </c>
      <c r="C167">
        <v>194</v>
      </c>
      <c r="D167" s="524">
        <v>345318.39999999997</v>
      </c>
      <c r="E167" s="524">
        <v>104222.17</v>
      </c>
      <c r="F167" s="524">
        <v>-262228.20000000007</v>
      </c>
      <c r="G167" s="524">
        <v>-21340</v>
      </c>
    </row>
    <row r="168" spans="1:7" x14ac:dyDescent="0.35">
      <c r="A168" t="s">
        <v>267</v>
      </c>
      <c r="B168" s="569">
        <v>45413</v>
      </c>
      <c r="C168">
        <v>193</v>
      </c>
      <c r="D168" s="524">
        <v>250202.94</v>
      </c>
      <c r="E168" s="524">
        <v>129305.73</v>
      </c>
      <c r="F168" s="524">
        <v>-67641.109999999957</v>
      </c>
      <c r="G168" s="524">
        <v>-21230</v>
      </c>
    </row>
    <row r="169" spans="1:7" x14ac:dyDescent="0.35">
      <c r="A169" t="s">
        <v>267</v>
      </c>
      <c r="B169" s="569">
        <v>45444</v>
      </c>
      <c r="C169">
        <v>193</v>
      </c>
      <c r="D169" s="524">
        <v>199712.69</v>
      </c>
      <c r="E169" s="524">
        <v>93633.68</v>
      </c>
      <c r="F169" s="524">
        <v>-51383.059999999969</v>
      </c>
      <c r="G169" s="524">
        <v>-21230</v>
      </c>
    </row>
    <row r="170" spans="1:7" x14ac:dyDescent="0.35">
      <c r="A170" t="s">
        <v>259</v>
      </c>
      <c r="B170" s="569">
        <v>45108</v>
      </c>
      <c r="C170">
        <v>331</v>
      </c>
      <c r="D170" s="524">
        <v>580610.43000000005</v>
      </c>
      <c r="E170" s="524">
        <v>178765.83</v>
      </c>
      <c r="F170" s="524">
        <v>-211776.38999999998</v>
      </c>
      <c r="G170" s="524">
        <v>-36410</v>
      </c>
    </row>
    <row r="171" spans="1:7" x14ac:dyDescent="0.35">
      <c r="A171" t="s">
        <v>259</v>
      </c>
      <c r="B171" s="569">
        <v>45139</v>
      </c>
      <c r="C171">
        <v>334</v>
      </c>
      <c r="D171" s="524">
        <v>753357.39</v>
      </c>
      <c r="E171" s="524">
        <v>177667.33</v>
      </c>
      <c r="F171" s="524">
        <v>-86013.640000000029</v>
      </c>
      <c r="G171" s="524">
        <v>-36740</v>
      </c>
    </row>
    <row r="172" spans="1:7" x14ac:dyDescent="0.35">
      <c r="A172" t="s">
        <v>259</v>
      </c>
      <c r="B172" s="569">
        <v>45170</v>
      </c>
      <c r="C172">
        <v>332</v>
      </c>
      <c r="D172" s="524">
        <v>527280.05000000005</v>
      </c>
      <c r="E172" s="524">
        <v>250065.06</v>
      </c>
      <c r="F172" s="524">
        <v>-86889.22</v>
      </c>
      <c r="G172" s="524">
        <v>-36520</v>
      </c>
    </row>
    <row r="173" spans="1:7" x14ac:dyDescent="0.35">
      <c r="A173" t="s">
        <v>259</v>
      </c>
      <c r="B173" s="569">
        <v>45200</v>
      </c>
      <c r="C173">
        <v>331</v>
      </c>
      <c r="D173" s="524">
        <v>3701495.31</v>
      </c>
      <c r="E173" s="524">
        <v>185615.83</v>
      </c>
      <c r="F173" s="524">
        <v>-418109.15</v>
      </c>
      <c r="G173" s="524">
        <v>-36410</v>
      </c>
    </row>
    <row r="174" spans="1:7" x14ac:dyDescent="0.35">
      <c r="A174" t="s">
        <v>259</v>
      </c>
      <c r="B174" s="569">
        <v>45231</v>
      </c>
      <c r="C174">
        <v>334</v>
      </c>
      <c r="D174" s="524">
        <v>307100.05</v>
      </c>
      <c r="E174" s="524">
        <v>187224.78</v>
      </c>
      <c r="F174" s="524">
        <v>1238.3800000000701</v>
      </c>
      <c r="G174" s="524">
        <v>-36740</v>
      </c>
    </row>
    <row r="175" spans="1:7" x14ac:dyDescent="0.35">
      <c r="A175" t="s">
        <v>259</v>
      </c>
      <c r="B175" s="569">
        <v>45261</v>
      </c>
      <c r="C175">
        <v>331</v>
      </c>
      <c r="D175" s="524">
        <v>645299.28</v>
      </c>
      <c r="E175" s="524">
        <v>240054.02</v>
      </c>
      <c r="F175" s="524">
        <v>-2875715.77</v>
      </c>
      <c r="G175" s="524">
        <v>-36410</v>
      </c>
    </row>
    <row r="176" spans="1:7" x14ac:dyDescent="0.35">
      <c r="A176" t="s">
        <v>259</v>
      </c>
      <c r="B176" s="569">
        <v>45292</v>
      </c>
      <c r="C176">
        <v>328</v>
      </c>
      <c r="D176" s="524">
        <v>516135.7</v>
      </c>
      <c r="E176" s="524">
        <v>213615.65</v>
      </c>
      <c r="F176" s="524">
        <v>-162691.74000000002</v>
      </c>
      <c r="G176" s="524">
        <v>-36080</v>
      </c>
    </row>
    <row r="177" spans="1:7" x14ac:dyDescent="0.35">
      <c r="A177" t="s">
        <v>259</v>
      </c>
      <c r="B177" s="569">
        <v>45323</v>
      </c>
      <c r="C177">
        <v>329</v>
      </c>
      <c r="D177" s="524">
        <v>438838.33</v>
      </c>
      <c r="E177" s="524">
        <v>180968.04</v>
      </c>
      <c r="F177" s="524">
        <v>-201694.82999999996</v>
      </c>
      <c r="G177" s="524">
        <v>-36190</v>
      </c>
    </row>
    <row r="178" spans="1:7" x14ac:dyDescent="0.35">
      <c r="A178" t="s">
        <v>259</v>
      </c>
      <c r="B178" s="569">
        <v>45352</v>
      </c>
      <c r="C178">
        <v>329</v>
      </c>
      <c r="D178" s="524">
        <v>484485.14999999997</v>
      </c>
      <c r="E178" s="524">
        <v>247874.52</v>
      </c>
      <c r="F178" s="524">
        <v>-170198.52000000011</v>
      </c>
      <c r="G178" s="524">
        <v>-36190</v>
      </c>
    </row>
    <row r="179" spans="1:7" x14ac:dyDescent="0.35">
      <c r="A179" t="s">
        <v>259</v>
      </c>
      <c r="B179" s="569">
        <v>45383</v>
      </c>
      <c r="C179">
        <v>329</v>
      </c>
      <c r="D179" s="524">
        <v>432458.27</v>
      </c>
      <c r="E179" s="524">
        <v>291393.39</v>
      </c>
      <c r="F179" s="524">
        <v>-199555.41999999998</v>
      </c>
      <c r="G179" s="524">
        <v>-36190</v>
      </c>
    </row>
    <row r="180" spans="1:7" x14ac:dyDescent="0.35">
      <c r="A180" t="s">
        <v>259</v>
      </c>
      <c r="B180" s="569">
        <v>45413</v>
      </c>
      <c r="C180">
        <v>328</v>
      </c>
      <c r="D180" s="524">
        <v>493591.44</v>
      </c>
      <c r="E180" s="524">
        <v>294553.40000000002</v>
      </c>
      <c r="F180" s="524">
        <v>-33045.069999999971</v>
      </c>
      <c r="G180" s="524">
        <v>-36080</v>
      </c>
    </row>
    <row r="181" spans="1:7" x14ac:dyDescent="0.35">
      <c r="A181" t="s">
        <v>259</v>
      </c>
      <c r="B181" s="569">
        <v>45444</v>
      </c>
      <c r="C181">
        <v>328</v>
      </c>
      <c r="D181" s="524">
        <v>402789.95999999996</v>
      </c>
      <c r="E181" s="524">
        <v>226850.57</v>
      </c>
      <c r="F181" s="524">
        <v>-169278.07999999984</v>
      </c>
      <c r="G181" s="524">
        <v>-36080</v>
      </c>
    </row>
    <row r="182" spans="1:7" x14ac:dyDescent="0.35">
      <c r="A182" t="s">
        <v>268</v>
      </c>
      <c r="B182" s="569">
        <v>45108</v>
      </c>
      <c r="C182">
        <v>198</v>
      </c>
      <c r="D182" s="524">
        <v>137513.16</v>
      </c>
      <c r="E182" s="524">
        <v>63643.38</v>
      </c>
      <c r="F182" s="524">
        <v>-23362.09</v>
      </c>
      <c r="G182" s="524">
        <v>-21780</v>
      </c>
    </row>
    <row r="183" spans="1:7" x14ac:dyDescent="0.35">
      <c r="A183" t="s">
        <v>268</v>
      </c>
      <c r="B183" s="569">
        <v>45139</v>
      </c>
      <c r="C183">
        <v>199</v>
      </c>
      <c r="D183" s="524">
        <v>186013.30000000002</v>
      </c>
      <c r="E183" s="524">
        <v>35606.92</v>
      </c>
      <c r="F183" s="524">
        <v>730.24</v>
      </c>
      <c r="G183" s="524">
        <v>-21890</v>
      </c>
    </row>
    <row r="184" spans="1:7" x14ac:dyDescent="0.35">
      <c r="A184" t="s">
        <v>268</v>
      </c>
      <c r="B184" s="569">
        <v>45170</v>
      </c>
      <c r="C184">
        <v>199</v>
      </c>
      <c r="D184" s="524">
        <v>209428.67</v>
      </c>
      <c r="E184" s="524">
        <v>116364.4</v>
      </c>
      <c r="F184" s="524">
        <v>1294.58</v>
      </c>
      <c r="G184" s="524">
        <v>-21890</v>
      </c>
    </row>
    <row r="185" spans="1:7" x14ac:dyDescent="0.35">
      <c r="A185" t="s">
        <v>268</v>
      </c>
      <c r="B185" s="569">
        <v>45200</v>
      </c>
      <c r="C185">
        <v>196</v>
      </c>
      <c r="D185" s="524">
        <v>129998.56000000001</v>
      </c>
      <c r="E185" s="524">
        <v>113184.65</v>
      </c>
      <c r="F185" s="524">
        <v>149.88</v>
      </c>
      <c r="G185" s="524">
        <v>-21560</v>
      </c>
    </row>
    <row r="186" spans="1:7" x14ac:dyDescent="0.35">
      <c r="A186" t="s">
        <v>268</v>
      </c>
      <c r="B186" s="569">
        <v>45231</v>
      </c>
      <c r="C186">
        <v>196</v>
      </c>
      <c r="D186" s="524">
        <v>130657.61</v>
      </c>
      <c r="E186" s="524">
        <v>98638.43</v>
      </c>
      <c r="F186" s="524">
        <v>-13367.43</v>
      </c>
      <c r="G186" s="524">
        <v>-21560</v>
      </c>
    </row>
    <row r="187" spans="1:7" x14ac:dyDescent="0.35">
      <c r="A187" t="s">
        <v>268</v>
      </c>
      <c r="B187" s="569">
        <v>45261</v>
      </c>
      <c r="C187">
        <v>194</v>
      </c>
      <c r="D187" s="524">
        <v>218631.11</v>
      </c>
      <c r="E187" s="524">
        <v>152792.32000000001</v>
      </c>
      <c r="F187" s="524">
        <v>-48619.689999999995</v>
      </c>
      <c r="G187" s="524">
        <v>-21340</v>
      </c>
    </row>
    <row r="188" spans="1:7" x14ac:dyDescent="0.35">
      <c r="A188" t="s">
        <v>268</v>
      </c>
      <c r="B188" s="569">
        <v>45292</v>
      </c>
      <c r="C188">
        <v>194</v>
      </c>
      <c r="D188" s="524">
        <v>206024.73</v>
      </c>
      <c r="E188" s="524">
        <v>107081.14</v>
      </c>
      <c r="F188" s="524">
        <v>-35046.01</v>
      </c>
      <c r="G188" s="524">
        <v>-21340</v>
      </c>
    </row>
    <row r="189" spans="1:7" x14ac:dyDescent="0.35">
      <c r="A189" t="s">
        <v>268</v>
      </c>
      <c r="B189" s="569">
        <v>45323</v>
      </c>
      <c r="C189">
        <v>193</v>
      </c>
      <c r="D189" s="524">
        <v>227292.28</v>
      </c>
      <c r="E189" s="524">
        <v>77696.59</v>
      </c>
      <c r="F189" s="524">
        <v>-47202.089999999989</v>
      </c>
      <c r="G189" s="524">
        <v>-21230</v>
      </c>
    </row>
    <row r="190" spans="1:7" x14ac:dyDescent="0.35">
      <c r="A190" t="s">
        <v>268</v>
      </c>
      <c r="B190" s="569">
        <v>45352</v>
      </c>
      <c r="C190">
        <v>191</v>
      </c>
      <c r="D190" s="524">
        <v>291667.73</v>
      </c>
      <c r="E190" s="524">
        <v>90405.63</v>
      </c>
      <c r="F190" s="524">
        <v>-7877.7100000000182</v>
      </c>
      <c r="G190" s="524">
        <v>-21010</v>
      </c>
    </row>
    <row r="191" spans="1:7" x14ac:dyDescent="0.35">
      <c r="A191" t="s">
        <v>268</v>
      </c>
      <c r="B191" s="569">
        <v>45383</v>
      </c>
      <c r="C191">
        <v>191</v>
      </c>
      <c r="D191" s="524">
        <v>373399.81</v>
      </c>
      <c r="E191" s="524">
        <v>77892.37</v>
      </c>
      <c r="F191" s="524">
        <v>-74742.899999999994</v>
      </c>
      <c r="G191" s="524">
        <v>-21010</v>
      </c>
    </row>
    <row r="192" spans="1:7" x14ac:dyDescent="0.35">
      <c r="A192" t="s">
        <v>268</v>
      </c>
      <c r="B192" s="569">
        <v>45413</v>
      </c>
      <c r="C192">
        <v>190</v>
      </c>
      <c r="D192" s="524">
        <v>135590.76</v>
      </c>
      <c r="E192" s="524">
        <v>110598.43</v>
      </c>
      <c r="F192" s="524">
        <v>-76309.420000000013</v>
      </c>
      <c r="G192" s="524">
        <v>-20900</v>
      </c>
    </row>
    <row r="193" spans="1:7" x14ac:dyDescent="0.35">
      <c r="A193" t="s">
        <v>268</v>
      </c>
      <c r="B193" s="569">
        <v>45444</v>
      </c>
      <c r="C193">
        <v>191</v>
      </c>
      <c r="D193" s="524">
        <v>268590</v>
      </c>
      <c r="E193" s="524">
        <v>126862</v>
      </c>
      <c r="F193" s="524">
        <v>-82062.000000000015</v>
      </c>
      <c r="G193" s="524">
        <v>-21010</v>
      </c>
    </row>
    <row r="194" spans="1:7" x14ac:dyDescent="0.35">
      <c r="A194" t="s">
        <v>269</v>
      </c>
      <c r="B194" s="569">
        <v>45108</v>
      </c>
      <c r="C194">
        <v>108</v>
      </c>
      <c r="D194" s="524">
        <v>77964.039999999994</v>
      </c>
      <c r="E194" s="524">
        <v>41001.99</v>
      </c>
      <c r="F194" s="524">
        <v>265.52</v>
      </c>
      <c r="G194" s="524">
        <v>-11880</v>
      </c>
    </row>
    <row r="195" spans="1:7" x14ac:dyDescent="0.35">
      <c r="A195" t="s">
        <v>269</v>
      </c>
      <c r="B195" s="569">
        <v>45139</v>
      </c>
      <c r="C195">
        <v>108</v>
      </c>
      <c r="D195" s="524">
        <v>67215.850000000006</v>
      </c>
      <c r="E195" s="524">
        <v>47652.959999999999</v>
      </c>
      <c r="F195" s="524">
        <v>380.7</v>
      </c>
      <c r="G195" s="524">
        <v>-11880</v>
      </c>
    </row>
    <row r="196" spans="1:7" x14ac:dyDescent="0.35">
      <c r="A196" t="s">
        <v>269</v>
      </c>
      <c r="B196" s="569">
        <v>45170</v>
      </c>
      <c r="C196">
        <v>110</v>
      </c>
      <c r="D196" s="524">
        <v>71689.289999999994</v>
      </c>
      <c r="E196" s="524">
        <v>59778.51</v>
      </c>
      <c r="F196" s="524">
        <v>175.38</v>
      </c>
      <c r="G196" s="524">
        <v>-12100</v>
      </c>
    </row>
    <row r="197" spans="1:7" x14ac:dyDescent="0.35">
      <c r="A197" t="s">
        <v>269</v>
      </c>
      <c r="B197" s="569">
        <v>45200</v>
      </c>
      <c r="C197">
        <v>111</v>
      </c>
      <c r="D197" s="524">
        <v>61289.299999999996</v>
      </c>
      <c r="E197" s="524">
        <v>48384.23</v>
      </c>
      <c r="F197" s="524">
        <v>410.45</v>
      </c>
      <c r="G197" s="524">
        <v>-12210</v>
      </c>
    </row>
    <row r="198" spans="1:7" x14ac:dyDescent="0.35">
      <c r="A198" t="s">
        <v>269</v>
      </c>
      <c r="B198" s="569">
        <v>45231</v>
      </c>
      <c r="C198">
        <v>108</v>
      </c>
      <c r="D198" s="524">
        <v>74611.23</v>
      </c>
      <c r="E198" s="524">
        <v>30531.86</v>
      </c>
      <c r="F198" s="524">
        <v>107.19999999999999</v>
      </c>
      <c r="G198" s="524">
        <v>-11880</v>
      </c>
    </row>
    <row r="199" spans="1:7" x14ac:dyDescent="0.35">
      <c r="A199" t="s">
        <v>269</v>
      </c>
      <c r="B199" s="569">
        <v>45261</v>
      </c>
      <c r="C199">
        <v>108</v>
      </c>
      <c r="D199" s="524">
        <v>102270.92</v>
      </c>
      <c r="E199" s="524">
        <v>59350.04</v>
      </c>
      <c r="F199" s="524">
        <v>4368.47</v>
      </c>
      <c r="G199" s="524">
        <v>-11880</v>
      </c>
    </row>
    <row r="200" spans="1:7" x14ac:dyDescent="0.35">
      <c r="A200" t="s">
        <v>269</v>
      </c>
      <c r="B200" s="569">
        <v>45292</v>
      </c>
      <c r="C200">
        <v>107</v>
      </c>
      <c r="D200" s="524">
        <v>78587.100000000006</v>
      </c>
      <c r="E200" s="524">
        <v>52076.25</v>
      </c>
      <c r="F200" s="524">
        <v>-5477.33</v>
      </c>
      <c r="G200" s="524">
        <v>-11770</v>
      </c>
    </row>
    <row r="201" spans="1:7" x14ac:dyDescent="0.35">
      <c r="A201" t="s">
        <v>269</v>
      </c>
      <c r="B201" s="569">
        <v>45323</v>
      </c>
      <c r="C201">
        <v>107</v>
      </c>
      <c r="D201" s="524">
        <v>85437.71</v>
      </c>
      <c r="E201" s="524">
        <v>38266.68</v>
      </c>
      <c r="F201" s="524">
        <v>-4001.1599999999994</v>
      </c>
      <c r="G201" s="524">
        <v>-11770</v>
      </c>
    </row>
    <row r="202" spans="1:7" x14ac:dyDescent="0.35">
      <c r="A202" t="s">
        <v>269</v>
      </c>
      <c r="B202" s="569">
        <v>45352</v>
      </c>
      <c r="C202">
        <v>107</v>
      </c>
      <c r="D202" s="524">
        <v>118521.47</v>
      </c>
      <c r="E202" s="524">
        <v>72577.440000000002</v>
      </c>
      <c r="F202" s="524">
        <v>-18551.72</v>
      </c>
      <c r="G202" s="524">
        <v>-11770</v>
      </c>
    </row>
    <row r="203" spans="1:7" x14ac:dyDescent="0.35">
      <c r="A203" t="s">
        <v>269</v>
      </c>
      <c r="B203" s="569">
        <v>45383</v>
      </c>
      <c r="C203">
        <v>106</v>
      </c>
      <c r="D203" s="524">
        <v>138164.19999999998</v>
      </c>
      <c r="E203" s="524">
        <v>33161.1</v>
      </c>
      <c r="F203" s="524">
        <v>-709.17000000000144</v>
      </c>
      <c r="G203" s="524">
        <v>-11660</v>
      </c>
    </row>
    <row r="204" spans="1:7" x14ac:dyDescent="0.35">
      <c r="A204" t="s">
        <v>269</v>
      </c>
      <c r="B204" s="569">
        <v>45413</v>
      </c>
      <c r="C204">
        <v>106</v>
      </c>
      <c r="D204" s="524">
        <v>133970.94</v>
      </c>
      <c r="E204" s="524">
        <v>52078.47</v>
      </c>
      <c r="F204" s="524">
        <v>-24228.809999999994</v>
      </c>
      <c r="G204" s="524">
        <v>-11660</v>
      </c>
    </row>
    <row r="205" spans="1:7" x14ac:dyDescent="0.35">
      <c r="A205" t="s">
        <v>269</v>
      </c>
      <c r="B205" s="569">
        <v>45444</v>
      </c>
      <c r="C205">
        <v>105</v>
      </c>
      <c r="D205" s="524">
        <v>79762.48</v>
      </c>
      <c r="E205" s="524">
        <v>58639.73</v>
      </c>
      <c r="F205" s="524">
        <v>-21268.269999999997</v>
      </c>
      <c r="G205" s="524">
        <v>-11550</v>
      </c>
    </row>
    <row r="206" spans="1:7" x14ac:dyDescent="0.35">
      <c r="A206" t="s">
        <v>260</v>
      </c>
      <c r="B206" s="569">
        <v>45108</v>
      </c>
      <c r="C206">
        <v>55</v>
      </c>
      <c r="D206" s="524">
        <v>44917.98</v>
      </c>
      <c r="E206" s="524">
        <v>15780.12</v>
      </c>
      <c r="F206" s="524">
        <v>676.35</v>
      </c>
      <c r="G206" s="524">
        <v>-6050</v>
      </c>
    </row>
    <row r="207" spans="1:7" x14ac:dyDescent="0.35">
      <c r="A207" t="s">
        <v>260</v>
      </c>
      <c r="B207" s="569">
        <v>45139</v>
      </c>
      <c r="C207">
        <v>54</v>
      </c>
      <c r="D207" s="524">
        <v>39314.370000000003</v>
      </c>
      <c r="E207" s="524">
        <v>17676.71</v>
      </c>
      <c r="F207" s="524">
        <v>28.509999999999998</v>
      </c>
      <c r="G207" s="524">
        <v>-5940</v>
      </c>
    </row>
    <row r="208" spans="1:7" x14ac:dyDescent="0.35">
      <c r="A208" t="s">
        <v>260</v>
      </c>
      <c r="B208" s="569">
        <v>45170</v>
      </c>
      <c r="C208">
        <v>57</v>
      </c>
      <c r="D208" s="524">
        <v>37172.119999999995</v>
      </c>
      <c r="E208" s="524">
        <v>17295.39</v>
      </c>
      <c r="F208" s="524">
        <v>31.74</v>
      </c>
      <c r="G208" s="524">
        <v>-6270</v>
      </c>
    </row>
    <row r="209" spans="1:7" x14ac:dyDescent="0.35">
      <c r="A209" t="s">
        <v>260</v>
      </c>
      <c r="B209" s="569">
        <v>45200</v>
      </c>
      <c r="C209">
        <v>55</v>
      </c>
      <c r="D209" s="524">
        <v>62756.689999999995</v>
      </c>
      <c r="E209" s="524">
        <v>24272.87</v>
      </c>
      <c r="F209" s="524">
        <v>40.47</v>
      </c>
      <c r="G209" s="524">
        <v>-6050</v>
      </c>
    </row>
    <row r="210" spans="1:7" x14ac:dyDescent="0.35">
      <c r="A210" t="s">
        <v>260</v>
      </c>
      <c r="B210" s="569">
        <v>45231</v>
      </c>
      <c r="C210">
        <v>56</v>
      </c>
      <c r="D210" s="524">
        <v>462.59000000000003</v>
      </c>
      <c r="E210" s="524">
        <v>17263.490000000002</v>
      </c>
      <c r="F210" s="524">
        <v>1478.9</v>
      </c>
      <c r="G210" s="524">
        <v>-6160</v>
      </c>
    </row>
    <row r="211" spans="1:7" x14ac:dyDescent="0.35">
      <c r="A211" t="s">
        <v>260</v>
      </c>
      <c r="B211" s="569">
        <v>45261</v>
      </c>
      <c r="C211">
        <v>56</v>
      </c>
      <c r="D211" s="524">
        <v>99578.04</v>
      </c>
      <c r="E211" s="524">
        <v>22741.07</v>
      </c>
      <c r="F211" s="524">
        <v>-27939.91</v>
      </c>
      <c r="G211" s="524">
        <v>-6160</v>
      </c>
    </row>
    <row r="212" spans="1:7" x14ac:dyDescent="0.35">
      <c r="A212" t="s">
        <v>260</v>
      </c>
      <c r="B212" s="569">
        <v>45292</v>
      </c>
      <c r="C212">
        <v>56</v>
      </c>
      <c r="D212" s="524">
        <v>25069.34</v>
      </c>
      <c r="E212" s="524">
        <v>23681.27</v>
      </c>
      <c r="F212" s="524">
        <v>-662.44000000000131</v>
      </c>
      <c r="G212" s="524">
        <v>-6160</v>
      </c>
    </row>
    <row r="213" spans="1:7" x14ac:dyDescent="0.35">
      <c r="A213" t="s">
        <v>260</v>
      </c>
      <c r="B213" s="569">
        <v>45323</v>
      </c>
      <c r="C213">
        <v>54</v>
      </c>
      <c r="D213" s="524">
        <v>19707.530000000002</v>
      </c>
      <c r="E213" s="524">
        <v>19800.11</v>
      </c>
      <c r="F213" s="524">
        <v>-2706.7699999999995</v>
      </c>
      <c r="G213" s="524">
        <v>-5940</v>
      </c>
    </row>
    <row r="214" spans="1:7" x14ac:dyDescent="0.35">
      <c r="A214" t="s">
        <v>260</v>
      </c>
      <c r="B214" s="569">
        <v>45352</v>
      </c>
      <c r="C214">
        <v>54</v>
      </c>
      <c r="D214" s="524">
        <v>62276.67</v>
      </c>
      <c r="E214" s="524">
        <v>27466.71</v>
      </c>
      <c r="F214" s="524">
        <v>4107.2799999999979</v>
      </c>
      <c r="G214" s="524">
        <v>-5940</v>
      </c>
    </row>
    <row r="215" spans="1:7" x14ac:dyDescent="0.35">
      <c r="A215" t="s">
        <v>260</v>
      </c>
      <c r="B215" s="569">
        <v>45383</v>
      </c>
      <c r="C215">
        <v>55</v>
      </c>
      <c r="D215" s="524">
        <v>39318.379999999997</v>
      </c>
      <c r="E215" s="524">
        <v>26188.99</v>
      </c>
      <c r="F215" s="524">
        <v>347.74000000000433</v>
      </c>
      <c r="G215" s="524">
        <v>-6050</v>
      </c>
    </row>
    <row r="216" spans="1:7" x14ac:dyDescent="0.35">
      <c r="A216" t="s">
        <v>260</v>
      </c>
      <c r="B216" s="569">
        <v>45413</v>
      </c>
      <c r="C216">
        <v>53</v>
      </c>
      <c r="D216" s="524">
        <v>98389.08</v>
      </c>
      <c r="E216" s="524">
        <v>35878.42</v>
      </c>
      <c r="F216" s="524">
        <v>-17647.280000000006</v>
      </c>
      <c r="G216" s="524">
        <v>-5830</v>
      </c>
    </row>
    <row r="217" spans="1:7" x14ac:dyDescent="0.35">
      <c r="A217" t="s">
        <v>260</v>
      </c>
      <c r="B217" s="569">
        <v>45444</v>
      </c>
      <c r="C217">
        <v>52</v>
      </c>
      <c r="D217" s="524">
        <v>45603</v>
      </c>
      <c r="E217" s="524">
        <v>23264.83</v>
      </c>
      <c r="F217" s="524">
        <v>21.109999999999445</v>
      </c>
      <c r="G217" s="524">
        <v>-5720</v>
      </c>
    </row>
    <row r="218" spans="1:7" x14ac:dyDescent="0.35">
      <c r="A218" t="s">
        <v>261</v>
      </c>
      <c r="B218" s="569">
        <v>45108</v>
      </c>
      <c r="C218">
        <v>153</v>
      </c>
      <c r="D218" s="524">
        <v>83686.47</v>
      </c>
      <c r="E218" s="524">
        <v>86875.12</v>
      </c>
      <c r="F218" s="524">
        <v>-47954.17</v>
      </c>
      <c r="G218" s="524">
        <v>-16830</v>
      </c>
    </row>
    <row r="219" spans="1:7" x14ac:dyDescent="0.35">
      <c r="A219" t="s">
        <v>261</v>
      </c>
      <c r="B219" s="569">
        <v>45139</v>
      </c>
      <c r="C219">
        <v>152</v>
      </c>
      <c r="D219" s="524">
        <v>185258.14</v>
      </c>
      <c r="E219" s="524">
        <v>99626.46</v>
      </c>
      <c r="F219" s="524">
        <v>145.53</v>
      </c>
      <c r="G219" s="524">
        <v>-16720</v>
      </c>
    </row>
    <row r="220" spans="1:7" x14ac:dyDescent="0.35">
      <c r="A220" t="s">
        <v>261</v>
      </c>
      <c r="B220" s="569">
        <v>45170</v>
      </c>
      <c r="C220">
        <v>154</v>
      </c>
      <c r="D220" s="524">
        <v>185286.89</v>
      </c>
      <c r="E220" s="524">
        <v>145897.71</v>
      </c>
      <c r="F220" s="524">
        <v>-44746.42</v>
      </c>
      <c r="G220" s="524">
        <v>-16940</v>
      </c>
    </row>
    <row r="221" spans="1:7" x14ac:dyDescent="0.35">
      <c r="A221" t="s">
        <v>261</v>
      </c>
      <c r="B221" s="569">
        <v>45200</v>
      </c>
      <c r="C221">
        <v>154</v>
      </c>
      <c r="D221" s="524">
        <v>135645.64000000001</v>
      </c>
      <c r="E221" s="524">
        <v>114663.21</v>
      </c>
      <c r="F221" s="524">
        <v>-77786.42</v>
      </c>
      <c r="G221" s="524">
        <v>-16940</v>
      </c>
    </row>
    <row r="222" spans="1:7" x14ac:dyDescent="0.35">
      <c r="A222" t="s">
        <v>261</v>
      </c>
      <c r="B222" s="569">
        <v>45231</v>
      </c>
      <c r="C222">
        <v>155</v>
      </c>
      <c r="D222" s="524">
        <v>175509.63</v>
      </c>
      <c r="E222" s="524">
        <v>99566.92</v>
      </c>
      <c r="F222" s="524">
        <v>-38334.649999999994</v>
      </c>
      <c r="G222" s="524">
        <v>-17050</v>
      </c>
    </row>
    <row r="223" spans="1:7" x14ac:dyDescent="0.35">
      <c r="A223" t="s">
        <v>261</v>
      </c>
      <c r="B223" s="569">
        <v>45261</v>
      </c>
      <c r="C223">
        <v>155</v>
      </c>
      <c r="D223" s="524">
        <v>119149.27</v>
      </c>
      <c r="E223" s="524">
        <v>140285.79</v>
      </c>
      <c r="F223" s="524">
        <v>-33989.949999999997</v>
      </c>
      <c r="G223" s="524">
        <v>-17050</v>
      </c>
    </row>
    <row r="224" spans="1:7" x14ac:dyDescent="0.35">
      <c r="A224" t="s">
        <v>261</v>
      </c>
      <c r="B224" s="569">
        <v>45292</v>
      </c>
      <c r="C224">
        <v>153</v>
      </c>
      <c r="D224" s="524">
        <v>138551.83000000002</v>
      </c>
      <c r="E224" s="524">
        <v>102058.36</v>
      </c>
      <c r="F224" s="524">
        <v>-31537.569999999992</v>
      </c>
      <c r="G224" s="524">
        <v>-16830</v>
      </c>
    </row>
    <row r="225" spans="1:7" x14ac:dyDescent="0.35">
      <c r="A225" t="s">
        <v>261</v>
      </c>
      <c r="B225" s="569">
        <v>45323</v>
      </c>
      <c r="C225">
        <v>153</v>
      </c>
      <c r="D225" s="524">
        <v>105416.59000000001</v>
      </c>
      <c r="E225" s="524">
        <v>93741.39</v>
      </c>
      <c r="F225" s="524">
        <v>-52156.650000000023</v>
      </c>
      <c r="G225" s="524">
        <v>-16830</v>
      </c>
    </row>
    <row r="226" spans="1:7" x14ac:dyDescent="0.35">
      <c r="A226" t="s">
        <v>261</v>
      </c>
      <c r="B226" s="569">
        <v>45352</v>
      </c>
      <c r="C226">
        <v>153</v>
      </c>
      <c r="D226" s="524">
        <v>173847.04000000001</v>
      </c>
      <c r="E226" s="524">
        <v>156418.71</v>
      </c>
      <c r="F226" s="524">
        <v>-36122.809999999976</v>
      </c>
      <c r="G226" s="524">
        <v>-16830</v>
      </c>
    </row>
    <row r="227" spans="1:7" x14ac:dyDescent="0.35">
      <c r="A227" t="s">
        <v>261</v>
      </c>
      <c r="B227" s="569">
        <v>45383</v>
      </c>
      <c r="C227">
        <v>152</v>
      </c>
      <c r="D227" s="524">
        <v>214708.87</v>
      </c>
      <c r="E227" s="524">
        <v>99184.09</v>
      </c>
      <c r="F227" s="524">
        <v>-151050.03</v>
      </c>
      <c r="G227" s="524">
        <v>-16720</v>
      </c>
    </row>
    <row r="228" spans="1:7" x14ac:dyDescent="0.35">
      <c r="A228" t="s">
        <v>261</v>
      </c>
      <c r="B228" s="569">
        <v>45413</v>
      </c>
      <c r="C228">
        <v>153</v>
      </c>
      <c r="D228" s="524">
        <v>284119.33999999997</v>
      </c>
      <c r="E228" s="524">
        <v>102339.47</v>
      </c>
      <c r="F228" s="524">
        <v>-153911.92999999996</v>
      </c>
      <c r="G228" s="524">
        <v>-16830</v>
      </c>
    </row>
    <row r="229" spans="1:7" x14ac:dyDescent="0.35">
      <c r="A229" t="s">
        <v>261</v>
      </c>
      <c r="B229" s="569">
        <v>45444</v>
      </c>
      <c r="C229">
        <v>153</v>
      </c>
      <c r="D229" s="524">
        <v>124998.04</v>
      </c>
      <c r="E229" s="524">
        <v>123288.07</v>
      </c>
      <c r="F229" s="524">
        <v>-38442.020000000055</v>
      </c>
      <c r="G229" s="524">
        <v>-16830</v>
      </c>
    </row>
    <row r="230" spans="1:7" x14ac:dyDescent="0.35">
      <c r="A230" t="s">
        <v>298</v>
      </c>
      <c r="B230" s="569">
        <v>45108</v>
      </c>
      <c r="C230">
        <v>3454</v>
      </c>
      <c r="D230" s="524">
        <v>3773298.7500000005</v>
      </c>
      <c r="E230" s="524">
        <v>1632586.0699999998</v>
      </c>
      <c r="F230" s="524">
        <v>-854714.21</v>
      </c>
      <c r="G230" s="524">
        <v>-373670</v>
      </c>
    </row>
    <row r="231" spans="1:7" x14ac:dyDescent="0.35">
      <c r="A231" t="s">
        <v>298</v>
      </c>
      <c r="B231" s="569">
        <v>45139</v>
      </c>
      <c r="C231">
        <v>3470</v>
      </c>
      <c r="D231" s="524">
        <v>4516933.8899999997</v>
      </c>
      <c r="E231" s="524">
        <v>1437335.1800000002</v>
      </c>
      <c r="F231" s="524">
        <v>-448404.53</v>
      </c>
      <c r="G231" s="524">
        <v>-350900</v>
      </c>
    </row>
    <row r="232" spans="1:7" x14ac:dyDescent="0.35">
      <c r="A232" t="s">
        <v>298</v>
      </c>
      <c r="B232" s="569">
        <v>45170</v>
      </c>
      <c r="C232">
        <v>3483</v>
      </c>
      <c r="D232" s="524">
        <v>4281659.71</v>
      </c>
      <c r="E232" s="524">
        <v>2100143.9899999998</v>
      </c>
      <c r="F232" s="524">
        <v>-492627.35</v>
      </c>
      <c r="G232" s="524">
        <v>-352880</v>
      </c>
    </row>
    <row r="233" spans="1:7" x14ac:dyDescent="0.35">
      <c r="A233" t="s">
        <v>298</v>
      </c>
      <c r="B233" s="569">
        <v>45200</v>
      </c>
      <c r="C233">
        <v>3461</v>
      </c>
      <c r="D233" s="524">
        <v>7499630.7399999993</v>
      </c>
      <c r="E233" s="524">
        <v>1650414.62</v>
      </c>
      <c r="F233" s="524">
        <v>-1400664.3300000005</v>
      </c>
      <c r="G233" s="524">
        <v>-350130</v>
      </c>
    </row>
    <row r="234" spans="1:7" x14ac:dyDescent="0.35">
      <c r="A234" t="s">
        <v>298</v>
      </c>
      <c r="B234" s="569">
        <v>45231</v>
      </c>
      <c r="C234">
        <v>3461</v>
      </c>
      <c r="D234" s="524">
        <v>2846581.3299999996</v>
      </c>
      <c r="E234" s="524">
        <v>1657593.0399999998</v>
      </c>
      <c r="F234" s="524">
        <v>-796102.73999999976</v>
      </c>
      <c r="G234" s="524">
        <v>-350570</v>
      </c>
    </row>
    <row r="235" spans="1:7" x14ac:dyDescent="0.35">
      <c r="A235" t="s">
        <v>298</v>
      </c>
      <c r="B235" s="569">
        <v>45261</v>
      </c>
      <c r="C235">
        <v>3457</v>
      </c>
      <c r="D235" s="524">
        <v>6590997.1900000004</v>
      </c>
      <c r="E235" s="524">
        <v>2057185.8200000003</v>
      </c>
      <c r="F235" s="524">
        <v>-3552687.9099999992</v>
      </c>
      <c r="G235" s="524">
        <v>-350130</v>
      </c>
    </row>
    <row r="236" spans="1:7" x14ac:dyDescent="0.35">
      <c r="A236" t="s">
        <v>298</v>
      </c>
      <c r="B236" s="569">
        <v>45292</v>
      </c>
      <c r="C236">
        <v>3443</v>
      </c>
      <c r="D236" s="524">
        <v>3193046.1100000003</v>
      </c>
      <c r="E236" s="524">
        <v>1693427.3199999998</v>
      </c>
      <c r="F236" s="524">
        <v>-2001373.2700000009</v>
      </c>
      <c r="G236" s="524">
        <v>-348920</v>
      </c>
    </row>
    <row r="237" spans="1:7" x14ac:dyDescent="0.35">
      <c r="A237" t="s">
        <v>298</v>
      </c>
      <c r="B237" s="569">
        <v>45323</v>
      </c>
      <c r="C237">
        <v>3442</v>
      </c>
      <c r="D237" s="524">
        <v>4473063.17</v>
      </c>
      <c r="E237" s="524">
        <v>1648406.29</v>
      </c>
      <c r="F237" s="524">
        <v>-1331214.2100000009</v>
      </c>
      <c r="G237" s="524">
        <v>-326260</v>
      </c>
    </row>
    <row r="238" spans="1:7" x14ac:dyDescent="0.35">
      <c r="A238" t="s">
        <v>298</v>
      </c>
      <c r="B238" s="569">
        <v>45352</v>
      </c>
      <c r="C238">
        <v>3433</v>
      </c>
      <c r="D238" s="524">
        <v>4973259.9800000004</v>
      </c>
      <c r="E238" s="524">
        <v>2036297.17</v>
      </c>
      <c r="F238" s="524">
        <v>-1756706.4799999997</v>
      </c>
      <c r="G238" s="524">
        <v>-325930</v>
      </c>
    </row>
    <row r="239" spans="1:7" x14ac:dyDescent="0.35">
      <c r="A239" t="s">
        <v>298</v>
      </c>
      <c r="B239" s="569">
        <v>45383</v>
      </c>
      <c r="C239">
        <v>3425</v>
      </c>
      <c r="D239" s="524">
        <v>4550256.29</v>
      </c>
      <c r="E239" s="524">
        <v>1795705.48</v>
      </c>
      <c r="F239" s="524">
        <v>-2125032.7200000011</v>
      </c>
      <c r="G239" s="524">
        <v>-325160</v>
      </c>
    </row>
    <row r="240" spans="1:7" x14ac:dyDescent="0.35">
      <c r="A240" t="s">
        <v>298</v>
      </c>
      <c r="B240" s="569">
        <v>45413</v>
      </c>
      <c r="C240">
        <v>3411</v>
      </c>
      <c r="D240" s="524">
        <v>4750722.58</v>
      </c>
      <c r="E240" s="524">
        <v>2153034.9299999997</v>
      </c>
      <c r="F240" s="524">
        <v>-1109984.1999999976</v>
      </c>
      <c r="G240" s="524">
        <v>-490985</v>
      </c>
    </row>
    <row r="241" spans="1:7" x14ac:dyDescent="0.35">
      <c r="A241" t="s">
        <v>298</v>
      </c>
      <c r="B241" s="569">
        <v>45444</v>
      </c>
      <c r="C241">
        <v>3403</v>
      </c>
      <c r="D241" s="524">
        <v>4427408.95</v>
      </c>
      <c r="E241" s="524">
        <v>1971401.8000000003</v>
      </c>
      <c r="F241" s="524">
        <v>-1627497.0700000017</v>
      </c>
      <c r="G241" s="524">
        <v>-322740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26A40-23AF-4B2F-833D-416192F26D0D}">
  <dimension ref="A1:G241"/>
  <sheetViews>
    <sheetView workbookViewId="0">
      <selection activeCell="G235" sqref="G235"/>
    </sheetView>
  </sheetViews>
  <sheetFormatPr defaultRowHeight="14.5" x14ac:dyDescent="0.35"/>
  <cols>
    <col min="2" max="2" width="9.453125" style="569" bestFit="1" customWidth="1"/>
    <col min="4" max="4" width="14.81640625" customWidth="1"/>
    <col min="5" max="5" width="16.453125" customWidth="1"/>
    <col min="6" max="6" width="15.26953125" customWidth="1"/>
    <col min="7" max="7" width="14.1796875" customWidth="1"/>
  </cols>
  <sheetData>
    <row r="1" spans="1:7" x14ac:dyDescent="0.35">
      <c r="A1" t="s">
        <v>399</v>
      </c>
      <c r="B1" s="569" t="s">
        <v>0</v>
      </c>
      <c r="C1" t="s">
        <v>400</v>
      </c>
      <c r="D1" t="s">
        <v>2</v>
      </c>
      <c r="E1" t="s">
        <v>19</v>
      </c>
      <c r="F1" t="s">
        <v>401</v>
      </c>
      <c r="G1" t="s">
        <v>402</v>
      </c>
    </row>
    <row r="2" spans="1:7" x14ac:dyDescent="0.35">
      <c r="A2" t="s">
        <v>252</v>
      </c>
      <c r="B2" s="569">
        <f>DATE(Summary!$P$9,7,1)</f>
        <v>45474</v>
      </c>
      <c r="C2" s="578" cm="1">
        <f t="array" aca="1" ref="C2" ca="1">INDIRECT(A2&amp;"!D8")</f>
        <v>209</v>
      </c>
      <c r="D2" s="579" cm="1">
        <f t="array" aca="1" ref="D2" ca="1">INDIRECT(A2&amp;"!D$18")</f>
        <v>288825.51999999996</v>
      </c>
      <c r="E2" s="579" cm="1">
        <f t="array" aca="1" ref="E2" ca="1">INDIRECT(A2&amp;"!D$19")</f>
        <v>157642.53</v>
      </c>
      <c r="F2" s="579" cm="1">
        <f t="array" aca="1" ref="F2" ca="1">IF(INDIRECT(A2&amp;"!D22")="","",INDIRECT(A2&amp;"!D$22")+INDIRECT(A2&amp;"!D23")+INDIRECT(A2&amp;"!D25"))</f>
        <v>-83326.070000000007</v>
      </c>
      <c r="G2" s="579" cm="1">
        <f t="array" aca="1" ref="G2" ca="1">INDIRECT(A2&amp;"!D24")</f>
        <v>-22990</v>
      </c>
    </row>
    <row r="3" spans="1:7" x14ac:dyDescent="0.35">
      <c r="A3" t="s">
        <v>252</v>
      </c>
      <c r="B3" s="569">
        <f>DATE(Summary!$P$9,8,1)</f>
        <v>45505</v>
      </c>
      <c r="C3" s="578" cm="1">
        <f t="array" aca="1" ref="C3" ca="1">INDIRECT(A3&amp;"!E8")</f>
        <v>210</v>
      </c>
      <c r="D3" s="579" cm="1">
        <f t="array" aca="1" ref="D3" ca="1">INDIRECT(A3&amp;"!E$18")</f>
        <v>325550.34000000003</v>
      </c>
      <c r="E3" s="579" cm="1">
        <f t="array" aca="1" ref="E3" ca="1">INDIRECT(A3&amp;"!E$19")</f>
        <v>180284.95</v>
      </c>
      <c r="F3" s="579" cm="1">
        <f t="array" aca="1" ref="F3" ca="1">IF(INDIRECT(A3&amp;"!E22")="","",INDIRECT(A3&amp;"!E$22")+INDIRECT(A3&amp;"!E23")+INDIRECT(A3&amp;"!E25"))</f>
        <v>-38495.300000000003</v>
      </c>
      <c r="G3" s="579" cm="1">
        <f t="array" aca="1" ref="G3" ca="1">INDIRECT(A3&amp;"!E24")</f>
        <v>-23100</v>
      </c>
    </row>
    <row r="4" spans="1:7" x14ac:dyDescent="0.35">
      <c r="A4" t="s">
        <v>252</v>
      </c>
      <c r="B4" s="569">
        <f>DATE(Summary!$P$9,9,1)</f>
        <v>45536</v>
      </c>
      <c r="C4" s="578" cm="1">
        <f t="array" aca="1" ref="C4" ca="1">INDIRECT(A4&amp;"!F8")</f>
        <v>219</v>
      </c>
      <c r="D4" s="579" cm="1">
        <f t="array" aca="1" ref="D4" ca="1">INDIRECT(A4&amp;"!F$18")</f>
        <v>286231.55</v>
      </c>
      <c r="E4" s="579" cm="1">
        <f t="array" aca="1" ref="E4" ca="1">INDIRECT(A4&amp;"!F$19")</f>
        <v>117260.98</v>
      </c>
      <c r="F4" s="579" cm="1">
        <f t="array" aca="1" ref="F4" ca="1">IF(INDIRECT(A4&amp;"!F22")="","",INDIRECT(A4&amp;"!F$22")+INDIRECT(A4&amp;"!F23")+INDIRECT(A4&amp;"!F25"))</f>
        <v>-31627.09</v>
      </c>
      <c r="G4" s="579" cm="1">
        <f t="array" aca="1" ref="G4" ca="1">INDIRECT(A4&amp;"!F24")</f>
        <v>-24090</v>
      </c>
    </row>
    <row r="5" spans="1:7" x14ac:dyDescent="0.35">
      <c r="A5" t="s">
        <v>252</v>
      </c>
      <c r="B5" s="569">
        <f>DATE(Summary!$P$9,10,1)</f>
        <v>45566</v>
      </c>
      <c r="C5" s="578" cm="1">
        <f t="array" aca="1" ref="C5" ca="1">INDIRECT(A5&amp;"!G8")</f>
        <v>218</v>
      </c>
      <c r="D5" s="579" cm="1">
        <f t="array" aca="1" ref="D5" ca="1">INDIRECT(A5&amp;"!G$18")</f>
        <v>188251</v>
      </c>
      <c r="E5" s="579" cm="1">
        <f t="array" aca="1" ref="E5" ca="1">INDIRECT(A5&amp;"!G$19")</f>
        <v>136242</v>
      </c>
      <c r="F5" s="579" cm="1">
        <f t="array" aca="1" ref="F5" ca="1">IF(INDIRECT(A5&amp;"!G22")="","",INDIRECT(A5&amp;"!G$22")+INDIRECT(A5&amp;"!G23")+INDIRECT(A5&amp;"!G25"))</f>
        <v>-16304.240000000005</v>
      </c>
      <c r="G5" s="579" cm="1">
        <f t="array" aca="1" ref="G5" ca="1">INDIRECT(A5&amp;"!G24")</f>
        <v>-23980</v>
      </c>
    </row>
    <row r="6" spans="1:7" x14ac:dyDescent="0.35">
      <c r="A6" t="s">
        <v>252</v>
      </c>
      <c r="B6" s="569">
        <f>DATE(Summary!$P$9,11,1)</f>
        <v>45597</v>
      </c>
      <c r="C6" s="578" cm="1">
        <f t="array" aca="1" ref="C6" ca="1">INDIRECT(A6&amp;"!H8")</f>
        <v>217</v>
      </c>
      <c r="D6" s="579" cm="1">
        <f t="array" aca="1" ref="D6" ca="1">INDIRECT(A6&amp;"!H$18")</f>
        <v>230054.68999999997</v>
      </c>
      <c r="E6" s="579" cm="1">
        <f t="array" aca="1" ref="E6" ca="1">INDIRECT(A6&amp;"!H$19")</f>
        <v>161379.51999999999</v>
      </c>
      <c r="F6" s="579" cm="1">
        <f t="array" aca="1" ref="F6" ca="1">IF(INDIRECT(A6&amp;"!H22")="","",INDIRECT(A6&amp;"!H$22")+INDIRECT(A6&amp;"!H23")+INDIRECT(A6&amp;"!H25"))</f>
        <v>-71711.509999999995</v>
      </c>
      <c r="G6" s="579" cm="1">
        <f t="array" aca="1" ref="G6" ca="1">INDIRECT(A6&amp;"!H24")</f>
        <v>-23870</v>
      </c>
    </row>
    <row r="7" spans="1:7" x14ac:dyDescent="0.35">
      <c r="A7" t="s">
        <v>252</v>
      </c>
      <c r="B7" s="569">
        <f>DATE(Summary!$P$9,12,1)</f>
        <v>45627</v>
      </c>
      <c r="C7" s="578" cm="1">
        <f t="array" aca="1" ref="C7" ca="1">INDIRECT(A7&amp;"!I8")</f>
        <v>215</v>
      </c>
      <c r="D7" s="579" cm="1">
        <f t="array" aca="1" ref="D7" ca="1">INDIRECT(A7&amp;"!I$18")</f>
        <v>326496.5</v>
      </c>
      <c r="E7" s="579" cm="1">
        <f t="array" aca="1" ref="E7" ca="1">INDIRECT(A7&amp;"!I$19")</f>
        <v>106183.27</v>
      </c>
      <c r="F7" s="579" cm="1">
        <f t="array" aca="1" ref="F7" ca="1">IF(INDIRECT(A7&amp;"!I22")="","",INDIRECT(A7&amp;"!I$22")+INDIRECT(A7&amp;"!I23")+INDIRECT(A7&amp;"!I25"))</f>
        <v>-101445.76999999999</v>
      </c>
      <c r="G7" s="579" cm="1">
        <f t="array" aca="1" ref="G7" ca="1">INDIRECT(A7&amp;"!I24")</f>
        <v>-23650</v>
      </c>
    </row>
    <row r="8" spans="1:7" x14ac:dyDescent="0.35">
      <c r="A8" t="s">
        <v>252</v>
      </c>
      <c r="B8" s="569">
        <f>DATE(Summary!$P$11,1,1)</f>
        <v>45658</v>
      </c>
      <c r="C8" s="578" cm="1">
        <f t="array" aca="1" ref="C8" ca="1">INDIRECT(A8&amp;"!J8")</f>
        <v>214</v>
      </c>
      <c r="D8" s="579" cm="1">
        <f t="array" aca="1" ref="D8" ca="1">INDIRECT(A8&amp;"!J$18")</f>
        <v>412065.62</v>
      </c>
      <c r="E8" s="579" cm="1">
        <f t="array" aca="1" ref="E8" ca="1">INDIRECT(A8&amp;"!J$19")</f>
        <v>167370.35999999999</v>
      </c>
      <c r="F8" s="579" cm="1">
        <f t="array" aca="1" ref="F8" ca="1">IF(INDIRECT(A8&amp;"!J22")="","",INDIRECT(A8&amp;"!J$22")+INDIRECT(A8&amp;"!J23")+INDIRECT(A8&amp;"!J25"))</f>
        <v>-79228.890000000029</v>
      </c>
      <c r="G8" s="579" cm="1">
        <f t="array" aca="1" ref="G8" ca="1">INDIRECT(A8&amp;"!J24")</f>
        <v>-23540</v>
      </c>
    </row>
    <row r="9" spans="1:7" x14ac:dyDescent="0.35">
      <c r="A9" t="s">
        <v>252</v>
      </c>
      <c r="B9" s="569">
        <f>DATE(Summary!$P$11,2,1)</f>
        <v>45689</v>
      </c>
      <c r="C9" s="578" cm="1">
        <f t="array" aca="1" ref="C9" ca="1">INDIRECT(A9&amp;"!K8")</f>
        <v>213</v>
      </c>
      <c r="D9" s="579" cm="1">
        <f t="array" aca="1" ref="D9" ca="1">INDIRECT(A9&amp;"!K$18")</f>
        <v>281102.02</v>
      </c>
      <c r="E9" s="579" cm="1">
        <f t="array" aca="1" ref="E9" ca="1">INDIRECT(A9&amp;"!K$19")</f>
        <v>127517.25</v>
      </c>
      <c r="F9" s="579" cm="1">
        <f t="array" aca="1" ref="F9" ca="1">IF(INDIRECT(A9&amp;"!K22")="","",INDIRECT(A9&amp;"!K$22")+INDIRECT(A9&amp;"!K23")+INDIRECT(A9&amp;"!K25"))</f>
        <v>-217301.77000000002</v>
      </c>
      <c r="G9" s="579" cm="1">
        <f t="array" aca="1" ref="G9" ca="1">INDIRECT(A9&amp;"!K24")</f>
        <v>-23430</v>
      </c>
    </row>
    <row r="10" spans="1:7" x14ac:dyDescent="0.35">
      <c r="A10" t="s">
        <v>252</v>
      </c>
      <c r="B10" s="569">
        <f>DATE(Summary!$P$11,3,1)</f>
        <v>45717</v>
      </c>
      <c r="C10" s="578" t="str" cm="1">
        <f t="array" aca="1" ref="C10" ca="1">INDIRECT(A10&amp;"!L8")</f>
        <v/>
      </c>
      <c r="D10" s="579" t="str" cm="1">
        <f t="array" aca="1" ref="D10" ca="1">INDIRECT(A10&amp;"!L$18")</f>
        <v/>
      </c>
      <c r="E10" s="579" t="str" cm="1">
        <f t="array" aca="1" ref="E10" ca="1">INDIRECT(A10&amp;"!L$19")</f>
        <v/>
      </c>
      <c r="F10" s="579" t="str" cm="1">
        <f t="array" aca="1" ref="F10" ca="1">IF(INDIRECT(A10&amp;"!L22")="","",INDIRECT(A10&amp;"!L$22")+INDIRECT(A10&amp;"!L23")+INDIRECT(A10&amp;"!L25"))</f>
        <v/>
      </c>
      <c r="G10" s="579" t="str" cm="1">
        <f t="array" aca="1" ref="G10" ca="1">INDIRECT(A10&amp;"!L24")</f>
        <v/>
      </c>
    </row>
    <row r="11" spans="1:7" x14ac:dyDescent="0.35">
      <c r="A11" t="s">
        <v>252</v>
      </c>
      <c r="B11" s="569">
        <f>DATE(Summary!$P$11,4,1)</f>
        <v>45748</v>
      </c>
      <c r="C11" s="578" t="str" cm="1">
        <f t="array" aca="1" ref="C11" ca="1">INDIRECT(A11&amp;"!M8")</f>
        <v/>
      </c>
      <c r="D11" s="579" t="str" cm="1">
        <f t="array" aca="1" ref="D11" ca="1">INDIRECT(A11&amp;"!M$18")</f>
        <v/>
      </c>
      <c r="E11" s="579" t="str" cm="1">
        <f t="array" aca="1" ref="E11" ca="1">INDIRECT(A11&amp;"!M$19")</f>
        <v/>
      </c>
      <c r="F11" s="579" t="str" cm="1">
        <f t="array" aca="1" ref="F11" ca="1">IF(INDIRECT(A11&amp;"!M22")="","",INDIRECT(A11&amp;"!M$22")+INDIRECT(A11&amp;"!M23")+INDIRECT(A11&amp;"!M25"))</f>
        <v/>
      </c>
      <c r="G11" s="579" t="str" cm="1">
        <f t="array" aca="1" ref="G11" ca="1">INDIRECT(A11&amp;"!M24")</f>
        <v/>
      </c>
    </row>
    <row r="12" spans="1:7" x14ac:dyDescent="0.35">
      <c r="A12" t="s">
        <v>252</v>
      </c>
      <c r="B12" s="569">
        <f>DATE(Summary!$P$11,5,1)</f>
        <v>45778</v>
      </c>
      <c r="C12" s="578" t="str" cm="1">
        <f t="array" aca="1" ref="C12" ca="1">INDIRECT(A12&amp;"!N8")</f>
        <v/>
      </c>
      <c r="D12" s="579" t="str" cm="1">
        <f t="array" aca="1" ref="D12" ca="1">INDIRECT(A12&amp;"!N$18")</f>
        <v/>
      </c>
      <c r="E12" s="579" t="str" cm="1">
        <f t="array" aca="1" ref="E12" ca="1">INDIRECT(A12&amp;"!N$19")</f>
        <v/>
      </c>
      <c r="F12" s="579" t="str" cm="1">
        <f t="array" aca="1" ref="F12" ca="1">IF(INDIRECT(A12&amp;"!N22")="","",INDIRECT(A12&amp;"!N$22")+INDIRECT(A12&amp;"!N23")+INDIRECT(A12&amp;"!N25"))</f>
        <v/>
      </c>
      <c r="G12" s="579" t="str" cm="1">
        <f t="array" aca="1" ref="G12" ca="1">INDIRECT(A12&amp;"!N24")</f>
        <v/>
      </c>
    </row>
    <row r="13" spans="1:7" x14ac:dyDescent="0.35">
      <c r="A13" t="s">
        <v>252</v>
      </c>
      <c r="B13" s="569">
        <f>DATE(Summary!$P$11,6,1)</f>
        <v>45809</v>
      </c>
      <c r="C13" s="578" t="str" cm="1">
        <f t="array" aca="1" ref="C13" ca="1">INDIRECT(A13&amp;"!O8")</f>
        <v/>
      </c>
      <c r="D13" s="579" t="str" cm="1">
        <f t="array" aca="1" ref="D13" ca="1">INDIRECT(A13&amp;"!O$18")</f>
        <v/>
      </c>
      <c r="E13" s="579" t="str" cm="1">
        <f t="array" aca="1" ref="E13" ca="1">INDIRECT(A13&amp;"!O$19")</f>
        <v/>
      </c>
      <c r="F13" s="579" t="str" cm="1">
        <f t="array" aca="1" ref="F13" ca="1">IF(INDIRECT(A13&amp;"!O22")="","",INDIRECT(A13&amp;"!O$22")+INDIRECT(A13&amp;"!O23")+INDIRECT(A13&amp;"!O25"))</f>
        <v/>
      </c>
      <c r="G13" s="579" t="str" cm="1">
        <f t="array" aca="1" ref="G13" ca="1">INDIRECT(A13&amp;"!O24")</f>
        <v/>
      </c>
    </row>
    <row r="14" spans="1:7" x14ac:dyDescent="0.35">
      <c r="A14" t="s">
        <v>253</v>
      </c>
      <c r="B14" s="569">
        <f>DATE(Summary!$P$9,7,1)</f>
        <v>45474</v>
      </c>
      <c r="C14" s="578" cm="1">
        <f t="array" aca="1" ref="C14" ca="1">INDIRECT(A14&amp;"!D8")</f>
        <v>256</v>
      </c>
      <c r="D14" s="579" cm="1">
        <f t="array" aca="1" ref="D14" ca="1">INDIRECT(A14&amp;"!D$18")</f>
        <v>279589.55</v>
      </c>
      <c r="E14" s="579" cm="1">
        <f t="array" aca="1" ref="E14" ca="1">INDIRECT(A14&amp;"!D$19")</f>
        <v>132080.69</v>
      </c>
      <c r="F14" s="579" cm="1">
        <f t="array" aca="1" ref="F14" ca="1">IF(INDIRECT(A14&amp;"!D22")="","",INDIRECT(A14&amp;"!D$22")+INDIRECT(A14&amp;"!D23")+INDIRECT(A14&amp;"!D25"))</f>
        <v>-32088.87</v>
      </c>
      <c r="G14" s="579" cm="1">
        <f t="array" aca="1" ref="G14" ca="1">INDIRECT(A14&amp;"!D24")</f>
        <v>-28160</v>
      </c>
    </row>
    <row r="15" spans="1:7" x14ac:dyDescent="0.35">
      <c r="A15" t="s">
        <v>253</v>
      </c>
      <c r="B15" s="569">
        <f>DATE(Summary!$P$9,8,1)</f>
        <v>45505</v>
      </c>
      <c r="C15" s="578" cm="1">
        <f t="array" aca="1" ref="C15" ca="1">INDIRECT(A15&amp;"!E8")</f>
        <v>256</v>
      </c>
      <c r="D15" s="579" cm="1">
        <f t="array" aca="1" ref="D15" ca="1">INDIRECT(A15&amp;"!E$18")</f>
        <v>381471.63</v>
      </c>
      <c r="E15" s="579" cm="1">
        <f t="array" aca="1" ref="E15" ca="1">INDIRECT(A15&amp;"!E$19")</f>
        <v>213901.77</v>
      </c>
      <c r="F15" s="579" cm="1">
        <f t="array" aca="1" ref="F15" ca="1">IF(INDIRECT(A15&amp;"!E22")="","",INDIRECT(A15&amp;"!E$22")+INDIRECT(A15&amp;"!E23")+INDIRECT(A15&amp;"!E25"))</f>
        <v>-994.65999999999985</v>
      </c>
      <c r="G15" s="579" cm="1">
        <f t="array" aca="1" ref="G15" ca="1">INDIRECT(A15&amp;"!E24")</f>
        <v>-28160</v>
      </c>
    </row>
    <row r="16" spans="1:7" x14ac:dyDescent="0.35">
      <c r="A16" t="s">
        <v>253</v>
      </c>
      <c r="B16" s="569">
        <f>DATE(Summary!$P$9,9,1)</f>
        <v>45536</v>
      </c>
      <c r="C16" s="578" cm="1">
        <f t="array" aca="1" ref="C16" ca="1">INDIRECT(A16&amp;"!F8")</f>
        <v>257</v>
      </c>
      <c r="D16" s="579" cm="1">
        <f t="array" aca="1" ref="D16" ca="1">INDIRECT(A16&amp;"!F$18")</f>
        <v>268250.46999999997</v>
      </c>
      <c r="E16" s="579" cm="1">
        <f t="array" aca="1" ref="E16" ca="1">INDIRECT(A16&amp;"!F$19")</f>
        <v>167534.04</v>
      </c>
      <c r="F16" s="579" cm="1">
        <f t="array" aca="1" ref="F16" ca="1">IF(INDIRECT(A16&amp;"!F22")="","",INDIRECT(A16&amp;"!F$22")+INDIRECT(A16&amp;"!F23")+INDIRECT(A16&amp;"!F25"))</f>
        <v>-21075.050000000003</v>
      </c>
      <c r="G16" s="579" cm="1">
        <f t="array" aca="1" ref="G16" ca="1">INDIRECT(A16&amp;"!F24")</f>
        <v>-28270</v>
      </c>
    </row>
    <row r="17" spans="1:7" x14ac:dyDescent="0.35">
      <c r="A17" t="s">
        <v>253</v>
      </c>
      <c r="B17" s="569">
        <f>DATE(Summary!$P$9,10,1)</f>
        <v>45566</v>
      </c>
      <c r="C17" s="578" cm="1">
        <f t="array" aca="1" ref="C17" ca="1">INDIRECT(A17&amp;"!G8")</f>
        <v>256</v>
      </c>
      <c r="D17" s="579" cm="1">
        <f t="array" aca="1" ref="D17" ca="1">INDIRECT(A17&amp;"!G$18")</f>
        <v>224903.83</v>
      </c>
      <c r="E17" s="579" cm="1">
        <f t="array" aca="1" ref="E17" ca="1">INDIRECT(A17&amp;"!G$19")</f>
        <v>150496.5</v>
      </c>
      <c r="F17" s="579" cm="1">
        <f t="array" aca="1" ref="F17" ca="1">IF(INDIRECT(A17&amp;"!G22")="","",INDIRECT(A17&amp;"!G$22")+INDIRECT(A17&amp;"!G23")+INDIRECT(A17&amp;"!G25"))</f>
        <v>-9051.0400000000009</v>
      </c>
      <c r="G17" s="579" cm="1">
        <f t="array" aca="1" ref="G17" ca="1">INDIRECT(A17&amp;"!G24")</f>
        <v>-28160</v>
      </c>
    </row>
    <row r="18" spans="1:7" x14ac:dyDescent="0.35">
      <c r="A18" t="s">
        <v>253</v>
      </c>
      <c r="B18" s="569">
        <f>DATE(Summary!$P$9,11,1)</f>
        <v>45597</v>
      </c>
      <c r="C18" s="578" cm="1">
        <f t="array" aca="1" ref="C18" ca="1">INDIRECT(A18&amp;"!H8")</f>
        <v>256</v>
      </c>
      <c r="D18" s="579" cm="1">
        <f t="array" aca="1" ref="D18" ca="1">INDIRECT(A18&amp;"!H$18")</f>
        <v>271237.45999999996</v>
      </c>
      <c r="E18" s="579" cm="1">
        <f t="array" aca="1" ref="E18" ca="1">INDIRECT(A18&amp;"!H$19")</f>
        <v>193338.61</v>
      </c>
      <c r="F18" s="579" cm="1">
        <f t="array" aca="1" ref="F18" ca="1">IF(INDIRECT(A18&amp;"!H22")="","",INDIRECT(A18&amp;"!H$22")+INDIRECT(A18&amp;"!H23")+INDIRECT(A18&amp;"!H25"))</f>
        <v>-34773.61</v>
      </c>
      <c r="G18" s="579" cm="1">
        <f t="array" aca="1" ref="G18" ca="1">INDIRECT(A18&amp;"!H24")</f>
        <v>-28160</v>
      </c>
    </row>
    <row r="19" spans="1:7" x14ac:dyDescent="0.35">
      <c r="A19" t="s">
        <v>253</v>
      </c>
      <c r="B19" s="569">
        <f>DATE(Summary!$P$9,12,1)</f>
        <v>45627</v>
      </c>
      <c r="C19" s="578" cm="1">
        <f t="array" aca="1" ref="C19" ca="1">INDIRECT(A19&amp;"!I8")</f>
        <v>255</v>
      </c>
      <c r="D19" s="579" cm="1">
        <f t="array" aca="1" ref="D19" ca="1">INDIRECT(A19&amp;"!I$18")</f>
        <v>194442.65</v>
      </c>
      <c r="E19" s="579" cm="1">
        <f t="array" aca="1" ref="E19" ca="1">INDIRECT(A19&amp;"!I$19")</f>
        <v>161747.51</v>
      </c>
      <c r="F19" s="579" cm="1">
        <f t="array" aca="1" ref="F19" ca="1">IF(INDIRECT(A19&amp;"!I22")="","",INDIRECT(A19&amp;"!I$22")+INDIRECT(A19&amp;"!I23")+INDIRECT(A19&amp;"!I25"))</f>
        <v>-80666.599999999991</v>
      </c>
      <c r="G19" s="579" cm="1">
        <f t="array" aca="1" ref="G19" ca="1">INDIRECT(A19&amp;"!I24")</f>
        <v>-28050</v>
      </c>
    </row>
    <row r="20" spans="1:7" x14ac:dyDescent="0.35">
      <c r="A20" t="s">
        <v>253</v>
      </c>
      <c r="B20" s="569">
        <f>DATE(Summary!$P$11,1,1)</f>
        <v>45658</v>
      </c>
      <c r="C20" s="578" cm="1">
        <f t="array" aca="1" ref="C20" ca="1">INDIRECT(A20&amp;"!J8")</f>
        <v>253</v>
      </c>
      <c r="D20" s="579" cm="1">
        <f t="array" aca="1" ref="D20" ca="1">INDIRECT(A20&amp;"!J$18")</f>
        <v>352720.12</v>
      </c>
      <c r="E20" s="579" cm="1">
        <f t="array" aca="1" ref="E20" ca="1">INDIRECT(A20&amp;"!J$19")</f>
        <v>191816.51</v>
      </c>
      <c r="F20" s="579" cm="1">
        <f t="array" aca="1" ref="F20" ca="1">IF(INDIRECT(A20&amp;"!J22")="","",INDIRECT(A20&amp;"!J$22")+INDIRECT(A20&amp;"!J23")+INDIRECT(A20&amp;"!J25"))</f>
        <v>-19329.020000000022</v>
      </c>
      <c r="G20" s="579" cm="1">
        <f t="array" aca="1" ref="G20" ca="1">INDIRECT(A20&amp;"!J24")</f>
        <v>-27830</v>
      </c>
    </row>
    <row r="21" spans="1:7" x14ac:dyDescent="0.35">
      <c r="A21" t="s">
        <v>253</v>
      </c>
      <c r="B21" s="569">
        <f>DATE(Summary!$P$11,2,1)</f>
        <v>45689</v>
      </c>
      <c r="C21" s="578" cm="1">
        <f t="array" aca="1" ref="C21" ca="1">INDIRECT(A21&amp;"!K8")</f>
        <v>253</v>
      </c>
      <c r="D21" s="579" cm="1">
        <f t="array" aca="1" ref="D21" ca="1">INDIRECT(A21&amp;"!K$18")</f>
        <v>350444.69</v>
      </c>
      <c r="E21" s="579" cm="1">
        <f t="array" aca="1" ref="E21" ca="1">INDIRECT(A21&amp;"!K$19")</f>
        <v>160838.72</v>
      </c>
      <c r="F21" s="579" cm="1">
        <f t="array" aca="1" ref="F21" ca="1">IF(INDIRECT(A21&amp;"!K22")="","",INDIRECT(A21&amp;"!K$22")+INDIRECT(A21&amp;"!K23")+INDIRECT(A21&amp;"!K25"))</f>
        <v>-215168.35</v>
      </c>
      <c r="G21" s="579" cm="1">
        <f t="array" aca="1" ref="G21" ca="1">INDIRECT(A21&amp;"!K24")</f>
        <v>-27830</v>
      </c>
    </row>
    <row r="22" spans="1:7" x14ac:dyDescent="0.35">
      <c r="A22" t="s">
        <v>253</v>
      </c>
      <c r="B22" s="569">
        <f>DATE(Summary!$P$11,3,1)</f>
        <v>45717</v>
      </c>
      <c r="C22" s="578" t="str" cm="1">
        <f t="array" aca="1" ref="C22" ca="1">INDIRECT(A22&amp;"!L8")</f>
        <v/>
      </c>
      <c r="D22" s="579" t="str" cm="1">
        <f t="array" aca="1" ref="D22" ca="1">INDIRECT(A22&amp;"!L$18")</f>
        <v/>
      </c>
      <c r="E22" s="579" t="str" cm="1">
        <f t="array" aca="1" ref="E22" ca="1">INDIRECT(A22&amp;"!L$19")</f>
        <v/>
      </c>
      <c r="F22" s="579" t="str" cm="1">
        <f t="array" aca="1" ref="F22" ca="1">IF(INDIRECT(A22&amp;"!L22")="","",INDIRECT(A22&amp;"!L$22")+INDIRECT(A22&amp;"!L23")+INDIRECT(A22&amp;"!L25"))</f>
        <v/>
      </c>
      <c r="G22" s="579" t="str" cm="1">
        <f t="array" aca="1" ref="G22" ca="1">INDIRECT(A22&amp;"!L24")</f>
        <v/>
      </c>
    </row>
    <row r="23" spans="1:7" x14ac:dyDescent="0.35">
      <c r="A23" t="s">
        <v>253</v>
      </c>
      <c r="B23" s="569">
        <f>DATE(Summary!$P$11,4,1)</f>
        <v>45748</v>
      </c>
      <c r="C23" s="578" t="str" cm="1">
        <f t="array" aca="1" ref="C23" ca="1">INDIRECT(A23&amp;"!M8")</f>
        <v/>
      </c>
      <c r="D23" s="579" t="str" cm="1">
        <f t="array" aca="1" ref="D23" ca="1">INDIRECT(A23&amp;"!M$18")</f>
        <v/>
      </c>
      <c r="E23" s="579" t="str" cm="1">
        <f t="array" aca="1" ref="E23" ca="1">INDIRECT(A23&amp;"!M$19")</f>
        <v/>
      </c>
      <c r="F23" s="579" t="str" cm="1">
        <f t="array" aca="1" ref="F23" ca="1">IF(INDIRECT(A23&amp;"!M22")="","",INDIRECT(A23&amp;"!M$22")+INDIRECT(A23&amp;"!M23")+INDIRECT(A23&amp;"!M25"))</f>
        <v/>
      </c>
      <c r="G23" s="579" t="str" cm="1">
        <f t="array" aca="1" ref="G23" ca="1">INDIRECT(A23&amp;"!M24")</f>
        <v/>
      </c>
    </row>
    <row r="24" spans="1:7" x14ac:dyDescent="0.35">
      <c r="A24" t="s">
        <v>253</v>
      </c>
      <c r="B24" s="569">
        <f>DATE(Summary!$P$11,5,1)</f>
        <v>45778</v>
      </c>
      <c r="C24" s="578" t="str" cm="1">
        <f t="array" aca="1" ref="C24" ca="1">INDIRECT(A24&amp;"!N8")</f>
        <v/>
      </c>
      <c r="D24" s="579" t="str" cm="1">
        <f t="array" aca="1" ref="D24" ca="1">INDIRECT(A24&amp;"!N$18")</f>
        <v/>
      </c>
      <c r="E24" s="579" t="str" cm="1">
        <f t="array" aca="1" ref="E24" ca="1">INDIRECT(A24&amp;"!N$19")</f>
        <v/>
      </c>
      <c r="F24" s="579" t="str" cm="1">
        <f t="array" aca="1" ref="F24" ca="1">IF(INDIRECT(A24&amp;"!N22")="","",INDIRECT(A24&amp;"!N$22")+INDIRECT(A24&amp;"!N23")+INDIRECT(A24&amp;"!N25"))</f>
        <v/>
      </c>
      <c r="G24" s="579" t="str" cm="1">
        <f t="array" aca="1" ref="G24" ca="1">INDIRECT(A24&amp;"!N24")</f>
        <v/>
      </c>
    </row>
    <row r="25" spans="1:7" x14ac:dyDescent="0.35">
      <c r="A25" t="s">
        <v>253</v>
      </c>
      <c r="B25" s="569">
        <f>DATE(Summary!$P$11,6,1)</f>
        <v>45809</v>
      </c>
      <c r="C25" s="578" t="str" cm="1">
        <f t="array" aca="1" ref="C25" ca="1">INDIRECT(A25&amp;"!O8")</f>
        <v/>
      </c>
      <c r="D25" s="579" t="str" cm="1">
        <f t="array" aca="1" ref="D25" ca="1">INDIRECT(A25&amp;"!O$18")</f>
        <v/>
      </c>
      <c r="E25" s="579" t="str" cm="1">
        <f t="array" aca="1" ref="E25" ca="1">INDIRECT(A25&amp;"!O$19")</f>
        <v/>
      </c>
      <c r="F25" s="579" t="str" cm="1">
        <f t="array" aca="1" ref="F25" ca="1">IF(INDIRECT(A25&amp;"!O22")="","",INDIRECT(A25&amp;"!O$22")+INDIRECT(A25&amp;"!O23")+INDIRECT(A25&amp;"!O25"))</f>
        <v/>
      </c>
      <c r="G25" s="579" t="str" cm="1">
        <f t="array" aca="1" ref="G25" ca="1">INDIRECT(A25&amp;"!O24")</f>
        <v/>
      </c>
    </row>
    <row r="26" spans="1:7" x14ac:dyDescent="0.35">
      <c r="A26" t="s">
        <v>254</v>
      </c>
      <c r="B26" s="569">
        <f>DATE(Summary!$P$9,7,1)</f>
        <v>45474</v>
      </c>
      <c r="C26" s="578" cm="1">
        <f t="array" aca="1" ref="C26" ca="1">INDIRECT(A26&amp;"!D8")</f>
        <v>39</v>
      </c>
      <c r="D26" s="579" cm="1">
        <f t="array" aca="1" ref="D26" ca="1">INDIRECT(A26&amp;"!D$18")</f>
        <v>59923.54</v>
      </c>
      <c r="E26" s="579" cm="1">
        <f t="array" aca="1" ref="E26" ca="1">INDIRECT(A26&amp;"!D$19")</f>
        <v>21786.31</v>
      </c>
      <c r="F26" s="579" cm="1">
        <f t="array" aca="1" ref="F26" ca="1">IF(INDIRECT(A26&amp;"!D22")="","",INDIRECT(A26&amp;"!D$22")+INDIRECT(A26&amp;"!D23")+INDIRECT(A26&amp;"!D25"))</f>
        <v>539.48</v>
      </c>
      <c r="G26" s="579" cm="1">
        <f t="array" aca="1" ref="G26" ca="1">INDIRECT(A26&amp;"!D24")</f>
        <v>-4290</v>
      </c>
    </row>
    <row r="27" spans="1:7" x14ac:dyDescent="0.35">
      <c r="A27" t="s">
        <v>254</v>
      </c>
      <c r="B27" s="569">
        <f>DATE(Summary!$P$9,8,1)</f>
        <v>45505</v>
      </c>
      <c r="C27" s="578" cm="1">
        <f t="array" aca="1" ref="C27" ca="1">INDIRECT(A27&amp;"!E8")</f>
        <v>40</v>
      </c>
      <c r="D27" s="579" cm="1">
        <f t="array" aca="1" ref="D27" ca="1">INDIRECT(A27&amp;"!E$18")</f>
        <v>71477.25</v>
      </c>
      <c r="E27" s="579" cm="1">
        <f t="array" aca="1" ref="E27" ca="1">INDIRECT(A27&amp;"!E$19")</f>
        <v>27719.65</v>
      </c>
      <c r="F27" s="579" cm="1">
        <f t="array" aca="1" ref="F27" ca="1">IF(INDIRECT(A27&amp;"!E22")="","",INDIRECT(A27&amp;"!E$22")+INDIRECT(A27&amp;"!E23")+INDIRECT(A27&amp;"!E25"))</f>
        <v>-14929.990000000002</v>
      </c>
      <c r="G27" s="579" cm="1">
        <f t="array" aca="1" ref="G27" ca="1">INDIRECT(A27&amp;"!E24")</f>
        <v>-4400</v>
      </c>
    </row>
    <row r="28" spans="1:7" x14ac:dyDescent="0.35">
      <c r="A28" t="s">
        <v>254</v>
      </c>
      <c r="B28" s="569">
        <f>DATE(Summary!$P$9,9,1)</f>
        <v>45536</v>
      </c>
      <c r="C28" s="578" cm="1">
        <f t="array" aca="1" ref="C28" ca="1">INDIRECT(A28&amp;"!F8")</f>
        <v>40</v>
      </c>
      <c r="D28" s="579" cm="1">
        <f t="array" aca="1" ref="D28" ca="1">INDIRECT(A28&amp;"!F$18")</f>
        <v>50498.729999999996</v>
      </c>
      <c r="E28" s="579" cm="1">
        <f t="array" aca="1" ref="E28" ca="1">INDIRECT(A28&amp;"!F$19")</f>
        <v>30086.63</v>
      </c>
      <c r="F28" s="579" cm="1">
        <f t="array" aca="1" ref="F28" ca="1">IF(INDIRECT(A28&amp;"!F22")="","",INDIRECT(A28&amp;"!F$22")+INDIRECT(A28&amp;"!F23")+INDIRECT(A28&amp;"!F25"))</f>
        <v>3686.4900000000016</v>
      </c>
      <c r="G28" s="579" cm="1">
        <f t="array" aca="1" ref="G28" ca="1">INDIRECT(A28&amp;"!F24")</f>
        <v>-4400</v>
      </c>
    </row>
    <row r="29" spans="1:7" x14ac:dyDescent="0.35">
      <c r="A29" t="s">
        <v>254</v>
      </c>
      <c r="B29" s="569">
        <f>DATE(Summary!$P$9,10,1)</f>
        <v>45566</v>
      </c>
      <c r="C29" s="578" cm="1">
        <f t="array" aca="1" ref="C29" ca="1">INDIRECT(A29&amp;"!G8")</f>
        <v>38</v>
      </c>
      <c r="D29" s="579" cm="1">
        <f t="array" aca="1" ref="D29" ca="1">INDIRECT(A29&amp;"!G$18")</f>
        <v>34267.350000000006</v>
      </c>
      <c r="E29" s="579" cm="1">
        <f t="array" aca="1" ref="E29" ca="1">INDIRECT(A29&amp;"!G$19")</f>
        <v>25473.06</v>
      </c>
      <c r="F29" s="579" cm="1">
        <f t="array" aca="1" ref="F29" ca="1">IF(INDIRECT(A29&amp;"!G22")="","",INDIRECT(A29&amp;"!G$22")+INDIRECT(A29&amp;"!G23")+INDIRECT(A29&amp;"!G25"))</f>
        <v>-9494.2899999999991</v>
      </c>
      <c r="G29" s="579" cm="1">
        <f t="array" aca="1" ref="G29" ca="1">INDIRECT(A29&amp;"!G24")</f>
        <v>-4180</v>
      </c>
    </row>
    <row r="30" spans="1:7" x14ac:dyDescent="0.35">
      <c r="A30" t="s">
        <v>254</v>
      </c>
      <c r="B30" s="569">
        <f>DATE(Summary!$P$9,11,1)</f>
        <v>45597</v>
      </c>
      <c r="C30" s="578" cm="1">
        <f t="array" aca="1" ref="C30" ca="1">INDIRECT(A30&amp;"!H8")</f>
        <v>38</v>
      </c>
      <c r="D30" s="579" cm="1">
        <f t="array" aca="1" ref="D30" ca="1">INDIRECT(A30&amp;"!H$18")</f>
        <v>33791.279999999999</v>
      </c>
      <c r="E30" s="579" cm="1">
        <f t="array" aca="1" ref="E30" ca="1">INDIRECT(A30&amp;"!H$19")</f>
        <v>33130.01</v>
      </c>
      <c r="F30" s="579" cm="1">
        <f t="array" aca="1" ref="F30" ca="1">IF(INDIRECT(A30&amp;"!H22")="","",INDIRECT(A30&amp;"!H$22")+INDIRECT(A30&amp;"!H23")+INDIRECT(A30&amp;"!H25"))</f>
        <v>-1288.0999999999995</v>
      </c>
      <c r="G30" s="579" cm="1">
        <f t="array" aca="1" ref="G30" ca="1">INDIRECT(A30&amp;"!H24")</f>
        <v>-4180</v>
      </c>
    </row>
    <row r="31" spans="1:7" x14ac:dyDescent="0.35">
      <c r="A31" t="s">
        <v>254</v>
      </c>
      <c r="B31" s="569">
        <f>DATE(Summary!$P$9,12,1)</f>
        <v>45627</v>
      </c>
      <c r="C31" s="578" cm="1">
        <f t="array" aca="1" ref="C31" ca="1">INDIRECT(A31&amp;"!I8")</f>
        <v>38</v>
      </c>
      <c r="D31" s="579" cm="1">
        <f t="array" aca="1" ref="D31" ca="1">INDIRECT(A31&amp;"!I$18")</f>
        <v>34545.620000000003</v>
      </c>
      <c r="E31" s="579" cm="1">
        <f t="array" aca="1" ref="E31" ca="1">INDIRECT(A31&amp;"!I$19")</f>
        <v>22752.38</v>
      </c>
      <c r="F31" s="579" cm="1">
        <f t="array" aca="1" ref="F31" ca="1">IF(INDIRECT(A31&amp;"!I22")="","",INDIRECT(A31&amp;"!I$22")+INDIRECT(A31&amp;"!I23")+INDIRECT(A31&amp;"!I25"))</f>
        <v>-3178.5500000000015</v>
      </c>
      <c r="G31" s="579" cm="1">
        <f t="array" aca="1" ref="G31" ca="1">INDIRECT(A31&amp;"!I24")</f>
        <v>-4180</v>
      </c>
    </row>
    <row r="32" spans="1:7" x14ac:dyDescent="0.35">
      <c r="A32" t="s">
        <v>254</v>
      </c>
      <c r="B32" s="569">
        <f>DATE(Summary!$P$11,1,1)</f>
        <v>45658</v>
      </c>
      <c r="C32" s="578" cm="1">
        <f t="array" aca="1" ref="C32" ca="1">INDIRECT(A32&amp;"!J8")</f>
        <v>38</v>
      </c>
      <c r="D32" s="579" cm="1">
        <f t="array" aca="1" ref="D32" ca="1">INDIRECT(A32&amp;"!J$18")</f>
        <v>45786.879999999997</v>
      </c>
      <c r="E32" s="579" cm="1">
        <f t="array" aca="1" ref="E32" ca="1">INDIRECT(A32&amp;"!J$19")</f>
        <v>59423.45</v>
      </c>
      <c r="F32" s="579" cm="1">
        <f t="array" aca="1" ref="F32" ca="1">IF(INDIRECT(A32&amp;"!J22")="","",INDIRECT(A32&amp;"!J$22")+INDIRECT(A32&amp;"!J23")+INDIRECT(A32&amp;"!J25"))</f>
        <v>755.77999999999884</v>
      </c>
      <c r="G32" s="579" cm="1">
        <f t="array" aca="1" ref="G32" ca="1">INDIRECT(A32&amp;"!J24")</f>
        <v>-4180</v>
      </c>
    </row>
    <row r="33" spans="1:7" x14ac:dyDescent="0.35">
      <c r="A33" t="s">
        <v>254</v>
      </c>
      <c r="B33" s="569">
        <f>DATE(Summary!$P$11,2,1)</f>
        <v>45689</v>
      </c>
      <c r="C33" s="578" cm="1">
        <f t="array" aca="1" ref="C33" ca="1">INDIRECT(A33&amp;"!K8")</f>
        <v>38</v>
      </c>
      <c r="D33" s="579" cm="1">
        <f t="array" aca="1" ref="D33" ca="1">INDIRECT(A33&amp;"!K$18")</f>
        <v>20351.310000000001</v>
      </c>
      <c r="E33" s="579" cm="1">
        <f t="array" aca="1" ref="E33" ca="1">INDIRECT(A33&amp;"!K$19")</f>
        <v>26727.91</v>
      </c>
      <c r="F33" s="579" cm="1">
        <f t="array" aca="1" ref="F33" ca="1">IF(INDIRECT(A33&amp;"!K22")="","",INDIRECT(A33&amp;"!K$22")+INDIRECT(A33&amp;"!K23")+INDIRECT(A33&amp;"!K25"))</f>
        <v>-4673.0799999999981</v>
      </c>
      <c r="G33" s="579" cm="1">
        <f t="array" aca="1" ref="G33" ca="1">INDIRECT(A33&amp;"!K24")</f>
        <v>-4180</v>
      </c>
    </row>
    <row r="34" spans="1:7" x14ac:dyDescent="0.35">
      <c r="A34" t="s">
        <v>254</v>
      </c>
      <c r="B34" s="569">
        <f>DATE(Summary!$P$11,3,1)</f>
        <v>45717</v>
      </c>
      <c r="C34" s="578" t="str" cm="1">
        <f t="array" aca="1" ref="C34" ca="1">INDIRECT(A34&amp;"!L8")</f>
        <v/>
      </c>
      <c r="D34" s="579" t="str" cm="1">
        <f t="array" aca="1" ref="D34" ca="1">INDIRECT(A34&amp;"!L$18")</f>
        <v/>
      </c>
      <c r="E34" s="579" t="str" cm="1">
        <f t="array" aca="1" ref="E34" ca="1">INDIRECT(A34&amp;"!L$19")</f>
        <v/>
      </c>
      <c r="F34" s="579" t="str" cm="1">
        <f t="array" aca="1" ref="F34" ca="1">IF(INDIRECT(A34&amp;"!L22")="","",INDIRECT(A34&amp;"!L$22")+INDIRECT(A34&amp;"!L23")+INDIRECT(A34&amp;"!L25"))</f>
        <v/>
      </c>
      <c r="G34" s="579" t="str" cm="1">
        <f t="array" aca="1" ref="G34" ca="1">INDIRECT(A34&amp;"!L24")</f>
        <v/>
      </c>
    </row>
    <row r="35" spans="1:7" x14ac:dyDescent="0.35">
      <c r="A35" t="s">
        <v>254</v>
      </c>
      <c r="B35" s="569">
        <f>DATE(Summary!$P$11,4,1)</f>
        <v>45748</v>
      </c>
      <c r="C35" s="578" t="str" cm="1">
        <f t="array" aca="1" ref="C35" ca="1">INDIRECT(A35&amp;"!M8")</f>
        <v/>
      </c>
      <c r="D35" s="579" t="str" cm="1">
        <f t="array" aca="1" ref="D35" ca="1">INDIRECT(A35&amp;"!M$18")</f>
        <v/>
      </c>
      <c r="E35" s="579" t="str" cm="1">
        <f t="array" aca="1" ref="E35" ca="1">INDIRECT(A35&amp;"!M$19")</f>
        <v/>
      </c>
      <c r="F35" s="579" t="str" cm="1">
        <f t="array" aca="1" ref="F35" ca="1">IF(INDIRECT(A35&amp;"!M22")="","",INDIRECT(A35&amp;"!M$22")+INDIRECT(A35&amp;"!M23")+INDIRECT(A35&amp;"!M25"))</f>
        <v/>
      </c>
      <c r="G35" s="579" t="str" cm="1">
        <f t="array" aca="1" ref="G35" ca="1">INDIRECT(A35&amp;"!M24")</f>
        <v/>
      </c>
    </row>
    <row r="36" spans="1:7" x14ac:dyDescent="0.35">
      <c r="A36" t="s">
        <v>254</v>
      </c>
      <c r="B36" s="569">
        <f>DATE(Summary!$P$11,5,1)</f>
        <v>45778</v>
      </c>
      <c r="C36" s="578" t="str" cm="1">
        <f t="array" aca="1" ref="C36" ca="1">INDIRECT(A36&amp;"!N8")</f>
        <v/>
      </c>
      <c r="D36" s="579" t="str" cm="1">
        <f t="array" aca="1" ref="D36" ca="1">INDIRECT(A36&amp;"!N$18")</f>
        <v/>
      </c>
      <c r="E36" s="579" t="str" cm="1">
        <f t="array" aca="1" ref="E36" ca="1">INDIRECT(A36&amp;"!N$19")</f>
        <v/>
      </c>
      <c r="F36" s="579" t="str" cm="1">
        <f t="array" aca="1" ref="F36" ca="1">IF(INDIRECT(A36&amp;"!N22")="","",INDIRECT(A36&amp;"!N$22")+INDIRECT(A36&amp;"!N23")+INDIRECT(A36&amp;"!N25"))</f>
        <v/>
      </c>
      <c r="G36" s="579" t="str" cm="1">
        <f t="array" aca="1" ref="G36" ca="1">INDIRECT(A36&amp;"!N24")</f>
        <v/>
      </c>
    </row>
    <row r="37" spans="1:7" x14ac:dyDescent="0.35">
      <c r="A37" t="s">
        <v>254</v>
      </c>
      <c r="B37" s="569">
        <f>DATE(Summary!$P$11,6,1)</f>
        <v>45809</v>
      </c>
      <c r="C37" s="578" t="str" cm="1">
        <f t="array" aca="1" ref="C37" ca="1">INDIRECT(A37&amp;"!O8")</f>
        <v/>
      </c>
      <c r="D37" s="579" t="str" cm="1">
        <f t="array" aca="1" ref="D37" ca="1">INDIRECT(A37&amp;"!O$18")</f>
        <v/>
      </c>
      <c r="E37" s="579" t="str" cm="1">
        <f t="array" aca="1" ref="E37" ca="1">INDIRECT(A37&amp;"!O$19")</f>
        <v/>
      </c>
      <c r="F37" s="579" t="str" cm="1">
        <f t="array" aca="1" ref="F37" ca="1">IF(INDIRECT(A37&amp;"!O22")="","",INDIRECT(A37&amp;"!O$22")+INDIRECT(A37&amp;"!O23")+INDIRECT(A37&amp;"!O25"))</f>
        <v/>
      </c>
      <c r="G37" s="579" t="str" cm="1">
        <f t="array" aca="1" ref="G37" ca="1">INDIRECT(A37&amp;"!O24")</f>
        <v/>
      </c>
    </row>
    <row r="38" spans="1:7" x14ac:dyDescent="0.35">
      <c r="A38" t="s">
        <v>255</v>
      </c>
      <c r="B38" s="569">
        <f>DATE(Summary!$P$9,7,1)</f>
        <v>45474</v>
      </c>
      <c r="C38" s="578" cm="1">
        <f t="array" aca="1" ref="C38" ca="1">INDIRECT(A38&amp;"!D8")</f>
        <v>37</v>
      </c>
      <c r="D38" s="579" cm="1">
        <f t="array" aca="1" ref="D38" ca="1">INDIRECT(A38&amp;"!D$18")</f>
        <v>34605.72</v>
      </c>
      <c r="E38" s="579" cm="1">
        <f t="array" aca="1" ref="E38" ca="1">INDIRECT(A38&amp;"!D$19")</f>
        <v>40074.99</v>
      </c>
      <c r="F38" s="579" cm="1">
        <f t="array" aca="1" ref="F38" ca="1">IF(INDIRECT(A38&amp;"!D22")="","",INDIRECT(A38&amp;"!D$22")+INDIRECT(A38&amp;"!D23")+INDIRECT(A38&amp;"!D25"))</f>
        <v>3.78</v>
      </c>
      <c r="G38" s="579" cm="1">
        <f t="array" aca="1" ref="G38" ca="1">INDIRECT(A38&amp;"!D24")</f>
        <v>-8681.85</v>
      </c>
    </row>
    <row r="39" spans="1:7" x14ac:dyDescent="0.35">
      <c r="A39" t="s">
        <v>255</v>
      </c>
      <c r="B39" s="569">
        <f>DATE(Summary!$P$9,8,1)</f>
        <v>45505</v>
      </c>
      <c r="C39" s="578" cm="1">
        <f t="array" aca="1" ref="C39" ca="1">INDIRECT(A39&amp;"!E8")</f>
        <v>39</v>
      </c>
      <c r="D39" s="579" cm="1">
        <f t="array" aca="1" ref="D39" ca="1">INDIRECT(A39&amp;"!E$18")</f>
        <v>26512.46</v>
      </c>
      <c r="E39" s="579" cm="1">
        <f t="array" aca="1" ref="E39" ca="1">INDIRECT(A39&amp;"!E$19")</f>
        <v>23910.98</v>
      </c>
      <c r="F39" s="579" cm="1">
        <f t="array" aca="1" ref="F39" ca="1">IF(INDIRECT(A39&amp;"!E22")="","",INDIRECT(A39&amp;"!E$22")+INDIRECT(A39&amp;"!E23")+INDIRECT(A39&amp;"!E25"))</f>
        <v>65.88</v>
      </c>
      <c r="G39" s="579" cm="1">
        <f t="array" aca="1" ref="G39" ca="1">INDIRECT(A39&amp;"!E24")</f>
        <v>-7804.5</v>
      </c>
    </row>
    <row r="40" spans="1:7" x14ac:dyDescent="0.35">
      <c r="A40" t="s">
        <v>255</v>
      </c>
      <c r="B40" s="569">
        <f>DATE(Summary!$P$9,9,1)</f>
        <v>45536</v>
      </c>
      <c r="C40" s="578" cm="1">
        <f t="array" aca="1" ref="C40" ca="1">INDIRECT(A40&amp;"!F8")</f>
        <v>44</v>
      </c>
      <c r="D40" s="579" cm="1">
        <f t="array" aca="1" ref="D40" ca="1">INDIRECT(A40&amp;"!F$18")</f>
        <v>59865.99</v>
      </c>
      <c r="E40" s="579" cm="1">
        <f t="array" aca="1" ref="E40" ca="1">INDIRECT(A40&amp;"!F$19")</f>
        <v>42848.27</v>
      </c>
      <c r="F40" s="579" cm="1">
        <f t="array" aca="1" ref="F40" ca="1">IF(INDIRECT(A40&amp;"!F22")="","",INDIRECT(A40&amp;"!F$22")+INDIRECT(A40&amp;"!F23")+INDIRECT(A40&amp;"!F25"))</f>
        <v>-4173.87</v>
      </c>
      <c r="G40" s="579" cm="1">
        <f t="array" aca="1" ref="G40" ca="1">INDIRECT(A40&amp;"!F24")</f>
        <v>-10715.83</v>
      </c>
    </row>
    <row r="41" spans="1:7" x14ac:dyDescent="0.35">
      <c r="A41" t="s">
        <v>255</v>
      </c>
      <c r="B41" s="569">
        <f>DATE(Summary!$P$9,10,1)</f>
        <v>45566</v>
      </c>
      <c r="C41" s="578" cm="1">
        <f t="array" aca="1" ref="C41" ca="1">INDIRECT(A41&amp;"!G8")</f>
        <v>46</v>
      </c>
      <c r="D41" s="579" cm="1">
        <f t="array" aca="1" ref="D41" ca="1">INDIRECT(A41&amp;"!G$18")</f>
        <v>39789.199999999997</v>
      </c>
      <c r="E41" s="579" cm="1">
        <f t="array" aca="1" ref="E41" ca="1">INDIRECT(A41&amp;"!G$19")</f>
        <v>45124.37</v>
      </c>
      <c r="F41" s="579" cm="1">
        <f t="array" aca="1" ref="F41" ca="1">IF(INDIRECT(A41&amp;"!G22")="","",INDIRECT(A41&amp;"!G$22")+INDIRECT(A41&amp;"!G23")+INDIRECT(A41&amp;"!G25"))</f>
        <v>234.20999999999981</v>
      </c>
      <c r="G41" s="579" cm="1">
        <f t="array" aca="1" ref="G41" ca="1">INDIRECT(A41&amp;"!G24")</f>
        <v>-27717.14</v>
      </c>
    </row>
    <row r="42" spans="1:7" x14ac:dyDescent="0.35">
      <c r="A42" t="s">
        <v>255</v>
      </c>
      <c r="B42" s="569">
        <f>DATE(Summary!$P$9,11,1)</f>
        <v>45597</v>
      </c>
      <c r="C42" s="578" cm="1">
        <f t="array" aca="1" ref="C42" ca="1">INDIRECT(A42&amp;"!H8")</f>
        <v>45</v>
      </c>
      <c r="D42" s="579" cm="1">
        <f t="array" aca="1" ref="D42" ca="1">INDIRECT(A42&amp;"!H$18")</f>
        <v>48564.509999999995</v>
      </c>
      <c r="E42" s="579" cm="1">
        <f t="array" aca="1" ref="E42" ca="1">INDIRECT(A42&amp;"!H$19")</f>
        <v>71213.61</v>
      </c>
      <c r="F42" s="579" cm="1">
        <f t="array" aca="1" ref="F42" ca="1">IF(INDIRECT(A42&amp;"!H22")="","",INDIRECT(A42&amp;"!H$22")+INDIRECT(A42&amp;"!H23")+INDIRECT(A42&amp;"!H25"))</f>
        <v>-31590.400000000001</v>
      </c>
      <c r="G42" s="579" cm="1">
        <f t="array" aca="1" ref="G42" ca="1">INDIRECT(A42&amp;"!H24")</f>
        <v>-7101.91</v>
      </c>
    </row>
    <row r="43" spans="1:7" x14ac:dyDescent="0.35">
      <c r="A43" t="s">
        <v>255</v>
      </c>
      <c r="B43" s="569">
        <f>DATE(Summary!$P$9,12,1)</f>
        <v>45627</v>
      </c>
      <c r="C43" s="578" cm="1">
        <f t="array" aca="1" ref="C43" ca="1">INDIRECT(A43&amp;"!I8")</f>
        <v>46</v>
      </c>
      <c r="D43" s="579" cm="1">
        <f t="array" aca="1" ref="D43" ca="1">INDIRECT(A43&amp;"!I$18")</f>
        <v>22675.51</v>
      </c>
      <c r="E43" s="579" cm="1">
        <f t="array" aca="1" ref="E43" ca="1">INDIRECT(A43&amp;"!I$19")</f>
        <v>35261.58</v>
      </c>
      <c r="F43" s="579" cm="1">
        <f t="array" aca="1" ref="F43" ca="1">IF(INDIRECT(A43&amp;"!I22")="","",INDIRECT(A43&amp;"!I$22")+INDIRECT(A43&amp;"!I23")+INDIRECT(A43&amp;"!I25"))</f>
        <v>-30302.400000000001</v>
      </c>
      <c r="G43" s="579" cm="1">
        <f t="array" aca="1" ref="G43" ca="1">INDIRECT(A43&amp;"!I24")</f>
        <v>-5668.83</v>
      </c>
    </row>
    <row r="44" spans="1:7" x14ac:dyDescent="0.35">
      <c r="A44" t="s">
        <v>255</v>
      </c>
      <c r="B44" s="569">
        <f>DATE(Summary!$P$11,1,1)</f>
        <v>45658</v>
      </c>
      <c r="C44" s="578" cm="1">
        <f t="array" aca="1" ref="C44" ca="1">INDIRECT(A44&amp;"!J8")</f>
        <v>46</v>
      </c>
      <c r="D44" s="579" cm="1">
        <f t="array" aca="1" ref="D44" ca="1">INDIRECT(A44&amp;"!J$18")</f>
        <v>72426.600000000006</v>
      </c>
      <c r="E44" s="579" cm="1">
        <f t="array" aca="1" ref="E44" ca="1">INDIRECT(A44&amp;"!J$19")</f>
        <v>27032.16</v>
      </c>
      <c r="F44" s="579" cm="1">
        <f t="array" aca="1" ref="F44" ca="1">IF(INDIRECT(A44&amp;"!J22")="","",INDIRECT(A44&amp;"!J$22")+INDIRECT(A44&amp;"!J23")+INDIRECT(A44&amp;"!J25"))</f>
        <v>-4341.600000000004</v>
      </c>
      <c r="G44" s="579" cm="1">
        <f t="array" aca="1" ref="G44" ca="1">INDIRECT(A44&amp;"!J24")</f>
        <v>-5050.0200000000004</v>
      </c>
    </row>
    <row r="45" spans="1:7" x14ac:dyDescent="0.35">
      <c r="A45" t="s">
        <v>255</v>
      </c>
      <c r="B45" s="569">
        <f>DATE(Summary!$P$11,2,1)</f>
        <v>45689</v>
      </c>
      <c r="C45" s="578" cm="1">
        <f t="array" aca="1" ref="C45" ca="1">INDIRECT(A45&amp;"!K8")</f>
        <v>46</v>
      </c>
      <c r="D45" s="579" cm="1">
        <f t="array" aca="1" ref="D45" ca="1">INDIRECT(A45&amp;"!K$18")</f>
        <v>58191.61</v>
      </c>
      <c r="E45" s="579" cm="1">
        <f t="array" aca="1" ref="E45" ca="1">INDIRECT(A45&amp;"!K$19")</f>
        <v>44955.47</v>
      </c>
      <c r="F45" s="579" cm="1">
        <f t="array" aca="1" ref="F45" ca="1">IF(INDIRECT(A45&amp;"!K22")="","",INDIRECT(A45&amp;"!K$22")+INDIRECT(A45&amp;"!K23")+INDIRECT(A45&amp;"!K25"))</f>
        <v>-43509.319999999985</v>
      </c>
      <c r="G45" s="579" cm="1">
        <f t="array" aca="1" ref="G45" ca="1">INDIRECT(A45&amp;"!K24")</f>
        <v>-5060</v>
      </c>
    </row>
    <row r="46" spans="1:7" x14ac:dyDescent="0.35">
      <c r="A46" t="s">
        <v>255</v>
      </c>
      <c r="B46" s="569">
        <f>DATE(Summary!$P$11,3,1)</f>
        <v>45717</v>
      </c>
      <c r="C46" s="578" t="str" cm="1">
        <f t="array" aca="1" ref="C46" ca="1">INDIRECT(A46&amp;"!L8")</f>
        <v/>
      </c>
      <c r="D46" s="579" t="str" cm="1">
        <f t="array" aca="1" ref="D46" ca="1">INDIRECT(A46&amp;"!L$18")</f>
        <v/>
      </c>
      <c r="E46" s="579" t="str" cm="1">
        <f t="array" aca="1" ref="E46" ca="1">INDIRECT(A46&amp;"!L$19")</f>
        <v/>
      </c>
      <c r="F46" s="579" t="str" cm="1">
        <f t="array" aca="1" ref="F46" ca="1">IF(INDIRECT(A46&amp;"!L22")="","",INDIRECT(A46&amp;"!L$22")+INDIRECT(A46&amp;"!L23")+INDIRECT(A46&amp;"!L25"))</f>
        <v/>
      </c>
      <c r="G46" s="579" t="str" cm="1">
        <f t="array" aca="1" ref="G46" ca="1">INDIRECT(A46&amp;"!L24")</f>
        <v/>
      </c>
    </row>
    <row r="47" spans="1:7" x14ac:dyDescent="0.35">
      <c r="A47" t="s">
        <v>255</v>
      </c>
      <c r="B47" s="569">
        <f>DATE(Summary!$P$11,4,1)</f>
        <v>45748</v>
      </c>
      <c r="C47" s="578" t="str" cm="1">
        <f t="array" aca="1" ref="C47" ca="1">INDIRECT(A47&amp;"!M8")</f>
        <v/>
      </c>
      <c r="D47" s="579" t="str" cm="1">
        <f t="array" aca="1" ref="D47" ca="1">INDIRECT(A47&amp;"!M$18")</f>
        <v/>
      </c>
      <c r="E47" s="579" t="str" cm="1">
        <f t="array" aca="1" ref="E47" ca="1">INDIRECT(A47&amp;"!M$19")</f>
        <v/>
      </c>
      <c r="F47" s="579" t="str" cm="1">
        <f t="array" aca="1" ref="F47" ca="1">IF(INDIRECT(A47&amp;"!M22")="","",INDIRECT(A47&amp;"!M$22")+INDIRECT(A47&amp;"!M23")+INDIRECT(A47&amp;"!M25"))</f>
        <v/>
      </c>
      <c r="G47" s="579" t="str" cm="1">
        <f t="array" aca="1" ref="G47" ca="1">INDIRECT(A47&amp;"!M24")</f>
        <v/>
      </c>
    </row>
    <row r="48" spans="1:7" x14ac:dyDescent="0.35">
      <c r="A48" t="s">
        <v>255</v>
      </c>
      <c r="B48" s="569">
        <f>DATE(Summary!$P$11,5,1)</f>
        <v>45778</v>
      </c>
      <c r="C48" s="578" t="str" cm="1">
        <f t="array" aca="1" ref="C48" ca="1">INDIRECT(A48&amp;"!N8")</f>
        <v/>
      </c>
      <c r="D48" s="579" t="str" cm="1">
        <f t="array" aca="1" ref="D48" ca="1">INDIRECT(A48&amp;"!N$18")</f>
        <v/>
      </c>
      <c r="E48" s="579" t="str" cm="1">
        <f t="array" aca="1" ref="E48" ca="1">INDIRECT(A48&amp;"!N$19")</f>
        <v/>
      </c>
      <c r="F48" s="579" t="str" cm="1">
        <f t="array" aca="1" ref="F48" ca="1">IF(INDIRECT(A48&amp;"!N22")="","",INDIRECT(A48&amp;"!N$22")+INDIRECT(A48&amp;"!N23")+INDIRECT(A48&amp;"!N25"))</f>
        <v/>
      </c>
      <c r="G48" s="579" t="str" cm="1">
        <f t="array" aca="1" ref="G48" ca="1">INDIRECT(A48&amp;"!N24")</f>
        <v/>
      </c>
    </row>
    <row r="49" spans="1:7" x14ac:dyDescent="0.35">
      <c r="A49" t="s">
        <v>255</v>
      </c>
      <c r="B49" s="569">
        <f>DATE(Summary!$P$11,6,1)</f>
        <v>45809</v>
      </c>
      <c r="C49" s="578" t="str" cm="1">
        <f t="array" aca="1" ref="C49" ca="1">INDIRECT(A49&amp;"!O8")</f>
        <v/>
      </c>
      <c r="D49" s="579" t="str" cm="1">
        <f t="array" aca="1" ref="D49" ca="1">INDIRECT(A49&amp;"!O$18")</f>
        <v/>
      </c>
      <c r="E49" s="579" t="str" cm="1">
        <f t="array" aca="1" ref="E49" ca="1">INDIRECT(A49&amp;"!O$19")</f>
        <v/>
      </c>
      <c r="F49" s="579" t="str" cm="1">
        <f t="array" aca="1" ref="F49" ca="1">IF(INDIRECT(A49&amp;"!O22")="","",INDIRECT(A49&amp;"!O$22")+INDIRECT(A49&amp;"!O23")+INDIRECT(A49&amp;"!O25"))</f>
        <v/>
      </c>
      <c r="G49" s="579" t="str" cm="1">
        <f t="array" aca="1" ref="G49" ca="1">INDIRECT(A49&amp;"!O24")</f>
        <v/>
      </c>
    </row>
    <row r="50" spans="1:7" x14ac:dyDescent="0.35">
      <c r="A50" t="s">
        <v>256</v>
      </c>
      <c r="B50" s="569">
        <f>DATE(Summary!$P$9,7,1)</f>
        <v>45474</v>
      </c>
      <c r="C50" s="578" cm="1">
        <f t="array" aca="1" ref="C50" ca="1">INDIRECT(A50&amp;"!D8")</f>
        <v>176</v>
      </c>
      <c r="D50" s="579" cm="1">
        <f t="array" aca="1" ref="D50" ca="1">INDIRECT(A50&amp;"!D$18")</f>
        <v>268061.86</v>
      </c>
      <c r="E50" s="579" cm="1">
        <f t="array" aca="1" ref="E50" ca="1">INDIRECT(A50&amp;"!D$19")</f>
        <v>93491.82</v>
      </c>
      <c r="F50" s="579" cm="1">
        <f t="array" aca="1" ref="F50" ca="1">IF(INDIRECT(A50&amp;"!D22")="","",INDIRECT(A50&amp;"!D$22")+INDIRECT(A50&amp;"!D23")+INDIRECT(A50&amp;"!D25"))</f>
        <v>-300315.90000000002</v>
      </c>
      <c r="G50" s="579" cm="1">
        <f t="array" aca="1" ref="G50" ca="1">INDIRECT(A50&amp;"!D24")</f>
        <v>-19360</v>
      </c>
    </row>
    <row r="51" spans="1:7" x14ac:dyDescent="0.35">
      <c r="A51" t="s">
        <v>256</v>
      </c>
      <c r="B51" s="569">
        <f>DATE(Summary!$P$9,8,1)</f>
        <v>45505</v>
      </c>
      <c r="C51" s="578" cm="1">
        <f t="array" aca="1" ref="C51" ca="1">INDIRECT(A51&amp;"!E8")</f>
        <v>176</v>
      </c>
      <c r="D51" s="579" cm="1">
        <f t="array" aca="1" ref="D51" ca="1">INDIRECT(A51&amp;"!E$18")</f>
        <v>515729.76999999996</v>
      </c>
      <c r="E51" s="579" cm="1">
        <f t="array" aca="1" ref="E51" ca="1">INDIRECT(A51&amp;"!E$19")</f>
        <v>147211.07</v>
      </c>
      <c r="F51" s="579" cm="1">
        <f t="array" aca="1" ref="F51" ca="1">IF(INDIRECT(A51&amp;"!E22")="","",INDIRECT(A51&amp;"!E$22")+INDIRECT(A51&amp;"!E23")+INDIRECT(A51&amp;"!E25"))</f>
        <v>-203602</v>
      </c>
      <c r="G51" s="579" cm="1">
        <f t="array" aca="1" ref="G51" ca="1">INDIRECT(A51&amp;"!E24")</f>
        <v>-19360</v>
      </c>
    </row>
    <row r="52" spans="1:7" x14ac:dyDescent="0.35">
      <c r="A52" t="s">
        <v>256</v>
      </c>
      <c r="B52" s="569">
        <f>DATE(Summary!$P$9,9,1)</f>
        <v>45536</v>
      </c>
      <c r="C52" s="578" cm="1">
        <f t="array" aca="1" ref="C52" ca="1">INDIRECT(A52&amp;"!F8")</f>
        <v>184</v>
      </c>
      <c r="D52" s="579" cm="1">
        <f t="array" aca="1" ref="D52" ca="1">INDIRECT(A52&amp;"!F$18")</f>
        <v>328416.65999999997</v>
      </c>
      <c r="E52" s="579" cm="1">
        <f t="array" aca="1" ref="E52" ca="1">INDIRECT(A52&amp;"!F$19")</f>
        <v>116788.44</v>
      </c>
      <c r="F52" s="579" cm="1">
        <f t="array" aca="1" ref="F52" ca="1">IF(INDIRECT(A52&amp;"!F22")="","",INDIRECT(A52&amp;"!F$22")+INDIRECT(A52&amp;"!F23")+INDIRECT(A52&amp;"!F25"))</f>
        <v>-110096.14000000004</v>
      </c>
      <c r="G52" s="579" cm="1">
        <f t="array" aca="1" ref="G52" ca="1">INDIRECT(A52&amp;"!F24")</f>
        <v>-20240</v>
      </c>
    </row>
    <row r="53" spans="1:7" x14ac:dyDescent="0.35">
      <c r="A53" t="s">
        <v>256</v>
      </c>
      <c r="B53" s="569">
        <f>DATE(Summary!$P$9,10,1)</f>
        <v>45566</v>
      </c>
      <c r="C53" s="578" cm="1">
        <f t="array" aca="1" ref="C53" ca="1">INDIRECT(A53&amp;"!G8")</f>
        <v>185</v>
      </c>
      <c r="D53" s="579" cm="1">
        <f t="array" aca="1" ref="D53" ca="1">INDIRECT(A53&amp;"!G$18")</f>
        <v>434905.47</v>
      </c>
      <c r="E53" s="579" cm="1">
        <f t="array" aca="1" ref="E53" ca="1">INDIRECT(A53&amp;"!G$19")</f>
        <v>134649.59</v>
      </c>
      <c r="F53" s="579" cm="1">
        <f t="array" aca="1" ref="F53" ca="1">IF(INDIRECT(A53&amp;"!G22")="","",INDIRECT(A53&amp;"!G$22")+INDIRECT(A53&amp;"!G23")+INDIRECT(A53&amp;"!G25"))</f>
        <v>-191756.41999999998</v>
      </c>
      <c r="G53" s="579" cm="1">
        <f t="array" aca="1" ref="G53" ca="1">INDIRECT(A53&amp;"!G24")</f>
        <v>-20350</v>
      </c>
    </row>
    <row r="54" spans="1:7" x14ac:dyDescent="0.35">
      <c r="A54" t="s">
        <v>256</v>
      </c>
      <c r="B54" s="569">
        <f>DATE(Summary!$P$9,11,1)</f>
        <v>45597</v>
      </c>
      <c r="C54" s="578" cm="1">
        <f t="array" aca="1" ref="C54" ca="1">INDIRECT(A54&amp;"!H8")</f>
        <v>186</v>
      </c>
      <c r="D54" s="579" cm="1">
        <f t="array" aca="1" ref="D54" ca="1">INDIRECT(A54&amp;"!H$18")</f>
        <v>351155.81</v>
      </c>
      <c r="E54" s="579" cm="1">
        <f t="array" aca="1" ref="E54" ca="1">INDIRECT(A54&amp;"!H$19")</f>
        <v>159189.75</v>
      </c>
      <c r="F54" s="579" cm="1">
        <f t="array" aca="1" ref="F54" ca="1">IF(INDIRECT(A54&amp;"!H22")="","",INDIRECT(A54&amp;"!H$22")+INDIRECT(A54&amp;"!H23")+INDIRECT(A54&amp;"!H25"))</f>
        <v>-149731.29</v>
      </c>
      <c r="G54" s="579" cm="1">
        <f t="array" aca="1" ref="G54" ca="1">INDIRECT(A54&amp;"!H24")</f>
        <v>-20460</v>
      </c>
    </row>
    <row r="55" spans="1:7" x14ac:dyDescent="0.35">
      <c r="A55" t="s">
        <v>256</v>
      </c>
      <c r="B55" s="569">
        <f>DATE(Summary!$P$9,12,1)</f>
        <v>45627</v>
      </c>
      <c r="C55" s="578" cm="1">
        <f t="array" aca="1" ref="C55" ca="1">INDIRECT(A55&amp;"!I8")</f>
        <v>184</v>
      </c>
      <c r="D55" s="579" cm="1">
        <f t="array" aca="1" ref="D55" ca="1">INDIRECT(A55&amp;"!I$18")</f>
        <v>307188.21000000002</v>
      </c>
      <c r="E55" s="579" cm="1">
        <f t="array" aca="1" ref="E55" ca="1">INDIRECT(A55&amp;"!I$19")</f>
        <v>179142.75</v>
      </c>
      <c r="F55" s="579" cm="1">
        <f t="array" aca="1" ref="F55" ca="1">IF(INDIRECT(A55&amp;"!I22")="","",INDIRECT(A55&amp;"!I$22")+INDIRECT(A55&amp;"!I23")+INDIRECT(A55&amp;"!I25"))</f>
        <v>-391355.53999999992</v>
      </c>
      <c r="G55" s="579" cm="1">
        <f t="array" aca="1" ref="G55" ca="1">INDIRECT(A55&amp;"!I24")</f>
        <v>-20240</v>
      </c>
    </row>
    <row r="56" spans="1:7" x14ac:dyDescent="0.35">
      <c r="A56" t="s">
        <v>256</v>
      </c>
      <c r="B56" s="569">
        <f>DATE(Summary!$P$11,1,1)</f>
        <v>45658</v>
      </c>
      <c r="C56" s="578" cm="1">
        <f t="array" aca="1" ref="C56" ca="1">INDIRECT(A56&amp;"!J8")</f>
        <v>184</v>
      </c>
      <c r="D56" s="579" cm="1">
        <f t="array" aca="1" ref="D56" ca="1">INDIRECT(A56&amp;"!J$18")</f>
        <v>657139.48</v>
      </c>
      <c r="E56" s="579" cm="1">
        <f t="array" aca="1" ref="E56" ca="1">INDIRECT(A56&amp;"!J$19")</f>
        <v>298148.81</v>
      </c>
      <c r="F56" s="579" cm="1">
        <f t="array" aca="1" ref="F56" ca="1">IF(INDIRECT(A56&amp;"!J22")="","",INDIRECT(A56&amp;"!J$22")+INDIRECT(A56&amp;"!J23")+INDIRECT(A56&amp;"!J25"))</f>
        <v>-366115.83000000007</v>
      </c>
      <c r="G56" s="579" cm="1">
        <f t="array" aca="1" ref="G56" ca="1">INDIRECT(A56&amp;"!J24")</f>
        <v>-20240</v>
      </c>
    </row>
    <row r="57" spans="1:7" x14ac:dyDescent="0.35">
      <c r="A57" t="s">
        <v>256</v>
      </c>
      <c r="B57" s="569">
        <f>DATE(Summary!$P$11,2,1)</f>
        <v>45689</v>
      </c>
      <c r="C57" s="578" cm="1">
        <f t="array" aca="1" ref="C57" ca="1">INDIRECT(A57&amp;"!K8")</f>
        <v>183</v>
      </c>
      <c r="D57" s="579" cm="1">
        <f t="array" aca="1" ref="D57" ca="1">INDIRECT(A57&amp;"!K$18")</f>
        <v>342829.64</v>
      </c>
      <c r="E57" s="579" cm="1">
        <f t="array" aca="1" ref="E57" ca="1">INDIRECT(A57&amp;"!K$19")</f>
        <v>192046.1</v>
      </c>
      <c r="F57" s="579" cm="1">
        <f t="array" aca="1" ref="F57" ca="1">IF(INDIRECT(A57&amp;"!K22")="","",INDIRECT(A57&amp;"!K$22")+INDIRECT(A57&amp;"!K23")+INDIRECT(A57&amp;"!K25"))</f>
        <v>-241768.88000000006</v>
      </c>
      <c r="G57" s="579" cm="1">
        <f t="array" aca="1" ref="G57" ca="1">INDIRECT(A57&amp;"!K24")</f>
        <v>-20130</v>
      </c>
    </row>
    <row r="58" spans="1:7" x14ac:dyDescent="0.35">
      <c r="A58" t="s">
        <v>256</v>
      </c>
      <c r="B58" s="569">
        <f>DATE(Summary!$P$11,3,1)</f>
        <v>45717</v>
      </c>
      <c r="C58" s="578" t="str" cm="1">
        <f t="array" aca="1" ref="C58" ca="1">INDIRECT(A58&amp;"!L8")</f>
        <v/>
      </c>
      <c r="D58" s="579" t="str" cm="1">
        <f t="array" aca="1" ref="D58" ca="1">INDIRECT(A58&amp;"!L$18")</f>
        <v/>
      </c>
      <c r="E58" s="579" t="str" cm="1">
        <f t="array" aca="1" ref="E58" ca="1">INDIRECT(A58&amp;"!L$19")</f>
        <v/>
      </c>
      <c r="F58" s="579" t="str" cm="1">
        <f t="array" aca="1" ref="F58" ca="1">IF(INDIRECT(A58&amp;"!L22")="","",INDIRECT(A58&amp;"!L$22")+INDIRECT(A58&amp;"!L23")+INDIRECT(A58&amp;"!L25"))</f>
        <v/>
      </c>
      <c r="G58" s="579" t="str" cm="1">
        <f t="array" aca="1" ref="G58" ca="1">INDIRECT(A58&amp;"!L24")</f>
        <v/>
      </c>
    </row>
    <row r="59" spans="1:7" x14ac:dyDescent="0.35">
      <c r="A59" t="s">
        <v>256</v>
      </c>
      <c r="B59" s="569">
        <f>DATE(Summary!$P$11,4,1)</f>
        <v>45748</v>
      </c>
      <c r="C59" s="578" t="str" cm="1">
        <f t="array" aca="1" ref="C59" ca="1">INDIRECT(A59&amp;"!M8")</f>
        <v/>
      </c>
      <c r="D59" s="579" t="str" cm="1">
        <f t="array" aca="1" ref="D59" ca="1">INDIRECT(A59&amp;"!M$18")</f>
        <v/>
      </c>
      <c r="E59" s="579" t="str" cm="1">
        <f t="array" aca="1" ref="E59" ca="1">INDIRECT(A59&amp;"!M$19")</f>
        <v/>
      </c>
      <c r="F59" s="579" t="str" cm="1">
        <f t="array" aca="1" ref="F59" ca="1">IF(INDIRECT(A59&amp;"!M22")="","",INDIRECT(A59&amp;"!M$22")+INDIRECT(A59&amp;"!M23")+INDIRECT(A59&amp;"!M25"))</f>
        <v/>
      </c>
      <c r="G59" s="579" t="str" cm="1">
        <f t="array" aca="1" ref="G59" ca="1">INDIRECT(A59&amp;"!M24")</f>
        <v/>
      </c>
    </row>
    <row r="60" spans="1:7" x14ac:dyDescent="0.35">
      <c r="A60" t="s">
        <v>256</v>
      </c>
      <c r="B60" s="569">
        <f>DATE(Summary!$P$11,5,1)</f>
        <v>45778</v>
      </c>
      <c r="C60" s="578" t="str" cm="1">
        <f t="array" aca="1" ref="C60" ca="1">INDIRECT(A60&amp;"!N8")</f>
        <v/>
      </c>
      <c r="D60" s="579" t="str" cm="1">
        <f t="array" aca="1" ref="D60" ca="1">INDIRECT(A60&amp;"!N$18")</f>
        <v/>
      </c>
      <c r="E60" s="579" t="str" cm="1">
        <f t="array" aca="1" ref="E60" ca="1">INDIRECT(A60&amp;"!N$19")</f>
        <v/>
      </c>
      <c r="F60" s="579" t="str" cm="1">
        <f t="array" aca="1" ref="F60" ca="1">IF(INDIRECT(A60&amp;"!N22")="","",INDIRECT(A60&amp;"!N$22")+INDIRECT(A60&amp;"!N23")+INDIRECT(A60&amp;"!N25"))</f>
        <v/>
      </c>
      <c r="G60" s="579" t="str" cm="1">
        <f t="array" aca="1" ref="G60" ca="1">INDIRECT(A60&amp;"!N24")</f>
        <v/>
      </c>
    </row>
    <row r="61" spans="1:7" x14ac:dyDescent="0.35">
      <c r="A61" t="s">
        <v>256</v>
      </c>
      <c r="B61" s="569">
        <f>DATE(Summary!$P$11,6,1)</f>
        <v>45809</v>
      </c>
      <c r="C61" s="578" t="str" cm="1">
        <f t="array" aca="1" ref="C61" ca="1">INDIRECT(A61&amp;"!O8")</f>
        <v/>
      </c>
      <c r="D61" s="579" t="str" cm="1">
        <f t="array" aca="1" ref="D61" ca="1">INDIRECT(A61&amp;"!O$18")</f>
        <v/>
      </c>
      <c r="E61" s="579" t="str" cm="1">
        <f t="array" aca="1" ref="E61" ca="1">INDIRECT(A61&amp;"!O$19")</f>
        <v/>
      </c>
      <c r="F61" s="579" t="str" cm="1">
        <f t="array" aca="1" ref="F61" ca="1">IF(INDIRECT(A61&amp;"!O22")="","",INDIRECT(A61&amp;"!O$22")+INDIRECT(A61&amp;"!O23")+INDIRECT(A61&amp;"!O25"))</f>
        <v/>
      </c>
      <c r="G61" s="579" t="str" cm="1">
        <f t="array" aca="1" ref="G61" ca="1">INDIRECT(A61&amp;"!O24")</f>
        <v/>
      </c>
    </row>
    <row r="62" spans="1:7" x14ac:dyDescent="0.35">
      <c r="A62" t="s">
        <v>264</v>
      </c>
      <c r="B62" s="569">
        <f>DATE(Summary!$P$9,7,1)</f>
        <v>45474</v>
      </c>
      <c r="C62" s="578" cm="1">
        <f t="array" aca="1" ref="C62" ca="1">INDIRECT(A62&amp;"!D8")</f>
        <v>281</v>
      </c>
      <c r="D62" s="579" cm="1">
        <f t="array" aca="1" ref="D62" ca="1">INDIRECT(A62&amp;"!D$18")</f>
        <v>299641.82999999996</v>
      </c>
      <c r="E62" s="579" cm="1">
        <f t="array" aca="1" ref="E62" ca="1">INDIRECT(A62&amp;"!D$19")</f>
        <v>98178.5</v>
      </c>
      <c r="F62" s="579" cm="1">
        <f t="array" aca="1" ref="F62" ca="1">IF(INDIRECT(A62&amp;"!D22")="","",INDIRECT(A62&amp;"!D$22")+INDIRECT(A62&amp;"!D23")+INDIRECT(A62&amp;"!D25"))</f>
        <v>-27079.66</v>
      </c>
      <c r="G62" s="579" cm="1">
        <f t="array" aca="1" ref="G62" ca="1">INDIRECT(A62&amp;"!D24")</f>
        <v>-30910</v>
      </c>
    </row>
    <row r="63" spans="1:7" x14ac:dyDescent="0.35">
      <c r="A63" t="s">
        <v>264</v>
      </c>
      <c r="B63" s="569">
        <f>DATE(Summary!$P$9,8,1)</f>
        <v>45505</v>
      </c>
      <c r="C63" s="578" cm="1">
        <f t="array" aca="1" ref="C63" ca="1">INDIRECT(A63&amp;"!E8")</f>
        <v>279</v>
      </c>
      <c r="D63" s="579" cm="1">
        <f t="array" aca="1" ref="D63" ca="1">INDIRECT(A63&amp;"!E$18")</f>
        <v>386106.37</v>
      </c>
      <c r="E63" s="579" cm="1">
        <f t="array" aca="1" ref="E63" ca="1">INDIRECT(A63&amp;"!E$19")</f>
        <v>164572.54</v>
      </c>
      <c r="F63" s="579" cm="1">
        <f t="array" aca="1" ref="F63" ca="1">IF(INDIRECT(A63&amp;"!E22")="","",INDIRECT(A63&amp;"!E$22")+INDIRECT(A63&amp;"!E23")+INDIRECT(A63&amp;"!E25"))</f>
        <v>-52507.61</v>
      </c>
      <c r="G63" s="579" cm="1">
        <f t="array" aca="1" ref="G63" ca="1">INDIRECT(A63&amp;"!E24")</f>
        <v>-30690</v>
      </c>
    </row>
    <row r="64" spans="1:7" x14ac:dyDescent="0.35">
      <c r="A64" t="s">
        <v>264</v>
      </c>
      <c r="B64" s="569">
        <f>DATE(Summary!$P$9,9,1)</f>
        <v>45536</v>
      </c>
      <c r="C64" s="578" cm="1">
        <f t="array" aca="1" ref="C64" ca="1">INDIRECT(A64&amp;"!F8")</f>
        <v>280</v>
      </c>
      <c r="D64" s="579" cm="1">
        <f t="array" aca="1" ref="D64" ca="1">INDIRECT(A64&amp;"!F$18")</f>
        <v>318635.77</v>
      </c>
      <c r="E64" s="579" cm="1">
        <f t="array" aca="1" ref="E64" ca="1">INDIRECT(A64&amp;"!F$19")</f>
        <v>103003.55</v>
      </c>
      <c r="F64" s="579" cm="1">
        <f t="array" aca="1" ref="F64" ca="1">IF(INDIRECT(A64&amp;"!F22")="","",INDIRECT(A64&amp;"!F$22")+INDIRECT(A64&amp;"!F23")+INDIRECT(A64&amp;"!F25"))</f>
        <v>-172743.23</v>
      </c>
      <c r="G64" s="579" cm="1">
        <f t="array" aca="1" ref="G64" ca="1">INDIRECT(A64&amp;"!F24")</f>
        <v>-30800</v>
      </c>
    </row>
    <row r="65" spans="1:7" x14ac:dyDescent="0.35">
      <c r="A65" t="s">
        <v>264</v>
      </c>
      <c r="B65" s="569">
        <f>DATE(Summary!$P$9,10,1)</f>
        <v>45566</v>
      </c>
      <c r="C65" s="578" cm="1">
        <f t="array" aca="1" ref="C65" ca="1">INDIRECT(A65&amp;"!G8")</f>
        <v>284</v>
      </c>
      <c r="D65" s="579" cm="1">
        <f t="array" aca="1" ref="D65" ca="1">INDIRECT(A65&amp;"!G$18")</f>
        <v>178669.36000000002</v>
      </c>
      <c r="E65" s="579" cm="1">
        <f t="array" aca="1" ref="E65" ca="1">INDIRECT(A65&amp;"!G$19")</f>
        <v>187827.54</v>
      </c>
      <c r="F65" s="579" cm="1">
        <f t="array" aca="1" ref="F65" ca="1">IF(INDIRECT(A65&amp;"!G22")="","",INDIRECT(A65&amp;"!G$22")+INDIRECT(A65&amp;"!G23")+INDIRECT(A65&amp;"!G25"))</f>
        <v>-27254.489999999994</v>
      </c>
      <c r="G65" s="579" cm="1">
        <f t="array" aca="1" ref="G65" ca="1">INDIRECT(A65&amp;"!G24")</f>
        <v>-31240</v>
      </c>
    </row>
    <row r="66" spans="1:7" x14ac:dyDescent="0.35">
      <c r="A66" t="s">
        <v>264</v>
      </c>
      <c r="B66" s="569">
        <f>DATE(Summary!$P$9,11,1)</f>
        <v>45597</v>
      </c>
      <c r="C66" s="578" cm="1">
        <f t="array" aca="1" ref="C66" ca="1">INDIRECT(A66&amp;"!H8")</f>
        <v>287</v>
      </c>
      <c r="D66" s="579" cm="1">
        <f t="array" aca="1" ref="D66" ca="1">INDIRECT(A66&amp;"!H$18")</f>
        <v>407028.54</v>
      </c>
      <c r="E66" s="579" cm="1">
        <f t="array" aca="1" ref="E66" ca="1">INDIRECT(A66&amp;"!H$19")</f>
        <v>152639.49</v>
      </c>
      <c r="F66" s="579" cm="1">
        <f t="array" aca="1" ref="F66" ca="1">IF(INDIRECT(A66&amp;"!H22")="","",INDIRECT(A66&amp;"!H$22")+INDIRECT(A66&amp;"!H23")+INDIRECT(A66&amp;"!H25"))</f>
        <v>-34290.64999999998</v>
      </c>
      <c r="G66" s="579" cm="1">
        <f t="array" aca="1" ref="G66" ca="1">INDIRECT(A66&amp;"!H24")</f>
        <v>-31570</v>
      </c>
    </row>
    <row r="67" spans="1:7" x14ac:dyDescent="0.35">
      <c r="A67" t="s">
        <v>264</v>
      </c>
      <c r="B67" s="569">
        <f>DATE(Summary!$P$9,12,1)</f>
        <v>45627</v>
      </c>
      <c r="C67" s="578" cm="1">
        <f t="array" aca="1" ref="C67" ca="1">INDIRECT(A67&amp;"!I8")</f>
        <v>286</v>
      </c>
      <c r="D67" s="579" cm="1">
        <f t="array" aca="1" ref="D67" ca="1">INDIRECT(A67&amp;"!I$18")</f>
        <v>305362.32</v>
      </c>
      <c r="E67" s="579" cm="1">
        <f t="array" aca="1" ref="E67" ca="1">INDIRECT(A67&amp;"!I$19")</f>
        <v>125458.41</v>
      </c>
      <c r="F67" s="579" cm="1">
        <f t="array" aca="1" ref="F67" ca="1">IF(INDIRECT(A67&amp;"!I22")="","",INDIRECT(A67&amp;"!I$22")+INDIRECT(A67&amp;"!I23")+INDIRECT(A67&amp;"!I25"))</f>
        <v>-181921.29000000007</v>
      </c>
      <c r="G67" s="579" cm="1">
        <f t="array" aca="1" ref="G67" ca="1">INDIRECT(A67&amp;"!I24")</f>
        <v>-31460</v>
      </c>
    </row>
    <row r="68" spans="1:7" x14ac:dyDescent="0.35">
      <c r="A68" t="s">
        <v>264</v>
      </c>
      <c r="B68" s="569">
        <f>DATE(Summary!$P$11,1,1)</f>
        <v>45658</v>
      </c>
      <c r="C68" s="578" cm="1">
        <f t="array" aca="1" ref="C68" ca="1">INDIRECT(A68&amp;"!J8")</f>
        <v>284</v>
      </c>
      <c r="D68" s="579" cm="1">
        <f t="array" aca="1" ref="D68" ca="1">INDIRECT(A68&amp;"!J$18")</f>
        <v>356689.23</v>
      </c>
      <c r="E68" s="579" cm="1">
        <f t="array" aca="1" ref="E68" ca="1">INDIRECT(A68&amp;"!J$19")</f>
        <v>167930.52</v>
      </c>
      <c r="F68" s="579" cm="1">
        <f t="array" aca="1" ref="F68" ca="1">IF(INDIRECT(A68&amp;"!J22")="","",INDIRECT(A68&amp;"!J$22")+INDIRECT(A68&amp;"!J23")+INDIRECT(A68&amp;"!J25"))</f>
        <v>-48834.729999999996</v>
      </c>
      <c r="G68" s="579" cm="1">
        <f t="array" aca="1" ref="G68" ca="1">INDIRECT(A68&amp;"!J24")</f>
        <v>-31240</v>
      </c>
    </row>
    <row r="69" spans="1:7" x14ac:dyDescent="0.35">
      <c r="A69" t="s">
        <v>264</v>
      </c>
      <c r="B69" s="569">
        <f>DATE(Summary!$P$11,2,1)</f>
        <v>45689</v>
      </c>
      <c r="C69" s="578" cm="1">
        <f t="array" aca="1" ref="C69" ca="1">INDIRECT(A69&amp;"!K8")</f>
        <v>284</v>
      </c>
      <c r="D69" s="579" cm="1">
        <f t="array" aca="1" ref="D69" ca="1">INDIRECT(A69&amp;"!K$18")</f>
        <v>426478.54</v>
      </c>
      <c r="E69" s="579" cm="1">
        <f t="array" aca="1" ref="E69" ca="1">INDIRECT(A69&amp;"!K$19")</f>
        <v>122264.65</v>
      </c>
      <c r="F69" s="579" cm="1">
        <f t="array" aca="1" ref="F69" ca="1">IF(INDIRECT(A69&amp;"!K22")="","",INDIRECT(A69&amp;"!K$22")+INDIRECT(A69&amp;"!K23")+INDIRECT(A69&amp;"!K25"))</f>
        <v>-92253.87999999999</v>
      </c>
      <c r="G69" s="579" cm="1">
        <f t="array" aca="1" ref="G69" ca="1">INDIRECT(A69&amp;"!K24")</f>
        <v>-31240</v>
      </c>
    </row>
    <row r="70" spans="1:7" x14ac:dyDescent="0.35">
      <c r="A70" t="s">
        <v>264</v>
      </c>
      <c r="B70" s="569">
        <f>DATE(Summary!$P$11,3,1)</f>
        <v>45717</v>
      </c>
      <c r="C70" s="578" t="str" cm="1">
        <f t="array" aca="1" ref="C70" ca="1">INDIRECT(A70&amp;"!L8")</f>
        <v/>
      </c>
      <c r="D70" s="579" t="str" cm="1">
        <f t="array" aca="1" ref="D70" ca="1">INDIRECT(A70&amp;"!L$18")</f>
        <v/>
      </c>
      <c r="E70" s="579" t="str" cm="1">
        <f t="array" aca="1" ref="E70" ca="1">INDIRECT(A70&amp;"!L$19")</f>
        <v/>
      </c>
      <c r="F70" s="579" t="str" cm="1">
        <f t="array" aca="1" ref="F70" ca="1">IF(INDIRECT(A70&amp;"!L22")="","",INDIRECT(A70&amp;"!L$22")+INDIRECT(A70&amp;"!L23")+INDIRECT(A70&amp;"!L25"))</f>
        <v/>
      </c>
      <c r="G70" s="579" t="str" cm="1">
        <f t="array" aca="1" ref="G70" ca="1">INDIRECT(A70&amp;"!L24")</f>
        <v/>
      </c>
    </row>
    <row r="71" spans="1:7" x14ac:dyDescent="0.35">
      <c r="A71" t="s">
        <v>264</v>
      </c>
      <c r="B71" s="569">
        <f>DATE(Summary!$P$11,4,1)</f>
        <v>45748</v>
      </c>
      <c r="C71" s="578" t="str" cm="1">
        <f t="array" aca="1" ref="C71" ca="1">INDIRECT(A71&amp;"!M8")</f>
        <v/>
      </c>
      <c r="D71" s="579" t="str" cm="1">
        <f t="array" aca="1" ref="D71" ca="1">INDIRECT(A71&amp;"!M$18")</f>
        <v/>
      </c>
      <c r="E71" s="579" t="str" cm="1">
        <f t="array" aca="1" ref="E71" ca="1">INDIRECT(A71&amp;"!M$19")</f>
        <v/>
      </c>
      <c r="F71" s="579" t="str" cm="1">
        <f t="array" aca="1" ref="F71" ca="1">IF(INDIRECT(A71&amp;"!M22")="","",INDIRECT(A71&amp;"!M$22")+INDIRECT(A71&amp;"!M23")+INDIRECT(A71&amp;"!M25"))</f>
        <v/>
      </c>
      <c r="G71" s="579" t="str" cm="1">
        <f t="array" aca="1" ref="G71" ca="1">INDIRECT(A71&amp;"!M24")</f>
        <v/>
      </c>
    </row>
    <row r="72" spans="1:7" x14ac:dyDescent="0.35">
      <c r="A72" t="s">
        <v>264</v>
      </c>
      <c r="B72" s="569">
        <f>DATE(Summary!$P$11,5,1)</f>
        <v>45778</v>
      </c>
      <c r="C72" s="578" t="str" cm="1">
        <f t="array" aca="1" ref="C72" ca="1">INDIRECT(A72&amp;"!N8")</f>
        <v/>
      </c>
      <c r="D72" s="579" t="str" cm="1">
        <f t="array" aca="1" ref="D72" ca="1">INDIRECT(A72&amp;"!N$18")</f>
        <v/>
      </c>
      <c r="E72" s="579" t="str" cm="1">
        <f t="array" aca="1" ref="E72" ca="1">INDIRECT(A72&amp;"!N$19")</f>
        <v/>
      </c>
      <c r="F72" s="579" t="str" cm="1">
        <f t="array" aca="1" ref="F72" ca="1">IF(INDIRECT(A72&amp;"!N22")="","",INDIRECT(A72&amp;"!N$22")+INDIRECT(A72&amp;"!N23")+INDIRECT(A72&amp;"!N25"))</f>
        <v/>
      </c>
      <c r="G72" s="579" t="str" cm="1">
        <f t="array" aca="1" ref="G72" ca="1">INDIRECT(A72&amp;"!N24")</f>
        <v/>
      </c>
    </row>
    <row r="73" spans="1:7" x14ac:dyDescent="0.35">
      <c r="A73" t="s">
        <v>264</v>
      </c>
      <c r="B73" s="569">
        <f>DATE(Summary!$P$11,6,1)</f>
        <v>45809</v>
      </c>
      <c r="C73" s="578" t="str" cm="1">
        <f t="array" aca="1" ref="C73" ca="1">INDIRECT(A73&amp;"!O8")</f>
        <v/>
      </c>
      <c r="D73" s="579" t="str" cm="1">
        <f t="array" aca="1" ref="D73" ca="1">INDIRECT(A73&amp;"!O$18")</f>
        <v/>
      </c>
      <c r="E73" s="579" t="str" cm="1">
        <f t="array" aca="1" ref="E73" ca="1">INDIRECT(A73&amp;"!O$19")</f>
        <v/>
      </c>
      <c r="F73" s="579" t="str" cm="1">
        <f t="array" aca="1" ref="F73" ca="1">IF(INDIRECT(A73&amp;"!O22")="","",INDIRECT(A73&amp;"!O$22")+INDIRECT(A73&amp;"!O23")+INDIRECT(A73&amp;"!O25"))</f>
        <v/>
      </c>
      <c r="G73" s="579" t="str" cm="1">
        <f t="array" aca="1" ref="G73" ca="1">INDIRECT(A73&amp;"!O24")</f>
        <v/>
      </c>
    </row>
    <row r="74" spans="1:7" x14ac:dyDescent="0.35">
      <c r="A74" t="s">
        <v>257</v>
      </c>
      <c r="B74" s="569">
        <f>DATE(Summary!$P$9,7,1)</f>
        <v>45474</v>
      </c>
      <c r="C74" s="578" cm="1">
        <f t="array" aca="1" ref="C74" ca="1">INDIRECT(A74&amp;"!D8")</f>
        <v>247</v>
      </c>
      <c r="D74" s="579" cm="1">
        <f t="array" aca="1" ref="D74" ca="1">INDIRECT(A74&amp;"!D$18")</f>
        <v>209280.83</v>
      </c>
      <c r="E74" s="579" cm="1">
        <f t="array" aca="1" ref="E74" ca="1">INDIRECT(A74&amp;"!D$19")</f>
        <v>88009.85</v>
      </c>
      <c r="F74" s="579" cm="1">
        <f t="array" aca="1" ref="F74" ca="1">IF(INDIRECT(A74&amp;"!D22")="","",INDIRECT(A74&amp;"!D$22")+INDIRECT(A74&amp;"!D23")+INDIRECT(A74&amp;"!D25"))</f>
        <v>-59639.77</v>
      </c>
      <c r="G74" s="579" cm="1">
        <f t="array" aca="1" ref="G74" ca="1">INDIRECT(A74&amp;"!D24")</f>
        <v>-27170</v>
      </c>
    </row>
    <row r="75" spans="1:7" x14ac:dyDescent="0.35">
      <c r="A75" t="s">
        <v>257</v>
      </c>
      <c r="B75" s="569">
        <f>DATE(Summary!$P$9,8,1)</f>
        <v>45505</v>
      </c>
      <c r="C75" s="578" cm="1">
        <f t="array" aca="1" ref="C75" ca="1">INDIRECT(A75&amp;"!E8")</f>
        <v>246</v>
      </c>
      <c r="D75" s="579" cm="1">
        <f t="array" aca="1" ref="D75" ca="1">INDIRECT(A75&amp;"!E$18")</f>
        <v>161037.04999999999</v>
      </c>
      <c r="E75" s="579" cm="1">
        <f t="array" aca="1" ref="E75" ca="1">INDIRECT(A75&amp;"!E$19")</f>
        <v>81941.86</v>
      </c>
      <c r="F75" s="579" cm="1">
        <f t="array" aca="1" ref="F75" ca="1">IF(INDIRECT(A75&amp;"!E22")="","",INDIRECT(A75&amp;"!E$22")+INDIRECT(A75&amp;"!E23")+INDIRECT(A75&amp;"!E25"))</f>
        <v>-221.38000000000102</v>
      </c>
      <c r="G75" s="579" cm="1">
        <f t="array" aca="1" ref="G75" ca="1">INDIRECT(A75&amp;"!E24")</f>
        <v>-27060</v>
      </c>
    </row>
    <row r="76" spans="1:7" x14ac:dyDescent="0.35">
      <c r="A76" t="s">
        <v>257</v>
      </c>
      <c r="B76" s="569">
        <f>DATE(Summary!$P$9,9,1)</f>
        <v>45536</v>
      </c>
      <c r="C76" s="578" cm="1">
        <f t="array" aca="1" ref="C76" ca="1">INDIRECT(A76&amp;"!F8")</f>
        <v>242</v>
      </c>
      <c r="D76" s="579" cm="1">
        <f t="array" aca="1" ref="D76" ca="1">INDIRECT(A76&amp;"!F$18")</f>
        <v>359922.41</v>
      </c>
      <c r="E76" s="579" cm="1">
        <f t="array" aca="1" ref="E76" ca="1">INDIRECT(A76&amp;"!F$19")</f>
        <v>91004.85</v>
      </c>
      <c r="F76" s="579" cm="1">
        <f t="array" aca="1" ref="F76" ca="1">IF(INDIRECT(A76&amp;"!F22")="","",INDIRECT(A76&amp;"!F$22")+INDIRECT(A76&amp;"!F23")+INDIRECT(A76&amp;"!F25"))</f>
        <v>-48032.97</v>
      </c>
      <c r="G76" s="579" cm="1">
        <f t="array" aca="1" ref="G76" ca="1">INDIRECT(A76&amp;"!F24")</f>
        <v>-26620</v>
      </c>
    </row>
    <row r="77" spans="1:7" x14ac:dyDescent="0.35">
      <c r="A77" t="s">
        <v>257</v>
      </c>
      <c r="B77" s="569">
        <f>DATE(Summary!$P$9,10,1)</f>
        <v>45566</v>
      </c>
      <c r="C77" s="578" cm="1">
        <f t="array" aca="1" ref="C77" ca="1">INDIRECT(A77&amp;"!G8")</f>
        <v>245</v>
      </c>
      <c r="D77" s="579" cm="1">
        <f t="array" aca="1" ref="D77" ca="1">INDIRECT(A77&amp;"!G$18")</f>
        <v>178443.86</v>
      </c>
      <c r="E77" s="579" cm="1">
        <f t="array" aca="1" ref="E77" ca="1">INDIRECT(A77&amp;"!G$19")</f>
        <v>62190.94</v>
      </c>
      <c r="F77" s="579" cm="1">
        <f t="array" aca="1" ref="F77" ca="1">IF(INDIRECT(A77&amp;"!G22")="","",INDIRECT(A77&amp;"!G$22")+INDIRECT(A77&amp;"!G23")+INDIRECT(A77&amp;"!G25"))</f>
        <v>-32591.539999999997</v>
      </c>
      <c r="G77" s="579" cm="1">
        <f t="array" aca="1" ref="G77" ca="1">INDIRECT(A77&amp;"!G24")</f>
        <v>-26950</v>
      </c>
    </row>
    <row r="78" spans="1:7" x14ac:dyDescent="0.35">
      <c r="A78" t="s">
        <v>257</v>
      </c>
      <c r="B78" s="569">
        <f>DATE(Summary!$P$9,11,1)</f>
        <v>45597</v>
      </c>
      <c r="C78" s="578" cm="1">
        <f t="array" aca="1" ref="C78" ca="1">INDIRECT(A78&amp;"!H8")</f>
        <v>246</v>
      </c>
      <c r="D78" s="579" cm="1">
        <f t="array" aca="1" ref="D78" ca="1">INDIRECT(A78&amp;"!H$18")</f>
        <v>268224.40000000002</v>
      </c>
      <c r="E78" s="579" cm="1">
        <f t="array" aca="1" ref="E78" ca="1">INDIRECT(A78&amp;"!H$19")</f>
        <v>125753.06</v>
      </c>
      <c r="F78" s="579" cm="1">
        <f t="array" aca="1" ref="F78" ca="1">IF(INDIRECT(A78&amp;"!H22")="","",INDIRECT(A78&amp;"!H$22")+INDIRECT(A78&amp;"!H23")+INDIRECT(A78&amp;"!H25"))</f>
        <v>-38914.94000000001</v>
      </c>
      <c r="G78" s="579" cm="1">
        <f t="array" aca="1" ref="G78" ca="1">INDIRECT(A78&amp;"!H24")</f>
        <v>-27060</v>
      </c>
    </row>
    <row r="79" spans="1:7" x14ac:dyDescent="0.35">
      <c r="A79" t="s">
        <v>257</v>
      </c>
      <c r="B79" s="569">
        <f>DATE(Summary!$P$9,12,1)</f>
        <v>45627</v>
      </c>
      <c r="C79" s="578" cm="1">
        <f t="array" aca="1" ref="C79" ca="1">INDIRECT(A79&amp;"!I8")</f>
        <v>250</v>
      </c>
      <c r="D79" s="579" cm="1">
        <f t="array" aca="1" ref="D79" ca="1">INDIRECT(A79&amp;"!I$18")</f>
        <v>239219.46</v>
      </c>
      <c r="E79" s="579" cm="1">
        <f t="array" aca="1" ref="E79" ca="1">INDIRECT(A79&amp;"!I$19")</f>
        <v>76049.210000000006</v>
      </c>
      <c r="F79" s="579" cm="1">
        <f t="array" aca="1" ref="F79" ca="1">IF(INDIRECT(A79&amp;"!I22")="","",INDIRECT(A79&amp;"!I$22")+INDIRECT(A79&amp;"!I23")+INDIRECT(A79&amp;"!I25"))</f>
        <v>-63829.039999999994</v>
      </c>
      <c r="G79" s="579" cm="1">
        <f t="array" aca="1" ref="G79" ca="1">INDIRECT(A79&amp;"!I24")</f>
        <v>-27500</v>
      </c>
    </row>
    <row r="80" spans="1:7" x14ac:dyDescent="0.35">
      <c r="A80" t="s">
        <v>257</v>
      </c>
      <c r="B80" s="569">
        <f>DATE(Summary!$P$11,1,1)</f>
        <v>45658</v>
      </c>
      <c r="C80" s="578" cm="1">
        <f t="array" aca="1" ref="C80" ca="1">INDIRECT(A80&amp;"!J8")</f>
        <v>251</v>
      </c>
      <c r="D80" s="579" cm="1">
        <f t="array" aca="1" ref="D80" ca="1">INDIRECT(A80&amp;"!J$18")</f>
        <v>364201.32999999996</v>
      </c>
      <c r="E80" s="579" cm="1">
        <f t="array" aca="1" ref="E80" ca="1">INDIRECT(A80&amp;"!J$19")</f>
        <v>125346.25</v>
      </c>
      <c r="F80" s="579" cm="1">
        <f t="array" aca="1" ref="F80" ca="1">IF(INDIRECT(A80&amp;"!J22")="","",INDIRECT(A80&amp;"!J$22")+INDIRECT(A80&amp;"!J23")+INDIRECT(A80&amp;"!J25"))</f>
        <v>-30757.790000000008</v>
      </c>
      <c r="G80" s="579" cm="1">
        <f t="array" aca="1" ref="G80" ca="1">INDIRECT(A80&amp;"!J24")</f>
        <v>-27610</v>
      </c>
    </row>
    <row r="81" spans="1:7" x14ac:dyDescent="0.35">
      <c r="A81" t="s">
        <v>257</v>
      </c>
      <c r="B81" s="569">
        <f>DATE(Summary!$P$11,2,1)</f>
        <v>45689</v>
      </c>
      <c r="C81" s="578" cm="1">
        <f t="array" aca="1" ref="C81" ca="1">INDIRECT(A81&amp;"!K8")</f>
        <v>251</v>
      </c>
      <c r="D81" s="579" cm="1">
        <f t="array" aca="1" ref="D81" ca="1">INDIRECT(A81&amp;"!K$18")</f>
        <v>302636.57999999996</v>
      </c>
      <c r="E81" s="579" cm="1">
        <f t="array" aca="1" ref="E81" ca="1">INDIRECT(A81&amp;"!K$19")</f>
        <v>92548.52</v>
      </c>
      <c r="F81" s="579" cm="1">
        <f t="array" aca="1" ref="F81" ca="1">IF(INDIRECT(A81&amp;"!K22")="","",INDIRECT(A81&amp;"!K$22")+INDIRECT(A81&amp;"!K23")+INDIRECT(A81&amp;"!K25"))</f>
        <v>-99073.920000000027</v>
      </c>
      <c r="G81" s="579" cm="1">
        <f t="array" aca="1" ref="G81" ca="1">INDIRECT(A81&amp;"!K24")</f>
        <v>-27610</v>
      </c>
    </row>
    <row r="82" spans="1:7" x14ac:dyDescent="0.35">
      <c r="A82" t="s">
        <v>257</v>
      </c>
      <c r="B82" s="569">
        <f>DATE(Summary!$P$11,3,1)</f>
        <v>45717</v>
      </c>
      <c r="C82" s="578" t="str" cm="1">
        <f t="array" aca="1" ref="C82" ca="1">INDIRECT(A82&amp;"!L8")</f>
        <v/>
      </c>
      <c r="D82" s="579" t="str" cm="1">
        <f t="array" aca="1" ref="D82" ca="1">INDIRECT(A82&amp;"!L$18")</f>
        <v/>
      </c>
      <c r="E82" s="579" t="str" cm="1">
        <f t="array" aca="1" ref="E82" ca="1">INDIRECT(A82&amp;"!L$19")</f>
        <v/>
      </c>
      <c r="F82" s="579" t="str" cm="1">
        <f t="array" aca="1" ref="F82" ca="1">IF(INDIRECT(A82&amp;"!L22")="","",INDIRECT(A82&amp;"!L$22")+INDIRECT(A82&amp;"!L23")+INDIRECT(A82&amp;"!L25"))</f>
        <v/>
      </c>
      <c r="G82" s="579" t="str" cm="1">
        <f t="array" aca="1" ref="G82" ca="1">INDIRECT(A82&amp;"!L24")</f>
        <v/>
      </c>
    </row>
    <row r="83" spans="1:7" x14ac:dyDescent="0.35">
      <c r="A83" t="s">
        <v>257</v>
      </c>
      <c r="B83" s="569">
        <f>DATE(Summary!$P$11,4,1)</f>
        <v>45748</v>
      </c>
      <c r="C83" s="578" t="str" cm="1">
        <f t="array" aca="1" ref="C83" ca="1">INDIRECT(A83&amp;"!M8")</f>
        <v/>
      </c>
      <c r="D83" s="579" t="str" cm="1">
        <f t="array" aca="1" ref="D83" ca="1">INDIRECT(A83&amp;"!M$18")</f>
        <v/>
      </c>
      <c r="E83" s="579" t="str" cm="1">
        <f t="array" aca="1" ref="E83" ca="1">INDIRECT(A83&amp;"!M$19")</f>
        <v/>
      </c>
      <c r="F83" s="579" t="str" cm="1">
        <f t="array" aca="1" ref="F83" ca="1">IF(INDIRECT(A83&amp;"!M22")="","",INDIRECT(A83&amp;"!M$22")+INDIRECT(A83&amp;"!M23")+INDIRECT(A83&amp;"!M25"))</f>
        <v/>
      </c>
      <c r="G83" s="579" t="str" cm="1">
        <f t="array" aca="1" ref="G83" ca="1">INDIRECT(A83&amp;"!M24")</f>
        <v/>
      </c>
    </row>
    <row r="84" spans="1:7" x14ac:dyDescent="0.35">
      <c r="A84" t="s">
        <v>257</v>
      </c>
      <c r="B84" s="569">
        <f>DATE(Summary!$P$11,5,1)</f>
        <v>45778</v>
      </c>
      <c r="C84" s="578" t="str" cm="1">
        <f t="array" aca="1" ref="C84" ca="1">INDIRECT(A84&amp;"!N8")</f>
        <v/>
      </c>
      <c r="D84" s="579" t="str" cm="1">
        <f t="array" aca="1" ref="D84" ca="1">INDIRECT(A84&amp;"!N$18")</f>
        <v/>
      </c>
      <c r="E84" s="579" t="str" cm="1">
        <f t="array" aca="1" ref="E84" ca="1">INDIRECT(A84&amp;"!N$19")</f>
        <v/>
      </c>
      <c r="F84" s="579" t="str" cm="1">
        <f t="array" aca="1" ref="F84" ca="1">IF(INDIRECT(A84&amp;"!N22")="","",INDIRECT(A84&amp;"!N$22")+INDIRECT(A84&amp;"!N23")+INDIRECT(A84&amp;"!N25"))</f>
        <v/>
      </c>
      <c r="G84" s="579" t="str" cm="1">
        <f t="array" aca="1" ref="G84" ca="1">INDIRECT(A84&amp;"!N24")</f>
        <v/>
      </c>
    </row>
    <row r="85" spans="1:7" x14ac:dyDescent="0.35">
      <c r="A85" t="s">
        <v>257</v>
      </c>
      <c r="B85" s="569">
        <f>DATE(Summary!$P$11,6,1)</f>
        <v>45809</v>
      </c>
      <c r="C85" s="578" t="str" cm="1">
        <f t="array" aca="1" ref="C85" ca="1">INDIRECT(A85&amp;"!O8")</f>
        <v/>
      </c>
      <c r="D85" s="579" t="str" cm="1">
        <f t="array" aca="1" ref="D85" ca="1">INDIRECT(A85&amp;"!O$18")</f>
        <v/>
      </c>
      <c r="E85" s="579" t="str" cm="1">
        <f t="array" aca="1" ref="E85" ca="1">INDIRECT(A85&amp;"!O$19")</f>
        <v/>
      </c>
      <c r="F85" s="579" t="str" cm="1">
        <f t="array" aca="1" ref="F85" ca="1">IF(INDIRECT(A85&amp;"!O22")="","",INDIRECT(A85&amp;"!O$22")+INDIRECT(A85&amp;"!O23")+INDIRECT(A85&amp;"!O25"))</f>
        <v/>
      </c>
      <c r="G85" s="579" t="str" cm="1">
        <f t="array" aca="1" ref="G85" ca="1">INDIRECT(A85&amp;"!O24")</f>
        <v/>
      </c>
    </row>
    <row r="86" spans="1:7" x14ac:dyDescent="0.35">
      <c r="A86" t="s">
        <v>258</v>
      </c>
      <c r="B86" s="569">
        <f>DATE(Summary!$P$9,7,1)</f>
        <v>45474</v>
      </c>
      <c r="C86" s="578" cm="1">
        <f t="array" aca="1" ref="C86" ca="1">INDIRECT(A86&amp;"!D8")</f>
        <v>200</v>
      </c>
      <c r="D86" s="579" cm="1">
        <f t="array" aca="1" ref="D86" ca="1">INDIRECT(A86&amp;"!D$18")</f>
        <v>141541.88</v>
      </c>
      <c r="E86" s="579" cm="1">
        <f t="array" aca="1" ref="E86" ca="1">INDIRECT(A86&amp;"!D$19")</f>
        <v>88330.62</v>
      </c>
      <c r="F86" s="579" cm="1">
        <f t="array" aca="1" ref="F86" ca="1">IF(INDIRECT(A86&amp;"!D22")="","",INDIRECT(A86&amp;"!D$22")+INDIRECT(A86&amp;"!D23")+INDIRECT(A86&amp;"!D25"))</f>
        <v>1677.38</v>
      </c>
      <c r="G86" s="579" cm="1">
        <f t="array" aca="1" ref="G86" ca="1">INDIRECT(A86&amp;"!D24")</f>
        <v>-48504.88</v>
      </c>
    </row>
    <row r="87" spans="1:7" x14ac:dyDescent="0.35">
      <c r="A87" t="s">
        <v>258</v>
      </c>
      <c r="B87" s="569">
        <f>DATE(Summary!$P$9,8,1)</f>
        <v>45505</v>
      </c>
      <c r="C87" s="578" cm="1">
        <f t="array" aca="1" ref="C87" ca="1">INDIRECT(A87&amp;"!E8")</f>
        <v>201</v>
      </c>
      <c r="D87" s="579" cm="1">
        <f t="array" aca="1" ref="D87" ca="1">INDIRECT(A87&amp;"!E$18")</f>
        <v>214312.55</v>
      </c>
      <c r="E87" s="579" cm="1">
        <f t="array" aca="1" ref="E87" ca="1">INDIRECT(A87&amp;"!E$19")</f>
        <v>116396</v>
      </c>
      <c r="F87" s="579" cm="1">
        <f t="array" aca="1" ref="F87" ca="1">IF(INDIRECT(A87&amp;"!E22")="","",INDIRECT(A87&amp;"!E$22")+INDIRECT(A87&amp;"!E23")+INDIRECT(A87&amp;"!E25"))</f>
        <v>4562.6000000000004</v>
      </c>
      <c r="G87" s="579" cm="1">
        <f t="array" aca="1" ref="G87" ca="1">INDIRECT(A87&amp;"!E24")</f>
        <v>0</v>
      </c>
    </row>
    <row r="88" spans="1:7" x14ac:dyDescent="0.35">
      <c r="A88" t="s">
        <v>258</v>
      </c>
      <c r="B88" s="569">
        <f>DATE(Summary!$P$9,9,1)</f>
        <v>45536</v>
      </c>
      <c r="C88" s="578" cm="1">
        <f t="array" aca="1" ref="C88" ca="1">INDIRECT(A88&amp;"!F8")</f>
        <v>202</v>
      </c>
      <c r="D88" s="579" cm="1">
        <f t="array" aca="1" ref="D88" ca="1">INDIRECT(A88&amp;"!F$18")</f>
        <v>124442.12</v>
      </c>
      <c r="E88" s="579" cm="1">
        <f t="array" aca="1" ref="E88" ca="1">INDIRECT(A88&amp;"!F$19")</f>
        <v>90836.73</v>
      </c>
      <c r="F88" s="579" cm="1">
        <f t="array" aca="1" ref="F88" ca="1">IF(INDIRECT(A88&amp;"!F22")="","",INDIRECT(A88&amp;"!F$22")+INDIRECT(A88&amp;"!F23")+INDIRECT(A88&amp;"!F25"))</f>
        <v>1483.09</v>
      </c>
      <c r="G88" s="579" cm="1">
        <f t="array" aca="1" ref="G88" ca="1">INDIRECT(A88&amp;"!F24")</f>
        <v>0</v>
      </c>
    </row>
    <row r="89" spans="1:7" x14ac:dyDescent="0.35">
      <c r="A89" t="s">
        <v>258</v>
      </c>
      <c r="B89" s="569">
        <f>DATE(Summary!$P$9,10,1)</f>
        <v>45566</v>
      </c>
      <c r="C89" s="578" cm="1">
        <f t="array" aca="1" ref="C89" ca="1">INDIRECT(A89&amp;"!G8")</f>
        <v>199</v>
      </c>
      <c r="D89" s="579" cm="1">
        <f t="array" aca="1" ref="D89" ca="1">INDIRECT(A89&amp;"!G$18")</f>
        <v>130214.56</v>
      </c>
      <c r="E89" s="579" cm="1">
        <f t="array" aca="1" ref="E89" ca="1">INDIRECT(A89&amp;"!G$19")</f>
        <v>99874.97</v>
      </c>
      <c r="F89" s="579" cm="1">
        <f t="array" aca="1" ref="F89" ca="1">IF(INDIRECT(A89&amp;"!G22")="","",INDIRECT(A89&amp;"!G$22")+INDIRECT(A89&amp;"!G23")+INDIRECT(A89&amp;"!G25"))</f>
        <v>2060.8200000000002</v>
      </c>
      <c r="G89" s="579" cm="1">
        <f t="array" aca="1" ref="G89" ca="1">INDIRECT(A89&amp;"!G24")</f>
        <v>-80888.88</v>
      </c>
    </row>
    <row r="90" spans="1:7" x14ac:dyDescent="0.35">
      <c r="A90" t="s">
        <v>258</v>
      </c>
      <c r="B90" s="569">
        <f>DATE(Summary!$P$9,11,1)</f>
        <v>45597</v>
      </c>
      <c r="C90" s="578" cm="1">
        <f t="array" aca="1" ref="C90" ca="1">INDIRECT(A90&amp;"!H8")</f>
        <v>196</v>
      </c>
      <c r="D90" s="579" cm="1">
        <f t="array" aca="1" ref="D90" ca="1">INDIRECT(A90&amp;"!H$18")</f>
        <v>236967.56999999998</v>
      </c>
      <c r="E90" s="579" cm="1">
        <f t="array" aca="1" ref="E90" ca="1">INDIRECT(A90&amp;"!H$19")</f>
        <v>100744.84</v>
      </c>
      <c r="F90" s="579" cm="1">
        <f t="array" aca="1" ref="F90" ca="1">IF(INDIRECT(A90&amp;"!H22")="","",INDIRECT(A90&amp;"!H$22")+INDIRECT(A90&amp;"!H23")+INDIRECT(A90&amp;"!H25"))</f>
        <v>-8780.4900000000016</v>
      </c>
      <c r="G90" s="579" cm="1">
        <f t="array" aca="1" ref="G90" ca="1">INDIRECT(A90&amp;"!H24")</f>
        <v>0</v>
      </c>
    </row>
    <row r="91" spans="1:7" x14ac:dyDescent="0.35">
      <c r="A91" t="s">
        <v>258</v>
      </c>
      <c r="B91" s="569">
        <f>DATE(Summary!$P$9,12,1)</f>
        <v>45627</v>
      </c>
      <c r="C91" s="578" cm="1">
        <f t="array" aca="1" ref="C91" ca="1">INDIRECT(A91&amp;"!I8")</f>
        <v>196</v>
      </c>
      <c r="D91" s="579" cm="1">
        <f t="array" aca="1" ref="D91" ca="1">INDIRECT(A91&amp;"!I$18")</f>
        <v>291588.94</v>
      </c>
      <c r="E91" s="579" cm="1">
        <f t="array" aca="1" ref="E91" ca="1">INDIRECT(A91&amp;"!I$19")</f>
        <v>106964.44</v>
      </c>
      <c r="F91" s="579" cm="1">
        <f t="array" aca="1" ref="F91" ca="1">IF(INDIRECT(A91&amp;"!I22")="","",INDIRECT(A91&amp;"!I$22")+INDIRECT(A91&amp;"!I23")+INDIRECT(A91&amp;"!I25"))</f>
        <v>-68699.3</v>
      </c>
      <c r="G91" s="579" cm="1">
        <f t="array" aca="1" ref="G91" ca="1">INDIRECT(A91&amp;"!I24")</f>
        <v>-85838.45</v>
      </c>
    </row>
    <row r="92" spans="1:7" x14ac:dyDescent="0.35">
      <c r="A92" t="s">
        <v>258</v>
      </c>
      <c r="B92" s="569">
        <f>DATE(Summary!$P$11,1,1)</f>
        <v>45658</v>
      </c>
      <c r="C92" s="578" cm="1">
        <f t="array" aca="1" ref="C92" ca="1">INDIRECT(A92&amp;"!J8")</f>
        <v>194</v>
      </c>
      <c r="D92" s="579" cm="1">
        <f t="array" aca="1" ref="D92" ca="1">INDIRECT(A92&amp;"!J$18")</f>
        <v>222663.13999999998</v>
      </c>
      <c r="E92" s="579" cm="1">
        <f t="array" aca="1" ref="E92" ca="1">INDIRECT(A92&amp;"!J$19")</f>
        <v>80401.73</v>
      </c>
      <c r="F92" s="579" cm="1">
        <f t="array" aca="1" ref="F92" ca="1">IF(INDIRECT(A92&amp;"!J22")="","",INDIRECT(A92&amp;"!J$22")+INDIRECT(A92&amp;"!J23")+INDIRECT(A92&amp;"!J25"))</f>
        <v>-25631.919999999991</v>
      </c>
      <c r="G92" s="579" cm="1">
        <f t="array" aca="1" ref="G92" ca="1">INDIRECT(A92&amp;"!J24")</f>
        <v>0</v>
      </c>
    </row>
    <row r="93" spans="1:7" x14ac:dyDescent="0.35">
      <c r="A93" t="s">
        <v>258</v>
      </c>
      <c r="B93" s="569">
        <f>DATE(Summary!$P$11,2,1)</f>
        <v>45689</v>
      </c>
      <c r="C93" s="578" cm="1">
        <f t="array" aca="1" ref="C93" ca="1">INDIRECT(A93&amp;"!K8")</f>
        <v>193</v>
      </c>
      <c r="D93" s="579" cm="1">
        <f t="array" aca="1" ref="D93" ca="1">INDIRECT(A93&amp;"!K$18")</f>
        <v>148657.56</v>
      </c>
      <c r="E93" s="579" cm="1">
        <f t="array" aca="1" ref="E93" ca="1">INDIRECT(A93&amp;"!K$19")</f>
        <v>94633.19</v>
      </c>
      <c r="F93" s="579" cm="1">
        <f t="array" aca="1" ref="F93" ca="1">IF(INDIRECT(A93&amp;"!K22")="","",INDIRECT(A93&amp;"!K$22")+INDIRECT(A93&amp;"!K23")+INDIRECT(A93&amp;"!K25"))</f>
        <v>-29610.630000000005</v>
      </c>
      <c r="G93" s="579" cm="1">
        <f t="array" aca="1" ref="G93" ca="1">INDIRECT(A93&amp;"!K24")</f>
        <v>0</v>
      </c>
    </row>
    <row r="94" spans="1:7" x14ac:dyDescent="0.35">
      <c r="A94" t="s">
        <v>258</v>
      </c>
      <c r="B94" s="569">
        <f>DATE(Summary!$P$11,3,1)</f>
        <v>45717</v>
      </c>
      <c r="C94" s="578" t="str" cm="1">
        <f t="array" aca="1" ref="C94" ca="1">INDIRECT(A94&amp;"!L8")</f>
        <v/>
      </c>
      <c r="D94" s="579" t="str" cm="1">
        <f t="array" aca="1" ref="D94" ca="1">INDIRECT(A94&amp;"!L$18")</f>
        <v/>
      </c>
      <c r="E94" s="579" t="str" cm="1">
        <f t="array" aca="1" ref="E94" ca="1">INDIRECT(A94&amp;"!L$19")</f>
        <v/>
      </c>
      <c r="F94" s="579" t="str" cm="1">
        <f t="array" aca="1" ref="F94" ca="1">IF(INDIRECT(A94&amp;"!L22")="","",INDIRECT(A94&amp;"!L$22")+INDIRECT(A94&amp;"!L23")+INDIRECT(A94&amp;"!L25"))</f>
        <v/>
      </c>
      <c r="G94" s="579" t="str" cm="1">
        <f t="array" aca="1" ref="G94" ca="1">INDIRECT(A94&amp;"!L24")</f>
        <v/>
      </c>
    </row>
    <row r="95" spans="1:7" x14ac:dyDescent="0.35">
      <c r="A95" t="s">
        <v>258</v>
      </c>
      <c r="B95" s="569">
        <f>DATE(Summary!$P$11,4,1)</f>
        <v>45748</v>
      </c>
      <c r="C95" s="578" t="str" cm="1">
        <f t="array" aca="1" ref="C95" ca="1">INDIRECT(A95&amp;"!M8")</f>
        <v/>
      </c>
      <c r="D95" s="579" t="str" cm="1">
        <f t="array" aca="1" ref="D95" ca="1">INDIRECT(A95&amp;"!M$18")</f>
        <v/>
      </c>
      <c r="E95" s="579" t="str" cm="1">
        <f t="array" aca="1" ref="E95" ca="1">INDIRECT(A95&amp;"!M$19")</f>
        <v/>
      </c>
      <c r="F95" s="579" t="str" cm="1">
        <f t="array" aca="1" ref="F95" ca="1">IF(INDIRECT(A95&amp;"!M22")="","",INDIRECT(A95&amp;"!M$22")+INDIRECT(A95&amp;"!M23")+INDIRECT(A95&amp;"!M25"))</f>
        <v/>
      </c>
      <c r="G95" s="579" t="str" cm="1">
        <f t="array" aca="1" ref="G95" ca="1">INDIRECT(A95&amp;"!M24")</f>
        <v/>
      </c>
    </row>
    <row r="96" spans="1:7" x14ac:dyDescent="0.35">
      <c r="A96" t="s">
        <v>258</v>
      </c>
      <c r="B96" s="569">
        <f>DATE(Summary!$P$11,5,1)</f>
        <v>45778</v>
      </c>
      <c r="C96" s="578" t="str" cm="1">
        <f t="array" aca="1" ref="C96" ca="1">INDIRECT(A96&amp;"!N8")</f>
        <v/>
      </c>
      <c r="D96" s="579" t="str" cm="1">
        <f t="array" aca="1" ref="D96" ca="1">INDIRECT(A96&amp;"!N$18")</f>
        <v/>
      </c>
      <c r="E96" s="579" t="str" cm="1">
        <f t="array" aca="1" ref="E96" ca="1">INDIRECT(A96&amp;"!N$19")</f>
        <v/>
      </c>
      <c r="F96" s="579" t="str" cm="1">
        <f t="array" aca="1" ref="F96" ca="1">IF(INDIRECT(A96&amp;"!N22")="","",INDIRECT(A96&amp;"!N$22")+INDIRECT(A96&amp;"!N23")+INDIRECT(A96&amp;"!N25"))</f>
        <v/>
      </c>
      <c r="G96" s="579" t="str" cm="1">
        <f t="array" aca="1" ref="G96" ca="1">INDIRECT(A96&amp;"!N24")</f>
        <v/>
      </c>
    </row>
    <row r="97" spans="1:7" x14ac:dyDescent="0.35">
      <c r="A97" t="s">
        <v>258</v>
      </c>
      <c r="B97" s="569">
        <f>DATE(Summary!$P$11,6,1)</f>
        <v>45809</v>
      </c>
      <c r="C97" s="578" t="str" cm="1">
        <f t="array" aca="1" ref="C97" ca="1">INDIRECT(A97&amp;"!O8")</f>
        <v/>
      </c>
      <c r="D97" s="579" t="str" cm="1">
        <f t="array" aca="1" ref="D97" ca="1">INDIRECT(A97&amp;"!O$18")</f>
        <v/>
      </c>
      <c r="E97" s="579" t="str" cm="1">
        <f t="array" aca="1" ref="E97" ca="1">INDIRECT(A97&amp;"!O$19")</f>
        <v/>
      </c>
      <c r="F97" s="579" t="str" cm="1">
        <f t="array" aca="1" ref="F97" ca="1">IF(INDIRECT(A97&amp;"!O22")="","",INDIRECT(A97&amp;"!O$22")+INDIRECT(A97&amp;"!O23")+INDIRECT(A97&amp;"!O25"))</f>
        <v/>
      </c>
      <c r="G97" s="579" t="str" cm="1">
        <f t="array" aca="1" ref="G97" ca="1">INDIRECT(A97&amp;"!O24")</f>
        <v/>
      </c>
    </row>
    <row r="98" spans="1:7" x14ac:dyDescent="0.35">
      <c r="A98" t="s">
        <v>265</v>
      </c>
      <c r="B98" s="569">
        <f>DATE(Summary!$P$9,7,1)</f>
        <v>45474</v>
      </c>
      <c r="C98" s="578" cm="1">
        <f t="array" aca="1" ref="C98" ca="1">INDIRECT(A98&amp;"!D8")</f>
        <v>214</v>
      </c>
      <c r="D98" s="579" cm="1">
        <f t="array" aca="1" ref="D98" ca="1">INDIRECT(A98&amp;"!D$18")</f>
        <v>279670.5</v>
      </c>
      <c r="E98" s="579" cm="1">
        <f t="array" aca="1" ref="E98" ca="1">INDIRECT(A98&amp;"!D$19")</f>
        <v>163205.51999999999</v>
      </c>
      <c r="F98" s="579" cm="1">
        <f t="array" aca="1" ref="F98" ca="1">IF(INDIRECT(A98&amp;"!D22")="","",INDIRECT(A98&amp;"!D$22")+INDIRECT(A98&amp;"!D23")+INDIRECT(A98&amp;"!D25"))</f>
        <v>-32375.819999999992</v>
      </c>
      <c r="G98" s="579" cm="1">
        <f t="array" aca="1" ref="G98" ca="1">INDIRECT(A98&amp;"!D24")</f>
        <v>-160641.13</v>
      </c>
    </row>
    <row r="99" spans="1:7" x14ac:dyDescent="0.35">
      <c r="A99" t="s">
        <v>265</v>
      </c>
      <c r="B99" s="569">
        <f>DATE(Summary!$P$9,8,1)</f>
        <v>45505</v>
      </c>
      <c r="C99" s="578" cm="1">
        <f t="array" aca="1" ref="C99" ca="1">INDIRECT(A99&amp;"!E8")</f>
        <v>220</v>
      </c>
      <c r="D99" s="579" cm="1">
        <f t="array" aca="1" ref="D99" ca="1">INDIRECT(A99&amp;"!E$18")</f>
        <v>356480.85000000003</v>
      </c>
      <c r="E99" s="579" cm="1">
        <f t="array" aca="1" ref="E99" ca="1">INDIRECT(A99&amp;"!E$19")</f>
        <v>150221.09</v>
      </c>
      <c r="F99" s="579" cm="1">
        <f t="array" aca="1" ref="F99" ca="1">IF(INDIRECT(A99&amp;"!E22")="","",INDIRECT(A99&amp;"!E$22")+INDIRECT(A99&amp;"!E23")+INDIRECT(A99&amp;"!E25"))</f>
        <v>-20592.570000000003</v>
      </c>
      <c r="G99" s="579" cm="1">
        <f t="array" aca="1" ref="G99" ca="1">INDIRECT(A99&amp;"!E24")</f>
        <v>0</v>
      </c>
    </row>
    <row r="100" spans="1:7" x14ac:dyDescent="0.35">
      <c r="A100" t="s">
        <v>265</v>
      </c>
      <c r="B100" s="569">
        <f>DATE(Summary!$P$9,9,1)</f>
        <v>45536</v>
      </c>
      <c r="C100" s="578" cm="1">
        <f t="array" aca="1" ref="C100" ca="1">INDIRECT(A100&amp;"!F8")</f>
        <v>223</v>
      </c>
      <c r="D100" s="579" cm="1">
        <f t="array" aca="1" ref="D100" ca="1">INDIRECT(A100&amp;"!F$18")</f>
        <v>355929.32999999996</v>
      </c>
      <c r="E100" s="579" cm="1">
        <f t="array" aca="1" ref="E100" ca="1">INDIRECT(A100&amp;"!F$19")</f>
        <v>191281</v>
      </c>
      <c r="F100" s="579" cm="1">
        <f t="array" aca="1" ref="F100" ca="1">IF(INDIRECT(A100&amp;"!F22")="","",INDIRECT(A100&amp;"!F$22")+INDIRECT(A100&amp;"!F23")+INDIRECT(A100&amp;"!F25"))</f>
        <v>-45678.630000000005</v>
      </c>
      <c r="G100" s="579" cm="1">
        <f t="array" aca="1" ref="G100" ca="1">INDIRECT(A100&amp;"!F24")</f>
        <v>0</v>
      </c>
    </row>
    <row r="101" spans="1:7" x14ac:dyDescent="0.35">
      <c r="A101" t="s">
        <v>265</v>
      </c>
      <c r="B101" s="569">
        <f>DATE(Summary!$P$9,10,1)</f>
        <v>45566</v>
      </c>
      <c r="C101" s="578" cm="1">
        <f t="array" aca="1" ref="C101" ca="1">INDIRECT(A101&amp;"!G8")</f>
        <v>218</v>
      </c>
      <c r="D101" s="579" cm="1">
        <f t="array" aca="1" ref="D101" ca="1">INDIRECT(A101&amp;"!G$18")</f>
        <v>365733.64</v>
      </c>
      <c r="E101" s="579" cm="1">
        <f t="array" aca="1" ref="E101" ca="1">INDIRECT(A101&amp;"!G$19")</f>
        <v>172223.78</v>
      </c>
      <c r="F101" s="579" cm="1">
        <f t="array" aca="1" ref="F101" ca="1">IF(INDIRECT(A101&amp;"!G22")="","",INDIRECT(A101&amp;"!G$22")+INDIRECT(A101&amp;"!G23")+INDIRECT(A101&amp;"!G25"))</f>
        <v>-186490.24999999997</v>
      </c>
      <c r="G101" s="579" cm="1">
        <f t="array" aca="1" ref="G101" ca="1">INDIRECT(A101&amp;"!G24")</f>
        <v>-141795.38</v>
      </c>
    </row>
    <row r="102" spans="1:7" x14ac:dyDescent="0.35">
      <c r="A102" t="s">
        <v>265</v>
      </c>
      <c r="B102" s="569">
        <f>DATE(Summary!$P$9,11,1)</f>
        <v>45597</v>
      </c>
      <c r="C102" s="578" cm="1">
        <f t="array" aca="1" ref="C102" ca="1">INDIRECT(A102&amp;"!H8")</f>
        <v>218</v>
      </c>
      <c r="D102" s="579" cm="1">
        <f t="array" aca="1" ref="D102" ca="1">INDIRECT(A102&amp;"!H$18")</f>
        <v>398042.94999999995</v>
      </c>
      <c r="E102" s="579" cm="1">
        <f t="array" aca="1" ref="E102" ca="1">INDIRECT(A102&amp;"!H$19")</f>
        <v>167931.54</v>
      </c>
      <c r="F102" s="579" cm="1">
        <f t="array" aca="1" ref="F102" ca="1">IF(INDIRECT(A102&amp;"!H22")="","",INDIRECT(A102&amp;"!H$22")+INDIRECT(A102&amp;"!H23")+INDIRECT(A102&amp;"!H25"))</f>
        <v>-144757.15999999997</v>
      </c>
      <c r="G102" s="579" cm="1">
        <f t="array" aca="1" ref="G102" ca="1">INDIRECT(A102&amp;"!H24")</f>
        <v>0</v>
      </c>
    </row>
    <row r="103" spans="1:7" x14ac:dyDescent="0.35">
      <c r="A103" t="s">
        <v>265</v>
      </c>
      <c r="B103" s="569">
        <f>DATE(Summary!$P$9,12,1)</f>
        <v>45627</v>
      </c>
      <c r="C103" s="578" cm="1">
        <f t="array" aca="1" ref="C103" ca="1">INDIRECT(A103&amp;"!I8")</f>
        <v>220</v>
      </c>
      <c r="D103" s="579" cm="1">
        <f t="array" aca="1" ref="D103" ca="1">INDIRECT(A103&amp;"!I$18")</f>
        <v>318957.60000000003</v>
      </c>
      <c r="E103" s="579" cm="1">
        <f t="array" aca="1" ref="E103" ca="1">INDIRECT(A103&amp;"!I$19")</f>
        <v>191387.19</v>
      </c>
      <c r="F103" s="579" cm="1">
        <f t="array" aca="1" ref="F103" ca="1">IF(INDIRECT(A103&amp;"!I22")="","",INDIRECT(A103&amp;"!I$22")+INDIRECT(A103&amp;"!I23")+INDIRECT(A103&amp;"!I25"))</f>
        <v>-180376.57000000004</v>
      </c>
      <c r="G103" s="579" cm="1">
        <f t="array" aca="1" ref="G103" ca="1">INDIRECT(A103&amp;"!I24")</f>
        <v>-184109.38</v>
      </c>
    </row>
    <row r="104" spans="1:7" x14ac:dyDescent="0.35">
      <c r="A104" t="s">
        <v>265</v>
      </c>
      <c r="B104" s="569">
        <f>DATE(Summary!$P$11,1,1)</f>
        <v>45658</v>
      </c>
      <c r="C104" s="578" cm="1">
        <f t="array" aca="1" ref="C104" ca="1">INDIRECT(A104&amp;"!J8")</f>
        <v>222</v>
      </c>
      <c r="D104" s="579" cm="1">
        <f t="array" aca="1" ref="D104" ca="1">INDIRECT(A104&amp;"!J$18")</f>
        <v>395354.59</v>
      </c>
      <c r="E104" s="579" cm="1">
        <f t="array" aca="1" ref="E104" ca="1">INDIRECT(A104&amp;"!J$19")</f>
        <v>187314.02</v>
      </c>
      <c r="F104" s="579" cm="1">
        <f t="array" aca="1" ref="F104" ca="1">IF(INDIRECT(A104&amp;"!J22")="","",INDIRECT(A104&amp;"!J$22")+INDIRECT(A104&amp;"!J23")+INDIRECT(A104&amp;"!J25"))</f>
        <v>-46150.409999999974</v>
      </c>
      <c r="G104" s="579" cm="1">
        <f t="array" aca="1" ref="G104" ca="1">INDIRECT(A104&amp;"!J24")</f>
        <v>0</v>
      </c>
    </row>
    <row r="105" spans="1:7" x14ac:dyDescent="0.35">
      <c r="A105" t="s">
        <v>265</v>
      </c>
      <c r="B105" s="569">
        <f>DATE(Summary!$P$11,2,1)</f>
        <v>45689</v>
      </c>
      <c r="C105" s="578" cm="1">
        <f t="array" aca="1" ref="C105" ca="1">INDIRECT(A105&amp;"!K8")</f>
        <v>222</v>
      </c>
      <c r="D105" s="579" cm="1">
        <f t="array" aca="1" ref="D105" ca="1">INDIRECT(A105&amp;"!K$18")</f>
        <v>369733.13</v>
      </c>
      <c r="E105" s="579" cm="1">
        <f t="array" aca="1" ref="E105" ca="1">INDIRECT(A105&amp;"!K$19")</f>
        <v>240118.78</v>
      </c>
      <c r="F105" s="579" cm="1">
        <f t="array" aca="1" ref="F105" ca="1">IF(INDIRECT(A105&amp;"!K22")="","",INDIRECT(A105&amp;"!K$22")+INDIRECT(A105&amp;"!K23")+INDIRECT(A105&amp;"!K25"))</f>
        <v>-217886.03</v>
      </c>
      <c r="G105" s="579" cm="1">
        <f t="array" aca="1" ref="G105" ca="1">INDIRECT(A105&amp;"!K24")</f>
        <v>0</v>
      </c>
    </row>
    <row r="106" spans="1:7" x14ac:dyDescent="0.35">
      <c r="A106" t="s">
        <v>265</v>
      </c>
      <c r="B106" s="569">
        <f>DATE(Summary!$P$11,3,1)</f>
        <v>45717</v>
      </c>
      <c r="C106" s="578" t="str" cm="1">
        <f t="array" aca="1" ref="C106" ca="1">INDIRECT(A106&amp;"!L8")</f>
        <v/>
      </c>
      <c r="D106" s="579" t="str" cm="1">
        <f t="array" aca="1" ref="D106" ca="1">INDIRECT(A106&amp;"!L$18")</f>
        <v/>
      </c>
      <c r="E106" s="579" t="str" cm="1">
        <f t="array" aca="1" ref="E106" ca="1">INDIRECT(A106&amp;"!L$19")</f>
        <v/>
      </c>
      <c r="F106" s="579" t="str" cm="1">
        <f t="array" aca="1" ref="F106" ca="1">IF(INDIRECT(A106&amp;"!L22")="","",INDIRECT(A106&amp;"!L$22")+INDIRECT(A106&amp;"!L23")+INDIRECT(A106&amp;"!L25"))</f>
        <v/>
      </c>
      <c r="G106" s="579" t="str" cm="1">
        <f t="array" aca="1" ref="G106" ca="1">INDIRECT(A106&amp;"!L24")</f>
        <v/>
      </c>
    </row>
    <row r="107" spans="1:7" x14ac:dyDescent="0.35">
      <c r="A107" t="s">
        <v>265</v>
      </c>
      <c r="B107" s="569">
        <f>DATE(Summary!$P$11,4,1)</f>
        <v>45748</v>
      </c>
      <c r="C107" s="578" t="str" cm="1">
        <f t="array" aca="1" ref="C107" ca="1">INDIRECT(A107&amp;"!M8")</f>
        <v/>
      </c>
      <c r="D107" s="579" t="str" cm="1">
        <f t="array" aca="1" ref="D107" ca="1">INDIRECT(A107&amp;"!M$18")</f>
        <v/>
      </c>
      <c r="E107" s="579" t="str" cm="1">
        <f t="array" aca="1" ref="E107" ca="1">INDIRECT(A107&amp;"!M$19")</f>
        <v/>
      </c>
      <c r="F107" s="579" t="str" cm="1">
        <f t="array" aca="1" ref="F107" ca="1">IF(INDIRECT(A107&amp;"!M22")="","",INDIRECT(A107&amp;"!M$22")+INDIRECT(A107&amp;"!M23")+INDIRECT(A107&amp;"!M25"))</f>
        <v/>
      </c>
      <c r="G107" s="579" t="str" cm="1">
        <f t="array" aca="1" ref="G107" ca="1">INDIRECT(A107&amp;"!M24")</f>
        <v/>
      </c>
    </row>
    <row r="108" spans="1:7" x14ac:dyDescent="0.35">
      <c r="A108" t="s">
        <v>265</v>
      </c>
      <c r="B108" s="569">
        <f>DATE(Summary!$P$11,5,1)</f>
        <v>45778</v>
      </c>
      <c r="C108" s="578" t="str" cm="1">
        <f t="array" aca="1" ref="C108" ca="1">INDIRECT(A108&amp;"!N8")</f>
        <v/>
      </c>
      <c r="D108" s="579" t="str" cm="1">
        <f t="array" aca="1" ref="D108" ca="1">INDIRECT(A108&amp;"!N$18")</f>
        <v/>
      </c>
      <c r="E108" s="579" t="str" cm="1">
        <f t="array" aca="1" ref="E108" ca="1">INDIRECT(A108&amp;"!N$19")</f>
        <v/>
      </c>
      <c r="F108" s="579" t="str" cm="1">
        <f t="array" aca="1" ref="F108" ca="1">IF(INDIRECT(A108&amp;"!N22")="","",INDIRECT(A108&amp;"!N$22")+INDIRECT(A108&amp;"!N23")+INDIRECT(A108&amp;"!N25"))</f>
        <v/>
      </c>
      <c r="G108" s="579" t="str" cm="1">
        <f t="array" aca="1" ref="G108" ca="1">INDIRECT(A108&amp;"!N24")</f>
        <v/>
      </c>
    </row>
    <row r="109" spans="1:7" x14ac:dyDescent="0.35">
      <c r="A109" t="s">
        <v>265</v>
      </c>
      <c r="B109" s="569">
        <f>DATE(Summary!$P$11,6,1)</f>
        <v>45809</v>
      </c>
      <c r="C109" s="578" t="str" cm="1">
        <f t="array" aca="1" ref="C109" ca="1">INDIRECT(A109&amp;"!O8")</f>
        <v/>
      </c>
      <c r="D109" s="579" t="str" cm="1">
        <f t="array" aca="1" ref="D109" ca="1">INDIRECT(A109&amp;"!O$18")</f>
        <v/>
      </c>
      <c r="E109" s="579" t="str" cm="1">
        <f t="array" aca="1" ref="E109" ca="1">INDIRECT(A109&amp;"!O$19")</f>
        <v/>
      </c>
      <c r="F109" s="579" t="str" cm="1">
        <f t="array" aca="1" ref="F109" ca="1">IF(INDIRECT(A109&amp;"!O22")="","",INDIRECT(A109&amp;"!O$22")+INDIRECT(A109&amp;"!O23")+INDIRECT(A109&amp;"!O25"))</f>
        <v/>
      </c>
      <c r="G109" s="579" t="str" cm="1">
        <f t="array" aca="1" ref="G109" ca="1">INDIRECT(A109&amp;"!O24")</f>
        <v/>
      </c>
    </row>
    <row r="110" spans="1:7" x14ac:dyDescent="0.35">
      <c r="A110" t="s">
        <v>248</v>
      </c>
      <c r="B110" s="569">
        <f>DATE(Summary!$P$9,7,1)</f>
        <v>45474</v>
      </c>
      <c r="C110" s="578" cm="1">
        <f t="array" aca="1" ref="C110" ca="1">INDIRECT(A110&amp;"!D8")</f>
        <v>153</v>
      </c>
      <c r="D110" s="579" cm="1">
        <f t="array" aca="1" ref="D110" ca="1">INDIRECT(A110&amp;"!D$18")</f>
        <v>201794.24000000002</v>
      </c>
      <c r="E110" s="579" cm="1">
        <f t="array" aca="1" ref="E110" ca="1">INDIRECT(A110&amp;"!D$19")</f>
        <v>64100.38</v>
      </c>
      <c r="F110" s="579" cm="1">
        <f t="array" aca="1" ref="F110" ca="1">IF(INDIRECT(A110&amp;"!D22")="","",INDIRECT(A110&amp;"!D$22")+INDIRECT(A110&amp;"!D23")+INDIRECT(A110&amp;"!D25"))</f>
        <v>1011.17</v>
      </c>
      <c r="G110" s="579" cm="1">
        <f t="array" aca="1" ref="G110" ca="1">INDIRECT(A110&amp;"!D24")</f>
        <v>-11000</v>
      </c>
    </row>
    <row r="111" spans="1:7" x14ac:dyDescent="0.35">
      <c r="A111" t="s">
        <v>248</v>
      </c>
      <c r="B111" s="569">
        <f>DATE(Summary!$P$9,8,1)</f>
        <v>45505</v>
      </c>
      <c r="C111" s="578" cm="1">
        <f t="array" aca="1" ref="C111" ca="1">INDIRECT(A111&amp;"!E8")</f>
        <v>152</v>
      </c>
      <c r="D111" s="579" cm="1">
        <f t="array" aca="1" ref="D111" ca="1">INDIRECT(A111&amp;"!E$18")</f>
        <v>131277.45000000001</v>
      </c>
      <c r="E111" s="579" cm="1">
        <f t="array" aca="1" ref="E111" ca="1">INDIRECT(A111&amp;"!E$19")</f>
        <v>96787.13</v>
      </c>
      <c r="F111" s="579" cm="1">
        <f t="array" aca="1" ref="F111" ca="1">IF(INDIRECT(A111&amp;"!E22")="","",INDIRECT(A111&amp;"!E$22")+INDIRECT(A111&amp;"!E23")+INDIRECT(A111&amp;"!E25"))</f>
        <v>-31178.479999999996</v>
      </c>
      <c r="G111" s="579" cm="1">
        <f t="array" aca="1" ref="G111" ca="1">INDIRECT(A111&amp;"!E24")</f>
        <v>-11330</v>
      </c>
    </row>
    <row r="112" spans="1:7" x14ac:dyDescent="0.35">
      <c r="A112" t="s">
        <v>248</v>
      </c>
      <c r="B112" s="569">
        <f>DATE(Summary!$P$9,9,1)</f>
        <v>45536</v>
      </c>
      <c r="C112" s="578" cm="1">
        <f t="array" aca="1" ref="C112" ca="1">INDIRECT(A112&amp;"!F8")</f>
        <v>157</v>
      </c>
      <c r="D112" s="579" cm="1">
        <f t="array" aca="1" ref="D112" ca="1">INDIRECT(A112&amp;"!F$18")</f>
        <v>137951.24</v>
      </c>
      <c r="E112" s="579" cm="1">
        <f t="array" aca="1" ref="E112" ca="1">INDIRECT(A112&amp;"!F$19")</f>
        <v>55808.36</v>
      </c>
      <c r="F112" s="579" cm="1">
        <f t="array" aca="1" ref="F112" ca="1">IF(INDIRECT(A112&amp;"!F22")="","",INDIRECT(A112&amp;"!F$22")+INDIRECT(A112&amp;"!F23")+INDIRECT(A112&amp;"!F25"))</f>
        <v>-16070.320000000003</v>
      </c>
      <c r="G112" s="579" cm="1">
        <f t="array" aca="1" ref="G112" ca="1">INDIRECT(A112&amp;"!F24")</f>
        <v>-11550</v>
      </c>
    </row>
    <row r="113" spans="1:7" x14ac:dyDescent="0.35">
      <c r="A113" t="s">
        <v>248</v>
      </c>
      <c r="B113" s="569">
        <f>DATE(Summary!$P$9,10,1)</f>
        <v>45566</v>
      </c>
      <c r="C113" s="578" cm="1">
        <f t="array" aca="1" ref="C113" ca="1">INDIRECT(A113&amp;"!G8")</f>
        <v>156</v>
      </c>
      <c r="D113" s="579" cm="1">
        <f t="array" aca="1" ref="D113" ca="1">INDIRECT(A113&amp;"!G$18")</f>
        <v>187123.6</v>
      </c>
      <c r="E113" s="579" cm="1">
        <f t="array" aca="1" ref="E113" ca="1">INDIRECT(A113&amp;"!G$19")</f>
        <v>67334.33</v>
      </c>
      <c r="F113" s="579" cm="1">
        <f t="array" aca="1" ref="F113" ca="1">IF(INDIRECT(A113&amp;"!G22")="","",INDIRECT(A113&amp;"!G$22")+INDIRECT(A113&amp;"!G23")+INDIRECT(A113&amp;"!G25"))</f>
        <v>-56507.760000000009</v>
      </c>
      <c r="G113" s="579" cm="1">
        <f t="array" aca="1" ref="G113" ca="1">INDIRECT(A113&amp;"!G24")</f>
        <v>-11330</v>
      </c>
    </row>
    <row r="114" spans="1:7" x14ac:dyDescent="0.35">
      <c r="A114" t="s">
        <v>248</v>
      </c>
      <c r="B114" s="569">
        <f>DATE(Summary!$P$9,11,1)</f>
        <v>45597</v>
      </c>
      <c r="C114" s="578" cm="1">
        <f t="array" aca="1" ref="C114" ca="1">INDIRECT(A114&amp;"!H8")</f>
        <v>160</v>
      </c>
      <c r="D114" s="579" cm="1">
        <f t="array" aca="1" ref="D114" ca="1">INDIRECT(A114&amp;"!H$18")</f>
        <v>334520.71999999997</v>
      </c>
      <c r="E114" s="579" cm="1">
        <f t="array" aca="1" ref="E114" ca="1">INDIRECT(A114&amp;"!H$19")</f>
        <v>100184.47</v>
      </c>
      <c r="F114" s="579" cm="1">
        <f t="array" aca="1" ref="F114" ca="1">IF(INDIRECT(A114&amp;"!H22")="","",INDIRECT(A114&amp;"!H$22")+INDIRECT(A114&amp;"!H23")+INDIRECT(A114&amp;"!H25"))</f>
        <v>-123701.39999999998</v>
      </c>
      <c r="G114" s="579" cm="1">
        <f t="array" aca="1" ref="G114" ca="1">INDIRECT(A114&amp;"!H24")</f>
        <v>-11990</v>
      </c>
    </row>
    <row r="115" spans="1:7" x14ac:dyDescent="0.35">
      <c r="A115" t="s">
        <v>248</v>
      </c>
      <c r="B115" s="569">
        <f>DATE(Summary!$P$9,12,1)</f>
        <v>45627</v>
      </c>
      <c r="C115" s="578" cm="1">
        <f t="array" aca="1" ref="C115" ca="1">INDIRECT(A115&amp;"!I8")</f>
        <v>162</v>
      </c>
      <c r="D115" s="579" cm="1">
        <f t="array" aca="1" ref="D115" ca="1">INDIRECT(A115&amp;"!I$18")</f>
        <v>106183.79000000001</v>
      </c>
      <c r="E115" s="579" cm="1">
        <f t="array" aca="1" ref="E115" ca="1">INDIRECT(A115&amp;"!I$19")</f>
        <v>94794.01</v>
      </c>
      <c r="F115" s="579" cm="1">
        <f t="array" aca="1" ref="F115" ca="1">IF(INDIRECT(A115&amp;"!I22")="","",INDIRECT(A115&amp;"!I$22")+INDIRECT(A115&amp;"!I23")+INDIRECT(A115&amp;"!I25"))</f>
        <v>-15687.250000000002</v>
      </c>
      <c r="G115" s="579" cm="1">
        <f t="array" aca="1" ref="G115" ca="1">INDIRECT(A115&amp;"!I24")</f>
        <v>-11770</v>
      </c>
    </row>
    <row r="116" spans="1:7" x14ac:dyDescent="0.35">
      <c r="A116" t="s">
        <v>248</v>
      </c>
      <c r="B116" s="569">
        <f>DATE(Summary!$P$11,1,1)</f>
        <v>45658</v>
      </c>
      <c r="C116" s="578" cm="1">
        <f t="array" aca="1" ref="C116" ca="1">INDIRECT(A116&amp;"!J8")</f>
        <v>161</v>
      </c>
      <c r="D116" s="579" cm="1">
        <f t="array" aca="1" ref="D116" ca="1">INDIRECT(A116&amp;"!J$18")</f>
        <v>184767.54</v>
      </c>
      <c r="E116" s="579" cm="1">
        <f t="array" aca="1" ref="E116" ca="1">INDIRECT(A116&amp;"!J$19")</f>
        <v>49846.15</v>
      </c>
      <c r="F116" s="579" cm="1">
        <f t="array" aca="1" ref="F116" ca="1">IF(INDIRECT(A116&amp;"!J22")="","",INDIRECT(A116&amp;"!J$22")+INDIRECT(A116&amp;"!J23")+INDIRECT(A116&amp;"!J25"))</f>
        <v>1738.9699999999816</v>
      </c>
      <c r="G116" s="579" cm="1">
        <f t="array" aca="1" ref="G116" ca="1">INDIRECT(A116&amp;"!J24")</f>
        <v>-17600</v>
      </c>
    </row>
    <row r="117" spans="1:7" x14ac:dyDescent="0.35">
      <c r="A117" t="s">
        <v>248</v>
      </c>
      <c r="B117" s="569">
        <f>DATE(Summary!$P$11,2,1)</f>
        <v>45689</v>
      </c>
      <c r="C117" s="578" cm="1">
        <f t="array" aca="1" ref="C117" ca="1">INDIRECT(A117&amp;"!K8")</f>
        <v>159</v>
      </c>
      <c r="D117" s="579" cm="1">
        <f t="array" aca="1" ref="D117" ca="1">INDIRECT(A117&amp;"!K$18")</f>
        <v>119344.57999999999</v>
      </c>
      <c r="E117" s="579" cm="1">
        <f t="array" aca="1" ref="E117" ca="1">INDIRECT(A117&amp;"!K$19")</f>
        <v>97492.01</v>
      </c>
      <c r="F117" s="579" cm="1">
        <f t="array" aca="1" ref="F117" ca="1">IF(INDIRECT(A117&amp;"!K22")="","",INDIRECT(A117&amp;"!K$22")+INDIRECT(A117&amp;"!K23")+INDIRECT(A117&amp;"!K25"))</f>
        <v>-122154.07999999999</v>
      </c>
      <c r="G117" s="579" cm="1">
        <f t="array" aca="1" ref="G117" ca="1">INDIRECT(A117&amp;"!K24")</f>
        <v>-17490</v>
      </c>
    </row>
    <row r="118" spans="1:7" x14ac:dyDescent="0.35">
      <c r="A118" t="s">
        <v>248</v>
      </c>
      <c r="B118" s="569">
        <f>DATE(Summary!$P$11,3,1)</f>
        <v>45717</v>
      </c>
      <c r="C118" s="578" t="str" cm="1">
        <f t="array" aca="1" ref="C118" ca="1">INDIRECT(A118&amp;"!L8")</f>
        <v/>
      </c>
      <c r="D118" s="579" t="str" cm="1">
        <f t="array" aca="1" ref="D118" ca="1">INDIRECT(A118&amp;"!L$18")</f>
        <v/>
      </c>
      <c r="E118" s="579" t="str" cm="1">
        <f t="array" aca="1" ref="E118" ca="1">INDIRECT(A118&amp;"!L$19")</f>
        <v/>
      </c>
      <c r="F118" s="579" t="str" cm="1">
        <f t="array" aca="1" ref="F118" ca="1">IF(INDIRECT(A118&amp;"!L22")="","",INDIRECT(A118&amp;"!L$22")+INDIRECT(A118&amp;"!L23")+INDIRECT(A118&amp;"!L25"))</f>
        <v/>
      </c>
      <c r="G118" s="579" t="str" cm="1">
        <f t="array" aca="1" ref="G118" ca="1">INDIRECT(A118&amp;"!L24")</f>
        <v/>
      </c>
    </row>
    <row r="119" spans="1:7" x14ac:dyDescent="0.35">
      <c r="A119" t="s">
        <v>248</v>
      </c>
      <c r="B119" s="569">
        <f>DATE(Summary!$P$11,4,1)</f>
        <v>45748</v>
      </c>
      <c r="C119" s="578" t="str" cm="1">
        <f t="array" aca="1" ref="C119" ca="1">INDIRECT(A119&amp;"!M8")</f>
        <v/>
      </c>
      <c r="D119" s="579" t="str" cm="1">
        <f t="array" aca="1" ref="D119" ca="1">INDIRECT(A119&amp;"!M$18")</f>
        <v/>
      </c>
      <c r="E119" s="579" t="str" cm="1">
        <f t="array" aca="1" ref="E119" ca="1">INDIRECT(A119&amp;"!M$19")</f>
        <v/>
      </c>
      <c r="F119" s="579" t="str" cm="1">
        <f t="array" aca="1" ref="F119" ca="1">IF(INDIRECT(A119&amp;"!M22")="","",INDIRECT(A119&amp;"!M$22")+INDIRECT(A119&amp;"!M23")+INDIRECT(A119&amp;"!M25"))</f>
        <v/>
      </c>
      <c r="G119" s="579" t="str" cm="1">
        <f t="array" aca="1" ref="G119" ca="1">INDIRECT(A119&amp;"!M24")</f>
        <v/>
      </c>
    </row>
    <row r="120" spans="1:7" x14ac:dyDescent="0.35">
      <c r="A120" t="s">
        <v>248</v>
      </c>
      <c r="B120" s="569">
        <f>DATE(Summary!$P$11,5,1)</f>
        <v>45778</v>
      </c>
      <c r="C120" s="578" t="str" cm="1">
        <f t="array" aca="1" ref="C120" ca="1">INDIRECT(A120&amp;"!N8")</f>
        <v/>
      </c>
      <c r="D120" s="579" t="str" cm="1">
        <f t="array" aca="1" ref="D120" ca="1">INDIRECT(A120&amp;"!N$18")</f>
        <v/>
      </c>
      <c r="E120" s="579" t="str" cm="1">
        <f t="array" aca="1" ref="E120" ca="1">INDIRECT(A120&amp;"!N$19")</f>
        <v/>
      </c>
      <c r="F120" s="579" t="str" cm="1">
        <f t="array" aca="1" ref="F120" ca="1">IF(INDIRECT(A120&amp;"!N22")="","",INDIRECT(A120&amp;"!N$22")+INDIRECT(A120&amp;"!N23")+INDIRECT(A120&amp;"!N25"))</f>
        <v/>
      </c>
      <c r="G120" s="579" t="str" cm="1">
        <f t="array" aca="1" ref="G120" ca="1">INDIRECT(A120&amp;"!N24")</f>
        <v/>
      </c>
    </row>
    <row r="121" spans="1:7" x14ac:dyDescent="0.35">
      <c r="A121" t="s">
        <v>248</v>
      </c>
      <c r="B121" s="569">
        <f>DATE(Summary!$P$11,6,1)</f>
        <v>45809</v>
      </c>
      <c r="C121" s="578" t="str" cm="1">
        <f t="array" aca="1" ref="C121" ca="1">INDIRECT(A121&amp;"!O8")</f>
        <v/>
      </c>
      <c r="D121" s="579" t="str" cm="1">
        <f t="array" aca="1" ref="D121" ca="1">INDIRECT(A121&amp;"!O$18")</f>
        <v/>
      </c>
      <c r="E121" s="579" t="str" cm="1">
        <f t="array" aca="1" ref="E121" ca="1">INDIRECT(A121&amp;"!O$19")</f>
        <v/>
      </c>
      <c r="F121" s="579" t="str" cm="1">
        <f t="array" aca="1" ref="F121" ca="1">IF(INDIRECT(A121&amp;"!O22")="","",INDIRECT(A121&amp;"!O$22")+INDIRECT(A121&amp;"!O23")+INDIRECT(A121&amp;"!O25"))</f>
        <v/>
      </c>
      <c r="G121" s="579" t="str" cm="1">
        <f t="array" aca="1" ref="G121" ca="1">INDIRECT(A121&amp;"!O24")</f>
        <v/>
      </c>
    </row>
    <row r="122" spans="1:7" x14ac:dyDescent="0.35">
      <c r="A122" t="s">
        <v>262</v>
      </c>
      <c r="B122" s="569">
        <f>DATE(Summary!$P$9,7,1)</f>
        <v>45474</v>
      </c>
      <c r="C122" s="578" cm="1">
        <f t="array" aca="1" ref="C122" ca="1">INDIRECT(A122&amp;"!D8")</f>
        <v>157</v>
      </c>
      <c r="D122" s="579" cm="1">
        <f t="array" aca="1" ref="D122" ca="1">INDIRECT(A122&amp;"!D$18")</f>
        <v>120972.77</v>
      </c>
      <c r="E122" s="579" cm="1">
        <f t="array" aca="1" ref="E122" ca="1">INDIRECT(A122&amp;"!D$19")</f>
        <v>45311.34</v>
      </c>
      <c r="F122" s="579" cm="1">
        <f t="array" aca="1" ref="F122" ca="1">IF(INDIRECT(A122&amp;"!D22")="","",INDIRECT(A122&amp;"!D$22")+INDIRECT(A122&amp;"!D23")+INDIRECT(A122&amp;"!D25"))</f>
        <v>889.87</v>
      </c>
      <c r="G122" s="579" cm="1">
        <f t="array" aca="1" ref="G122" ca="1">INDIRECT(A122&amp;"!D24")</f>
        <v>-17270</v>
      </c>
    </row>
    <row r="123" spans="1:7" x14ac:dyDescent="0.35">
      <c r="A123" t="s">
        <v>262</v>
      </c>
      <c r="B123" s="569">
        <f>DATE(Summary!$P$9,8,1)</f>
        <v>45505</v>
      </c>
      <c r="C123" s="578" cm="1">
        <f t="array" aca="1" ref="C123" ca="1">INDIRECT(A123&amp;"!E8")</f>
        <v>159</v>
      </c>
      <c r="D123" s="579" cm="1">
        <f t="array" aca="1" ref="D123" ca="1">INDIRECT(A123&amp;"!E$18")</f>
        <v>147585.85</v>
      </c>
      <c r="E123" s="579" cm="1">
        <f t="array" aca="1" ref="E123" ca="1">INDIRECT(A123&amp;"!E$19")</f>
        <v>59205.04</v>
      </c>
      <c r="F123" s="579" cm="1">
        <f t="array" aca="1" ref="F123" ca="1">IF(INDIRECT(A123&amp;"!E22")="","",INDIRECT(A123&amp;"!E$22")+INDIRECT(A123&amp;"!E23")+INDIRECT(A123&amp;"!E25"))</f>
        <v>2962.13</v>
      </c>
      <c r="G123" s="579" cm="1">
        <f t="array" aca="1" ref="G123" ca="1">INDIRECT(A123&amp;"!E24")</f>
        <v>-17490</v>
      </c>
    </row>
    <row r="124" spans="1:7" x14ac:dyDescent="0.35">
      <c r="A124" t="s">
        <v>262</v>
      </c>
      <c r="B124" s="569">
        <f>DATE(Summary!$P$9,9,1)</f>
        <v>45536</v>
      </c>
      <c r="C124" s="578" cm="1">
        <f t="array" aca="1" ref="C124" ca="1">INDIRECT(A124&amp;"!F8")</f>
        <v>160</v>
      </c>
      <c r="D124" s="579" cm="1">
        <f t="array" aca="1" ref="D124" ca="1">INDIRECT(A124&amp;"!F$18")</f>
        <v>88414.16</v>
      </c>
      <c r="E124" s="579" cm="1">
        <f t="array" aca="1" ref="E124" ca="1">INDIRECT(A124&amp;"!F$19")</f>
        <v>53961.66</v>
      </c>
      <c r="F124" s="579" cm="1">
        <f t="array" aca="1" ref="F124" ca="1">IF(INDIRECT(A124&amp;"!F22")="","",INDIRECT(A124&amp;"!F$22")+INDIRECT(A124&amp;"!F23")+INDIRECT(A124&amp;"!F25"))</f>
        <v>1288.5999999999999</v>
      </c>
      <c r="G124" s="579" cm="1">
        <f t="array" aca="1" ref="G124" ca="1">INDIRECT(A124&amp;"!F24")</f>
        <v>-17600</v>
      </c>
    </row>
    <row r="125" spans="1:7" x14ac:dyDescent="0.35">
      <c r="A125" t="s">
        <v>262</v>
      </c>
      <c r="B125" s="569">
        <f>DATE(Summary!$P$9,10,1)</f>
        <v>45566</v>
      </c>
      <c r="C125" s="578" cm="1">
        <f t="array" aca="1" ref="C125" ca="1">INDIRECT(A125&amp;"!G8")</f>
        <v>161</v>
      </c>
      <c r="D125" s="579" cm="1">
        <f t="array" aca="1" ref="D125" ca="1">INDIRECT(A125&amp;"!G$18")</f>
        <v>109234.42</v>
      </c>
      <c r="E125" s="579" cm="1">
        <f t="array" aca="1" ref="E125" ca="1">INDIRECT(A125&amp;"!G$19")</f>
        <v>55298.81</v>
      </c>
      <c r="F125" s="579" cm="1">
        <f t="array" aca="1" ref="F125" ca="1">IF(INDIRECT(A125&amp;"!G22")="","",INDIRECT(A125&amp;"!G$22")+INDIRECT(A125&amp;"!G23")+INDIRECT(A125&amp;"!G25"))</f>
        <v>17175.999999999996</v>
      </c>
      <c r="G125" s="579" cm="1">
        <f t="array" aca="1" ref="G125" ca="1">INDIRECT(A125&amp;"!G24")</f>
        <v>-17710</v>
      </c>
    </row>
    <row r="126" spans="1:7" x14ac:dyDescent="0.35">
      <c r="A126" t="s">
        <v>262</v>
      </c>
      <c r="B126" s="569">
        <f>DATE(Summary!$P$9,11,1)</f>
        <v>45597</v>
      </c>
      <c r="C126" s="578" cm="1">
        <f t="array" aca="1" ref="C126" ca="1">INDIRECT(A126&amp;"!H8")</f>
        <v>162</v>
      </c>
      <c r="D126" s="579" cm="1">
        <f t="array" aca="1" ref="D126" ca="1">INDIRECT(A126&amp;"!H$18")</f>
        <v>307069.06999999995</v>
      </c>
      <c r="E126" s="579" cm="1">
        <f t="array" aca="1" ref="E126" ca="1">INDIRECT(A126&amp;"!H$19")</f>
        <v>71637.59</v>
      </c>
      <c r="F126" s="579" cm="1">
        <f t="array" aca="1" ref="F126" ca="1">IF(INDIRECT(A126&amp;"!H22")="","",INDIRECT(A126&amp;"!H$22")+INDIRECT(A126&amp;"!H23")+INDIRECT(A126&amp;"!H25"))</f>
        <v>-73058.28</v>
      </c>
      <c r="G126" s="579" cm="1">
        <f t="array" aca="1" ref="G126" ca="1">INDIRECT(A126&amp;"!H24")</f>
        <v>-17820</v>
      </c>
    </row>
    <row r="127" spans="1:7" x14ac:dyDescent="0.35">
      <c r="A127" t="s">
        <v>262</v>
      </c>
      <c r="B127" s="569">
        <f>DATE(Summary!$P$9,12,1)</f>
        <v>45627</v>
      </c>
      <c r="C127" s="578" cm="1">
        <f t="array" aca="1" ref="C127" ca="1">INDIRECT(A127&amp;"!I8")</f>
        <v>162</v>
      </c>
      <c r="D127" s="579" cm="1">
        <f t="array" aca="1" ref="D127" ca="1">INDIRECT(A127&amp;"!I$18")</f>
        <v>98946.86</v>
      </c>
      <c r="E127" s="579" cm="1">
        <f t="array" aca="1" ref="E127" ca="1">INDIRECT(A127&amp;"!I$19")</f>
        <v>64719.16</v>
      </c>
      <c r="F127" s="579" cm="1">
        <f t="array" aca="1" ref="F127" ca="1">IF(INDIRECT(A127&amp;"!I22")="","",INDIRECT(A127&amp;"!I$22")+INDIRECT(A127&amp;"!I23")+INDIRECT(A127&amp;"!I25"))</f>
        <v>-3751.3199999999952</v>
      </c>
      <c r="G127" s="579" cm="1">
        <f t="array" aca="1" ref="G127" ca="1">INDIRECT(A127&amp;"!I24")</f>
        <v>-17820</v>
      </c>
    </row>
    <row r="128" spans="1:7" x14ac:dyDescent="0.35">
      <c r="A128" t="s">
        <v>262</v>
      </c>
      <c r="B128" s="569">
        <f>DATE(Summary!$P$11,1,1)</f>
        <v>45658</v>
      </c>
      <c r="C128" s="578" cm="1">
        <f t="array" aca="1" ref="C128" ca="1">INDIRECT(A128&amp;"!J8")</f>
        <v>162</v>
      </c>
      <c r="D128" s="579" cm="1">
        <f t="array" aca="1" ref="D128" ca="1">INDIRECT(A128&amp;"!J$18")</f>
        <v>398796.1</v>
      </c>
      <c r="E128" s="579" cm="1">
        <f t="array" aca="1" ref="E128" ca="1">INDIRECT(A128&amp;"!J$19")</f>
        <v>66981.75</v>
      </c>
      <c r="F128" s="579" cm="1">
        <f t="array" aca="1" ref="F128" ca="1">IF(INDIRECT(A128&amp;"!J22")="","",INDIRECT(A128&amp;"!J$22")+INDIRECT(A128&amp;"!J23")+INDIRECT(A128&amp;"!J25"))</f>
        <v>-128984.18</v>
      </c>
      <c r="G128" s="579" cm="1">
        <f t="array" aca="1" ref="G128" ca="1">INDIRECT(A128&amp;"!J24")</f>
        <v>-17820</v>
      </c>
    </row>
    <row r="129" spans="1:7" x14ac:dyDescent="0.35">
      <c r="A129" t="s">
        <v>262</v>
      </c>
      <c r="B129" s="569">
        <f>DATE(Summary!$P$11,2,1)</f>
        <v>45689</v>
      </c>
      <c r="C129" s="578" cm="1">
        <f t="array" aca="1" ref="C129" ca="1">INDIRECT(A129&amp;"!K8")</f>
        <v>162</v>
      </c>
      <c r="D129" s="579" cm="1">
        <f t="array" aca="1" ref="D129" ca="1">INDIRECT(A129&amp;"!K$18")</f>
        <v>152078.76999999999</v>
      </c>
      <c r="E129" s="579" cm="1">
        <f t="array" aca="1" ref="E129" ca="1">INDIRECT(A129&amp;"!K$19")</f>
        <v>69603.259999999995</v>
      </c>
      <c r="F129" s="579" cm="1">
        <f t="array" aca="1" ref="F129" ca="1">IF(INDIRECT(A129&amp;"!K22")="","",INDIRECT(A129&amp;"!K$22")+INDIRECT(A129&amp;"!K23")+INDIRECT(A129&amp;"!K25"))</f>
        <v>-82358.989999999991</v>
      </c>
      <c r="G129" s="579" cm="1">
        <f t="array" aca="1" ref="G129" ca="1">INDIRECT(A129&amp;"!K24")</f>
        <v>-17820</v>
      </c>
    </row>
    <row r="130" spans="1:7" x14ac:dyDescent="0.35">
      <c r="A130" t="s">
        <v>262</v>
      </c>
      <c r="B130" s="569">
        <f>DATE(Summary!$P$11,3,1)</f>
        <v>45717</v>
      </c>
      <c r="C130" s="578" t="str" cm="1">
        <f t="array" aca="1" ref="C130" ca="1">INDIRECT(A130&amp;"!L8")</f>
        <v/>
      </c>
      <c r="D130" s="579" t="str" cm="1">
        <f t="array" aca="1" ref="D130" ca="1">INDIRECT(A130&amp;"!L$18")</f>
        <v/>
      </c>
      <c r="E130" s="579" t="str" cm="1">
        <f t="array" aca="1" ref="E130" ca="1">INDIRECT(A130&amp;"!L$19")</f>
        <v/>
      </c>
      <c r="F130" s="579" t="str" cm="1">
        <f t="array" aca="1" ref="F130" ca="1">IF(INDIRECT(A130&amp;"!L22")="","",INDIRECT(A130&amp;"!L$22")+INDIRECT(A130&amp;"!L23")+INDIRECT(A130&amp;"!L25"))</f>
        <v/>
      </c>
      <c r="G130" s="579" t="str" cm="1">
        <f t="array" aca="1" ref="G130" ca="1">INDIRECT(A130&amp;"!L24")</f>
        <v/>
      </c>
    </row>
    <row r="131" spans="1:7" x14ac:dyDescent="0.35">
      <c r="A131" t="s">
        <v>262</v>
      </c>
      <c r="B131" s="569">
        <f>DATE(Summary!$P$11,4,1)</f>
        <v>45748</v>
      </c>
      <c r="C131" s="578" t="str" cm="1">
        <f t="array" aca="1" ref="C131" ca="1">INDIRECT(A131&amp;"!M8")</f>
        <v/>
      </c>
      <c r="D131" s="579" t="str" cm="1">
        <f t="array" aca="1" ref="D131" ca="1">INDIRECT(A131&amp;"!M$18")</f>
        <v/>
      </c>
      <c r="E131" s="579" t="str" cm="1">
        <f t="array" aca="1" ref="E131" ca="1">INDIRECT(A131&amp;"!M$19")</f>
        <v/>
      </c>
      <c r="F131" s="579" t="str" cm="1">
        <f t="array" aca="1" ref="F131" ca="1">IF(INDIRECT(A131&amp;"!M22")="","",INDIRECT(A131&amp;"!M$22")+INDIRECT(A131&amp;"!M23")+INDIRECT(A131&amp;"!M25"))</f>
        <v/>
      </c>
      <c r="G131" s="579" t="str" cm="1">
        <f t="array" aca="1" ref="G131" ca="1">INDIRECT(A131&amp;"!M24")</f>
        <v/>
      </c>
    </row>
    <row r="132" spans="1:7" x14ac:dyDescent="0.35">
      <c r="A132" t="s">
        <v>262</v>
      </c>
      <c r="B132" s="569">
        <f>DATE(Summary!$P$11,5,1)</f>
        <v>45778</v>
      </c>
      <c r="C132" s="578" t="str" cm="1">
        <f t="array" aca="1" ref="C132" ca="1">INDIRECT(A132&amp;"!N8")</f>
        <v/>
      </c>
      <c r="D132" s="579" t="str" cm="1">
        <f t="array" aca="1" ref="D132" ca="1">INDIRECT(A132&amp;"!N$18")</f>
        <v/>
      </c>
      <c r="E132" s="579" t="str" cm="1">
        <f t="array" aca="1" ref="E132" ca="1">INDIRECT(A132&amp;"!N$19")</f>
        <v/>
      </c>
      <c r="F132" s="579" t="str" cm="1">
        <f t="array" aca="1" ref="F132" ca="1">IF(INDIRECT(A132&amp;"!N22")="","",INDIRECT(A132&amp;"!N$22")+INDIRECT(A132&amp;"!N23")+INDIRECT(A132&amp;"!N25"))</f>
        <v/>
      </c>
      <c r="G132" s="579" t="str" cm="1">
        <f t="array" aca="1" ref="G132" ca="1">INDIRECT(A132&amp;"!N24")</f>
        <v/>
      </c>
    </row>
    <row r="133" spans="1:7" x14ac:dyDescent="0.35">
      <c r="A133" t="s">
        <v>262</v>
      </c>
      <c r="B133" s="569">
        <f>DATE(Summary!$P$11,6,1)</f>
        <v>45809</v>
      </c>
      <c r="C133" s="578" t="str" cm="1">
        <f t="array" aca="1" ref="C133" ca="1">INDIRECT(A133&amp;"!O8")</f>
        <v/>
      </c>
      <c r="D133" s="579" t="str" cm="1">
        <f t="array" aca="1" ref="D133" ca="1">INDIRECT(A133&amp;"!O$18")</f>
        <v/>
      </c>
      <c r="E133" s="579" t="str" cm="1">
        <f t="array" aca="1" ref="E133" ca="1">INDIRECT(A133&amp;"!O$19")</f>
        <v/>
      </c>
      <c r="F133" s="579" t="str" cm="1">
        <f t="array" aca="1" ref="F133" ca="1">IF(INDIRECT(A133&amp;"!O22")="","",INDIRECT(A133&amp;"!O$22")+INDIRECT(A133&amp;"!O23")+INDIRECT(A133&amp;"!O25"))</f>
        <v/>
      </c>
      <c r="G133" s="579" t="str" cm="1">
        <f t="array" aca="1" ref="G133" ca="1">INDIRECT(A133&amp;"!O24")</f>
        <v/>
      </c>
    </row>
    <row r="134" spans="1:7" x14ac:dyDescent="0.35">
      <c r="A134" t="s">
        <v>263</v>
      </c>
      <c r="B134" s="569">
        <f>DATE(Summary!$P$9,7,1)</f>
        <v>45474</v>
      </c>
      <c r="C134" s="578" cm="1">
        <f t="array" aca="1" ref="C134" ca="1">INDIRECT(A134&amp;"!D8")</f>
        <v>147</v>
      </c>
      <c r="D134" s="579" cm="1">
        <f t="array" aca="1" ref="D134" ca="1">INDIRECT(A134&amp;"!D$18")</f>
        <v>408926.18000000005</v>
      </c>
      <c r="E134" s="579" cm="1">
        <f t="array" aca="1" ref="E134" ca="1">INDIRECT(A134&amp;"!D$19")</f>
        <v>108765.38</v>
      </c>
      <c r="F134" s="579" cm="1">
        <f t="array" aca="1" ref="F134" ca="1">IF(INDIRECT(A134&amp;"!D22")="","",INDIRECT(A134&amp;"!D$22")+INDIRECT(A134&amp;"!D23")+INDIRECT(A134&amp;"!D25"))</f>
        <v>-57760.14</v>
      </c>
      <c r="G134" s="579" cm="1">
        <f t="array" aca="1" ref="G134" ca="1">INDIRECT(A134&amp;"!D24")</f>
        <v>-16170</v>
      </c>
    </row>
    <row r="135" spans="1:7" x14ac:dyDescent="0.35">
      <c r="A135" t="s">
        <v>263</v>
      </c>
      <c r="B135" s="569">
        <f>DATE(Summary!$P$9,8,1)</f>
        <v>45505</v>
      </c>
      <c r="C135" s="578" cm="1">
        <f t="array" aca="1" ref="C135" ca="1">INDIRECT(A135&amp;"!E8")</f>
        <v>147</v>
      </c>
      <c r="D135" s="579" cm="1">
        <f t="array" aca="1" ref="D135" ca="1">INDIRECT(A135&amp;"!E$18")</f>
        <v>301636.33</v>
      </c>
      <c r="E135" s="579" cm="1">
        <f t="array" aca="1" ref="E135" ca="1">INDIRECT(A135&amp;"!E$19")</f>
        <v>117720.81</v>
      </c>
      <c r="F135" s="579" cm="1">
        <f t="array" aca="1" ref="F135" ca="1">IF(INDIRECT(A135&amp;"!E22")="","",INDIRECT(A135&amp;"!E$22")+INDIRECT(A135&amp;"!E23")+INDIRECT(A135&amp;"!E25"))</f>
        <v>-136187.86000000002</v>
      </c>
      <c r="G135" s="579" cm="1">
        <f t="array" aca="1" ref="G135" ca="1">INDIRECT(A135&amp;"!E24")</f>
        <v>-16170</v>
      </c>
    </row>
    <row r="136" spans="1:7" x14ac:dyDescent="0.35">
      <c r="A136" t="s">
        <v>263</v>
      </c>
      <c r="B136" s="569">
        <f>DATE(Summary!$P$9,9,1)</f>
        <v>45536</v>
      </c>
      <c r="C136" s="578" cm="1">
        <f t="array" aca="1" ref="C136" ca="1">INDIRECT(A136&amp;"!F8")</f>
        <v>146</v>
      </c>
      <c r="D136" s="579" cm="1">
        <f t="array" aca="1" ref="D136" ca="1">INDIRECT(A136&amp;"!F$18")</f>
        <v>390541.56</v>
      </c>
      <c r="E136" s="579" cm="1">
        <f t="array" aca="1" ref="E136" ca="1">INDIRECT(A136&amp;"!F$19")</f>
        <v>101557.59</v>
      </c>
      <c r="F136" s="579" cm="1">
        <f t="array" aca="1" ref="F136" ca="1">IF(INDIRECT(A136&amp;"!F22")="","",INDIRECT(A136&amp;"!F$22")+INDIRECT(A136&amp;"!F23")+INDIRECT(A136&amp;"!F25"))</f>
        <v>-250712.06</v>
      </c>
      <c r="G136" s="579" cm="1">
        <f t="array" aca="1" ref="G136" ca="1">INDIRECT(A136&amp;"!F24")</f>
        <v>-16060</v>
      </c>
    </row>
    <row r="137" spans="1:7" x14ac:dyDescent="0.35">
      <c r="A137" t="s">
        <v>263</v>
      </c>
      <c r="B137" s="569">
        <f>DATE(Summary!$P$9,10,1)</f>
        <v>45566</v>
      </c>
      <c r="C137" s="578" cm="1">
        <f t="array" aca="1" ref="C137" ca="1">INDIRECT(A137&amp;"!G8")</f>
        <v>146</v>
      </c>
      <c r="D137" s="579" cm="1">
        <f t="array" aca="1" ref="D137" ca="1">INDIRECT(A137&amp;"!G$18")</f>
        <v>213107.66999999998</v>
      </c>
      <c r="E137" s="579" cm="1">
        <f t="array" aca="1" ref="E137" ca="1">INDIRECT(A137&amp;"!G$19")</f>
        <v>48701.65</v>
      </c>
      <c r="F137" s="579" cm="1">
        <f t="array" aca="1" ref="F137" ca="1">IF(INDIRECT(A137&amp;"!G22")="","",INDIRECT(A137&amp;"!G$22")+INDIRECT(A137&amp;"!G23")+INDIRECT(A137&amp;"!G25"))</f>
        <v>-68761.330000000031</v>
      </c>
      <c r="G137" s="579" cm="1">
        <f t="array" aca="1" ref="G137" ca="1">INDIRECT(A137&amp;"!G24")</f>
        <v>-16060</v>
      </c>
    </row>
    <row r="138" spans="1:7" x14ac:dyDescent="0.35">
      <c r="A138" t="s">
        <v>263</v>
      </c>
      <c r="B138" s="569">
        <f>DATE(Summary!$P$9,11,1)</f>
        <v>45597</v>
      </c>
      <c r="C138" s="578" cm="1">
        <f t="array" aca="1" ref="C138" ca="1">INDIRECT(A138&amp;"!H8")</f>
        <v>146</v>
      </c>
      <c r="D138" s="579" cm="1">
        <f t="array" aca="1" ref="D138" ca="1">INDIRECT(A138&amp;"!H$18")</f>
        <v>426183.16</v>
      </c>
      <c r="E138" s="579" cm="1">
        <f t="array" aca="1" ref="E138" ca="1">INDIRECT(A138&amp;"!H$19")</f>
        <v>86865.09</v>
      </c>
      <c r="F138" s="579" cm="1">
        <f t="array" aca="1" ref="F138" ca="1">IF(INDIRECT(A138&amp;"!H22")="","",INDIRECT(A138&amp;"!H$22")+INDIRECT(A138&amp;"!H23")+INDIRECT(A138&amp;"!H25"))</f>
        <v>-226369.27999999997</v>
      </c>
      <c r="G138" s="579" cm="1">
        <f t="array" aca="1" ref="G138" ca="1">INDIRECT(A138&amp;"!H24")</f>
        <v>-16060</v>
      </c>
    </row>
    <row r="139" spans="1:7" x14ac:dyDescent="0.35">
      <c r="A139" t="s">
        <v>263</v>
      </c>
      <c r="B139" s="569">
        <f>DATE(Summary!$P$9,12,1)</f>
        <v>45627</v>
      </c>
      <c r="C139" s="578" cm="1">
        <f t="array" aca="1" ref="C139" ca="1">INDIRECT(A139&amp;"!I8")</f>
        <v>146</v>
      </c>
      <c r="D139" s="579" cm="1">
        <f t="array" aca="1" ref="D139" ca="1">INDIRECT(A139&amp;"!I$18")</f>
        <v>307840.66000000003</v>
      </c>
      <c r="E139" s="579" cm="1">
        <f t="array" aca="1" ref="E139" ca="1">INDIRECT(A139&amp;"!I$19")</f>
        <v>81545.23</v>
      </c>
      <c r="F139" s="579" cm="1">
        <f t="array" aca="1" ref="F139" ca="1">IF(INDIRECT(A139&amp;"!I22")="","",INDIRECT(A139&amp;"!I$22")+INDIRECT(A139&amp;"!I23")+INDIRECT(A139&amp;"!I25"))</f>
        <v>-257647.24000000008</v>
      </c>
      <c r="G139" s="579" cm="1">
        <f t="array" aca="1" ref="G139" ca="1">INDIRECT(A139&amp;"!I24")</f>
        <v>-16060</v>
      </c>
    </row>
    <row r="140" spans="1:7" x14ac:dyDescent="0.35">
      <c r="A140" t="s">
        <v>263</v>
      </c>
      <c r="B140" s="569">
        <f>DATE(Summary!$P$11,1,1)</f>
        <v>45658</v>
      </c>
      <c r="C140" s="578" cm="1">
        <f t="array" aca="1" ref="C140" ca="1">INDIRECT(A140&amp;"!J8")</f>
        <v>147</v>
      </c>
      <c r="D140" s="579" cm="1">
        <f t="array" aca="1" ref="D140" ca="1">INDIRECT(A140&amp;"!J$18")</f>
        <v>444655.81999999995</v>
      </c>
      <c r="E140" s="579" cm="1">
        <f t="array" aca="1" ref="E140" ca="1">INDIRECT(A140&amp;"!J$19")</f>
        <v>72893.009999999995</v>
      </c>
      <c r="F140" s="579" cm="1">
        <f t="array" aca="1" ref="F140" ca="1">IF(INDIRECT(A140&amp;"!J22")="","",INDIRECT(A140&amp;"!J$22")+INDIRECT(A140&amp;"!J23")+INDIRECT(A140&amp;"!J25"))</f>
        <v>-34622.649999999951</v>
      </c>
      <c r="G140" s="579" cm="1">
        <f t="array" aca="1" ref="G140" ca="1">INDIRECT(A140&amp;"!J24")</f>
        <v>-16170</v>
      </c>
    </row>
    <row r="141" spans="1:7" x14ac:dyDescent="0.35">
      <c r="A141" t="s">
        <v>263</v>
      </c>
      <c r="B141" s="569">
        <f>DATE(Summary!$P$11,2,1)</f>
        <v>45689</v>
      </c>
      <c r="C141" s="578" cm="1">
        <f t="array" aca="1" ref="C141" ca="1">INDIRECT(A141&amp;"!K8")</f>
        <v>147</v>
      </c>
      <c r="D141" s="579" cm="1">
        <f t="array" aca="1" ref="D141" ca="1">INDIRECT(A141&amp;"!K$18")</f>
        <v>205236.94</v>
      </c>
      <c r="E141" s="579" cm="1">
        <f t="array" aca="1" ref="E141" ca="1">INDIRECT(A141&amp;"!K$19")</f>
        <v>90772.13</v>
      </c>
      <c r="F141" s="579" cm="1">
        <f t="array" aca="1" ref="F141" ca="1">IF(INDIRECT(A141&amp;"!K22")="","",INDIRECT(A141&amp;"!K$22")+INDIRECT(A141&amp;"!K23")+INDIRECT(A141&amp;"!K25"))</f>
        <v>-264345.52999999997</v>
      </c>
      <c r="G141" s="579" cm="1">
        <f t="array" aca="1" ref="G141" ca="1">INDIRECT(A141&amp;"!K24")</f>
        <v>-16170</v>
      </c>
    </row>
    <row r="142" spans="1:7" x14ac:dyDescent="0.35">
      <c r="A142" t="s">
        <v>263</v>
      </c>
      <c r="B142" s="569">
        <f>DATE(Summary!$P$11,3,1)</f>
        <v>45717</v>
      </c>
      <c r="C142" s="578" t="str" cm="1">
        <f t="array" aca="1" ref="C142" ca="1">INDIRECT(A142&amp;"!L8")</f>
        <v/>
      </c>
      <c r="D142" s="579" t="str" cm="1">
        <f t="array" aca="1" ref="D142" ca="1">INDIRECT(A142&amp;"!L$18")</f>
        <v/>
      </c>
      <c r="E142" s="579" t="str" cm="1">
        <f t="array" aca="1" ref="E142" ca="1">INDIRECT(A142&amp;"!L$19")</f>
        <v/>
      </c>
      <c r="F142" s="579" t="str" cm="1">
        <f t="array" aca="1" ref="F142" ca="1">IF(INDIRECT(A142&amp;"!L22")="","",INDIRECT(A142&amp;"!L$22")+INDIRECT(A142&amp;"!L23")+INDIRECT(A142&amp;"!L25"))</f>
        <v/>
      </c>
      <c r="G142" s="579" t="str" cm="1">
        <f t="array" aca="1" ref="G142" ca="1">INDIRECT(A142&amp;"!L24")</f>
        <v/>
      </c>
    </row>
    <row r="143" spans="1:7" x14ac:dyDescent="0.35">
      <c r="A143" t="s">
        <v>263</v>
      </c>
      <c r="B143" s="569">
        <f>DATE(Summary!$P$11,4,1)</f>
        <v>45748</v>
      </c>
      <c r="C143" s="578" t="str" cm="1">
        <f t="array" aca="1" ref="C143" ca="1">INDIRECT(A143&amp;"!M8")</f>
        <v/>
      </c>
      <c r="D143" s="579" t="str" cm="1">
        <f t="array" aca="1" ref="D143" ca="1">INDIRECT(A143&amp;"!M$18")</f>
        <v/>
      </c>
      <c r="E143" s="579" t="str" cm="1">
        <f t="array" aca="1" ref="E143" ca="1">INDIRECT(A143&amp;"!M$19")</f>
        <v/>
      </c>
      <c r="F143" s="579" t="str" cm="1">
        <f t="array" aca="1" ref="F143" ca="1">IF(INDIRECT(A143&amp;"!M22")="","",INDIRECT(A143&amp;"!M$22")+INDIRECT(A143&amp;"!M23")+INDIRECT(A143&amp;"!M25"))</f>
        <v/>
      </c>
      <c r="G143" s="579" t="str" cm="1">
        <f t="array" aca="1" ref="G143" ca="1">INDIRECT(A143&amp;"!M24")</f>
        <v/>
      </c>
    </row>
    <row r="144" spans="1:7" x14ac:dyDescent="0.35">
      <c r="A144" t="s">
        <v>263</v>
      </c>
      <c r="B144" s="569">
        <f>DATE(Summary!$P$11,5,1)</f>
        <v>45778</v>
      </c>
      <c r="C144" s="578" t="str" cm="1">
        <f t="array" aca="1" ref="C144" ca="1">INDIRECT(A144&amp;"!N8")</f>
        <v/>
      </c>
      <c r="D144" s="579" t="str" cm="1">
        <f t="array" aca="1" ref="D144" ca="1">INDIRECT(A144&amp;"!N$18")</f>
        <v/>
      </c>
      <c r="E144" s="579" t="str" cm="1">
        <f t="array" aca="1" ref="E144" ca="1">INDIRECT(A144&amp;"!N$19")</f>
        <v/>
      </c>
      <c r="F144" s="579" t="str" cm="1">
        <f t="array" aca="1" ref="F144" ca="1">IF(INDIRECT(A144&amp;"!N22")="","",INDIRECT(A144&amp;"!N$22")+INDIRECT(A144&amp;"!N23")+INDIRECT(A144&amp;"!N25"))</f>
        <v/>
      </c>
      <c r="G144" s="579" t="str" cm="1">
        <f t="array" aca="1" ref="G144" ca="1">INDIRECT(A144&amp;"!N24")</f>
        <v/>
      </c>
    </row>
    <row r="145" spans="1:7" x14ac:dyDescent="0.35">
      <c r="A145" t="s">
        <v>263</v>
      </c>
      <c r="B145" s="569">
        <f>DATE(Summary!$P$11,6,1)</f>
        <v>45809</v>
      </c>
      <c r="C145" s="578" t="str" cm="1">
        <f t="array" aca="1" ref="C145" ca="1">INDIRECT(A145&amp;"!O8")</f>
        <v/>
      </c>
      <c r="D145" s="579" t="str" cm="1">
        <f t="array" aca="1" ref="D145" ca="1">INDIRECT(A145&amp;"!O$18")</f>
        <v/>
      </c>
      <c r="E145" s="579" t="str" cm="1">
        <f t="array" aca="1" ref="E145" ca="1">INDIRECT(A145&amp;"!O$19")</f>
        <v/>
      </c>
      <c r="F145" s="579" t="str" cm="1">
        <f t="array" aca="1" ref="F145" ca="1">IF(INDIRECT(A145&amp;"!O22")="","",INDIRECT(A145&amp;"!O$22")+INDIRECT(A145&amp;"!O23")+INDIRECT(A145&amp;"!O25"))</f>
        <v/>
      </c>
      <c r="G145" s="579" t="str" cm="1">
        <f t="array" aca="1" ref="G145" ca="1">INDIRECT(A145&amp;"!O24")</f>
        <v/>
      </c>
    </row>
    <row r="146" spans="1:7" x14ac:dyDescent="0.35">
      <c r="A146" s="60" t="s">
        <v>266</v>
      </c>
      <c r="B146" s="569">
        <f>DATE(Summary!$P$9,7,1)</f>
        <v>45474</v>
      </c>
      <c r="C146" s="578" cm="1">
        <f t="array" aca="1" ref="C146" ca="1">INDIRECT(A146&amp;"!D8")</f>
        <v>264</v>
      </c>
      <c r="D146" s="579" cm="1">
        <f t="array" aca="1" ref="D146" ca="1">INDIRECT(A146&amp;"!D$18")</f>
        <v>364819.28</v>
      </c>
      <c r="E146" s="579" cm="1">
        <f t="array" aca="1" ref="E146" ca="1">INDIRECT(A146&amp;"!D$19")</f>
        <v>122369.86</v>
      </c>
      <c r="F146" s="579" cm="1">
        <f t="array" aca="1" ref="F146" ca="1">IF(INDIRECT(A146&amp;"!D22")="","",INDIRECT(A146&amp;"!D$22")+INDIRECT(A146&amp;"!D23")+INDIRECT(A146&amp;"!D25"))</f>
        <v>10934.88</v>
      </c>
      <c r="G146" s="579" cm="1">
        <f t="array" aca="1" ref="G146" ca="1">INDIRECT(A146&amp;"!D24")</f>
        <v>-29040</v>
      </c>
    </row>
    <row r="147" spans="1:7" x14ac:dyDescent="0.35">
      <c r="A147" s="60" t="s">
        <v>266</v>
      </c>
      <c r="B147" s="569">
        <f>DATE(Summary!$P$9,8,1)</f>
        <v>45505</v>
      </c>
      <c r="C147" s="578" cm="1">
        <f t="array" aca="1" ref="C147" ca="1">INDIRECT(A147&amp;"!E8")</f>
        <v>263</v>
      </c>
      <c r="D147" s="579" cm="1">
        <f t="array" aca="1" ref="D147" ca="1">INDIRECT(A147&amp;"!E$18")</f>
        <v>605157.6</v>
      </c>
      <c r="E147" s="579" cm="1">
        <f t="array" aca="1" ref="E147" ca="1">INDIRECT(A147&amp;"!E$19")</f>
        <v>164533.18</v>
      </c>
      <c r="F147" s="579" cm="1">
        <f t="array" aca="1" ref="F147" ca="1">IF(INDIRECT(A147&amp;"!E22")="","",INDIRECT(A147&amp;"!E$22")+INDIRECT(A147&amp;"!E23")+INDIRECT(A147&amp;"!E25"))</f>
        <v>-256879.81999999998</v>
      </c>
      <c r="G147" s="579" cm="1">
        <f t="array" aca="1" ref="G147" ca="1">INDIRECT(A147&amp;"!E24")</f>
        <v>-28930</v>
      </c>
    </row>
    <row r="148" spans="1:7" x14ac:dyDescent="0.35">
      <c r="A148" s="60" t="s">
        <v>266</v>
      </c>
      <c r="B148" s="569">
        <f>DATE(Summary!$P$9,9,1)</f>
        <v>45536</v>
      </c>
      <c r="C148" s="578" cm="1">
        <f t="array" aca="1" ref="C148" ca="1">INDIRECT(A148&amp;"!F8")</f>
        <v>265</v>
      </c>
      <c r="D148" s="579" cm="1">
        <f t="array" aca="1" ref="D148" ca="1">INDIRECT(A148&amp;"!F$18")</f>
        <v>39172.17</v>
      </c>
      <c r="E148" s="579" cm="1">
        <f t="array" aca="1" ref="E148" ca="1">INDIRECT(A148&amp;"!F$19")</f>
        <v>132692.51999999999</v>
      </c>
      <c r="F148" s="579" cm="1">
        <f t="array" aca="1" ref="F148" ca="1">IF(INDIRECT(A148&amp;"!F22")="","",INDIRECT(A148&amp;"!F$22")+INDIRECT(A148&amp;"!F23")+INDIRECT(A148&amp;"!F25"))</f>
        <v>-803655.64999999991</v>
      </c>
      <c r="G148" s="579" cm="1">
        <f t="array" aca="1" ref="G148" ca="1">INDIRECT(A148&amp;"!F24")</f>
        <v>-29150</v>
      </c>
    </row>
    <row r="149" spans="1:7" x14ac:dyDescent="0.35">
      <c r="A149" s="60" t="s">
        <v>266</v>
      </c>
      <c r="B149" s="569">
        <f>DATE(Summary!$P$9,10,1)</f>
        <v>45566</v>
      </c>
      <c r="C149" s="578" cm="1">
        <f t="array" aca="1" ref="C149" ca="1">INDIRECT(A149&amp;"!G8")</f>
        <v>269</v>
      </c>
      <c r="D149" s="579" cm="1">
        <f t="array" aca="1" ref="D149" ca="1">INDIRECT(A149&amp;"!G$18")</f>
        <v>422311.02999999997</v>
      </c>
      <c r="E149" s="579" cm="1">
        <f t="array" aca="1" ref="E149" ca="1">INDIRECT(A149&amp;"!G$19")</f>
        <v>185544.43</v>
      </c>
      <c r="F149" s="579" cm="1">
        <f t="array" aca="1" ref="F149" ca="1">IF(INDIRECT(A149&amp;"!G22")="","",INDIRECT(A149&amp;"!G$22")+INDIRECT(A149&amp;"!G23")+INDIRECT(A149&amp;"!G25"))</f>
        <v>-209214.07</v>
      </c>
      <c r="G149" s="579" cm="1">
        <f t="array" aca="1" ref="G149" ca="1">INDIRECT(A149&amp;"!G24")</f>
        <v>-29590</v>
      </c>
    </row>
    <row r="150" spans="1:7" x14ac:dyDescent="0.35">
      <c r="A150" s="60" t="s">
        <v>266</v>
      </c>
      <c r="B150" s="569">
        <f>DATE(Summary!$P$9,11,1)</f>
        <v>45597</v>
      </c>
      <c r="C150" s="578" cm="1">
        <f t="array" aca="1" ref="C150" ca="1">INDIRECT(A150&amp;"!H8")</f>
        <v>270</v>
      </c>
      <c r="D150" s="579" cm="1">
        <f t="array" aca="1" ref="D150" ca="1">INDIRECT(A150&amp;"!H$18")</f>
        <v>636180.13</v>
      </c>
      <c r="E150" s="579" cm="1">
        <f t="array" aca="1" ref="E150" ca="1">INDIRECT(A150&amp;"!H$19")</f>
        <v>183246.78</v>
      </c>
      <c r="F150" s="579" cm="1">
        <f t="array" aca="1" ref="F150" ca="1">IF(INDIRECT(A150&amp;"!H22")="","",INDIRECT(A150&amp;"!H$22")+INDIRECT(A150&amp;"!H23")+INDIRECT(A150&amp;"!H25"))</f>
        <v>-211251.91000000003</v>
      </c>
      <c r="G150" s="579" cm="1">
        <f t="array" aca="1" ref="G150" ca="1">INDIRECT(A150&amp;"!H24")</f>
        <v>-29700</v>
      </c>
    </row>
    <row r="151" spans="1:7" x14ac:dyDescent="0.35">
      <c r="A151" s="60" t="s">
        <v>266</v>
      </c>
      <c r="B151" s="569">
        <f>DATE(Summary!$P$9,12,1)</f>
        <v>45627</v>
      </c>
      <c r="C151" s="578" cm="1">
        <f t="array" aca="1" ref="C151" ca="1">INDIRECT(A151&amp;"!I8")</f>
        <v>269</v>
      </c>
      <c r="D151" s="579" cm="1">
        <f t="array" aca="1" ref="D151" ca="1">INDIRECT(A151&amp;"!I$18")</f>
        <v>747308.65</v>
      </c>
      <c r="E151" s="579" cm="1">
        <f t="array" aca="1" ref="E151" ca="1">INDIRECT(A151&amp;"!I$19")</f>
        <v>156863.07</v>
      </c>
      <c r="F151" s="579" cm="1">
        <f t="array" aca="1" ref="F151" ca="1">IF(INDIRECT(A151&amp;"!I22")="","",INDIRECT(A151&amp;"!I$22")+INDIRECT(A151&amp;"!I23")+INDIRECT(A151&amp;"!I25"))</f>
        <v>355938.96000000008</v>
      </c>
      <c r="G151" s="579" cm="1">
        <f t="array" aca="1" ref="G151" ca="1">INDIRECT(A151&amp;"!I24")</f>
        <v>-29590</v>
      </c>
    </row>
    <row r="152" spans="1:7" x14ac:dyDescent="0.35">
      <c r="A152" s="60" t="s">
        <v>266</v>
      </c>
      <c r="B152" s="569">
        <f>DATE(Summary!$P$11,1,1)</f>
        <v>45658</v>
      </c>
      <c r="C152" s="578" cm="1">
        <f t="array" aca="1" ref="C152" ca="1">INDIRECT(A152&amp;"!J8")</f>
        <v>269</v>
      </c>
      <c r="D152" s="579" cm="1">
        <f t="array" aca="1" ref="D152" ca="1">INDIRECT(A152&amp;"!J$18")</f>
        <v>384639.68</v>
      </c>
      <c r="E152" s="579" cm="1">
        <f t="array" aca="1" ref="E152" ca="1">INDIRECT(A152&amp;"!J$19")</f>
        <v>129783.77</v>
      </c>
      <c r="F152" s="579" cm="1">
        <f t="array" aca="1" ref="F152" ca="1">IF(INDIRECT(A152&amp;"!J22")="","",INDIRECT(A152&amp;"!J$22")+INDIRECT(A152&amp;"!J23")+INDIRECT(A152&amp;"!J25"))</f>
        <v>-685603.07999999984</v>
      </c>
      <c r="G152" s="579" cm="1">
        <f t="array" aca="1" ref="G152" ca="1">INDIRECT(A152&amp;"!J24")</f>
        <v>0</v>
      </c>
    </row>
    <row r="153" spans="1:7" x14ac:dyDescent="0.35">
      <c r="A153" s="60" t="s">
        <v>266</v>
      </c>
      <c r="B153" s="569">
        <f>DATE(Summary!$P$11,2,1)</f>
        <v>45689</v>
      </c>
      <c r="C153" s="578" cm="1">
        <f t="array" aca="1" ref="C153" ca="1">INDIRECT(A153&amp;"!K8")</f>
        <v>269</v>
      </c>
      <c r="D153" s="579" cm="1">
        <f t="array" aca="1" ref="D153" ca="1">INDIRECT(A153&amp;"!K$18")</f>
        <v>386494.12</v>
      </c>
      <c r="E153" s="579" cm="1">
        <f t="array" aca="1" ref="E153" ca="1">INDIRECT(A153&amp;"!K$19")</f>
        <v>98101.349999999991</v>
      </c>
      <c r="F153" s="579" cm="1">
        <f t="array" aca="1" ref="F153" ca="1">IF(INDIRECT(A153&amp;"!K22")="","",INDIRECT(A153&amp;"!K$22")+INDIRECT(A153&amp;"!K23")+INDIRECT(A153&amp;"!K25"))</f>
        <v>-109997.43000000008</v>
      </c>
      <c r="G153" s="579" cm="1">
        <f t="array" aca="1" ref="G153" ca="1">INDIRECT(A153&amp;"!K24")</f>
        <v>0</v>
      </c>
    </row>
    <row r="154" spans="1:7" x14ac:dyDescent="0.35">
      <c r="A154" s="60" t="s">
        <v>266</v>
      </c>
      <c r="B154" s="569">
        <f>DATE(Summary!$P$11,3,1)</f>
        <v>45717</v>
      </c>
      <c r="C154" s="578" t="str" cm="1">
        <f t="array" aca="1" ref="C154" ca="1">INDIRECT(A154&amp;"!L8")</f>
        <v/>
      </c>
      <c r="D154" s="579" t="str" cm="1">
        <f t="array" aca="1" ref="D154" ca="1">INDIRECT(A154&amp;"!L$18")</f>
        <v/>
      </c>
      <c r="E154" s="579" t="str" cm="1">
        <f t="array" aca="1" ref="E154" ca="1">INDIRECT(A154&amp;"!L$19")</f>
        <v/>
      </c>
      <c r="F154" s="579" t="str" cm="1">
        <f t="array" aca="1" ref="F154" ca="1">IF(INDIRECT(A154&amp;"!L22")="","",INDIRECT(A154&amp;"!L$22")+INDIRECT(A154&amp;"!L23")+INDIRECT(A154&amp;"!L25"))</f>
        <v/>
      </c>
      <c r="G154" s="579" t="str" cm="1">
        <f t="array" aca="1" ref="G154" ca="1">INDIRECT(A154&amp;"!L24")</f>
        <v/>
      </c>
    </row>
    <row r="155" spans="1:7" x14ac:dyDescent="0.35">
      <c r="A155" s="60" t="s">
        <v>266</v>
      </c>
      <c r="B155" s="569">
        <f>DATE(Summary!$P$11,4,1)</f>
        <v>45748</v>
      </c>
      <c r="C155" s="578" t="str" cm="1">
        <f t="array" aca="1" ref="C155" ca="1">INDIRECT(A155&amp;"!M8")</f>
        <v/>
      </c>
      <c r="D155" s="579" t="str" cm="1">
        <f t="array" aca="1" ref="D155" ca="1">INDIRECT(A155&amp;"!M$18")</f>
        <v/>
      </c>
      <c r="E155" s="579" t="str" cm="1">
        <f t="array" aca="1" ref="E155" ca="1">INDIRECT(A155&amp;"!M$19")</f>
        <v/>
      </c>
      <c r="F155" s="579" t="str" cm="1">
        <f t="array" aca="1" ref="F155" ca="1">IF(INDIRECT(A155&amp;"!M22")="","",INDIRECT(A155&amp;"!M$22")+INDIRECT(A155&amp;"!M23")+INDIRECT(A155&amp;"!M25"))</f>
        <v/>
      </c>
      <c r="G155" s="579" t="str" cm="1">
        <f t="array" aca="1" ref="G155" ca="1">INDIRECT(A155&amp;"!M24")</f>
        <v/>
      </c>
    </row>
    <row r="156" spans="1:7" x14ac:dyDescent="0.35">
      <c r="A156" s="60" t="s">
        <v>266</v>
      </c>
      <c r="B156" s="569">
        <f>DATE(Summary!$P$11,5,1)</f>
        <v>45778</v>
      </c>
      <c r="C156" s="578" t="str" cm="1">
        <f t="array" aca="1" ref="C156" ca="1">INDIRECT(A156&amp;"!N8")</f>
        <v/>
      </c>
      <c r="D156" s="579" t="str" cm="1">
        <f t="array" aca="1" ref="D156" ca="1">INDIRECT(A156&amp;"!N$18")</f>
        <v/>
      </c>
      <c r="E156" s="579" t="str" cm="1">
        <f t="array" aca="1" ref="E156" ca="1">INDIRECT(A156&amp;"!N$19")</f>
        <v/>
      </c>
      <c r="F156" s="579" t="str" cm="1">
        <f t="array" aca="1" ref="F156" ca="1">IF(INDIRECT(A156&amp;"!N22")="","",INDIRECT(A156&amp;"!N$22")+INDIRECT(A156&amp;"!N23")+INDIRECT(A156&amp;"!N25"))</f>
        <v/>
      </c>
      <c r="G156" s="579" t="str" cm="1">
        <f t="array" aca="1" ref="G156" ca="1">INDIRECT(A156&amp;"!N24")</f>
        <v/>
      </c>
    </row>
    <row r="157" spans="1:7" x14ac:dyDescent="0.35">
      <c r="A157" s="60" t="s">
        <v>266</v>
      </c>
      <c r="B157" s="569">
        <f>DATE(Summary!$P$11,6,1)</f>
        <v>45809</v>
      </c>
      <c r="C157" s="578" t="str" cm="1">
        <f t="array" aca="1" ref="C157" ca="1">INDIRECT(A157&amp;"!O8")</f>
        <v/>
      </c>
      <c r="D157" s="579" t="str" cm="1">
        <f t="array" aca="1" ref="D157" ca="1">INDIRECT(A157&amp;"!O$18")</f>
        <v/>
      </c>
      <c r="E157" s="579" t="str" cm="1">
        <f t="array" aca="1" ref="E157" ca="1">INDIRECT(A157&amp;"!O$19")</f>
        <v/>
      </c>
      <c r="F157" s="579" t="str" cm="1">
        <f t="array" aca="1" ref="F157" ca="1">IF(INDIRECT(A157&amp;"!O22")="","",INDIRECT(A157&amp;"!O$22")+INDIRECT(A157&amp;"!O23")+INDIRECT(A157&amp;"!O25"))</f>
        <v/>
      </c>
      <c r="G157" s="579" t="str" cm="1">
        <f t="array" aca="1" ref="G157" ca="1">INDIRECT(A157&amp;"!O24")</f>
        <v/>
      </c>
    </row>
    <row r="158" spans="1:7" x14ac:dyDescent="0.35">
      <c r="A158" t="s">
        <v>267</v>
      </c>
      <c r="B158" s="569">
        <f>DATE(Summary!$P$9,7,1)</f>
        <v>45474</v>
      </c>
      <c r="C158" s="578" cm="1">
        <f t="array" aca="1" ref="C158" ca="1">INDIRECT(A158&amp;"!D8")</f>
        <v>187</v>
      </c>
      <c r="D158" s="579" cm="1">
        <f t="array" aca="1" ref="D158" ca="1">INDIRECT(A158&amp;"!D$18")</f>
        <v>115786.60999999999</v>
      </c>
      <c r="E158" s="579" cm="1">
        <f t="array" aca="1" ref="E158" ca="1">INDIRECT(A158&amp;"!D$19")</f>
        <v>124835.82</v>
      </c>
      <c r="F158" s="579" cm="1">
        <f t="array" aca="1" ref="F158" ca="1">IF(INDIRECT(A158&amp;"!D22")="","",INDIRECT(A158&amp;"!D$22")+INDIRECT(A158&amp;"!D23")+INDIRECT(A158&amp;"!D25"))</f>
        <v>2382.71</v>
      </c>
      <c r="G158" s="579" cm="1">
        <f t="array" aca="1" ref="G158" ca="1">INDIRECT(A158&amp;"!D24")</f>
        <v>-20570</v>
      </c>
    </row>
    <row r="159" spans="1:7" x14ac:dyDescent="0.35">
      <c r="A159" t="s">
        <v>267</v>
      </c>
      <c r="B159" s="569">
        <f>DATE(Summary!$P$9,8,1)</f>
        <v>45505</v>
      </c>
      <c r="C159" s="578" cm="1">
        <f t="array" aca="1" ref="C159" ca="1">INDIRECT(A159&amp;"!E8")</f>
        <v>186</v>
      </c>
      <c r="D159" s="579" cm="1">
        <f t="array" aca="1" ref="D159" ca="1">INDIRECT(A159&amp;"!E$18")</f>
        <v>197889.12</v>
      </c>
      <c r="E159" s="579" cm="1">
        <f t="array" aca="1" ref="E159" ca="1">INDIRECT(A159&amp;"!E$19")</f>
        <v>131876.32999999999</v>
      </c>
      <c r="F159" s="579" cm="1">
        <f t="array" aca="1" ref="F159" ca="1">IF(INDIRECT(A159&amp;"!E22")="","",INDIRECT(A159&amp;"!E$22")+INDIRECT(A159&amp;"!E23")+INDIRECT(A159&amp;"!E25"))</f>
        <v>4283.58</v>
      </c>
      <c r="G159" s="579" cm="1">
        <f t="array" aca="1" ref="G159" ca="1">INDIRECT(A159&amp;"!E24")</f>
        <v>-20460</v>
      </c>
    </row>
    <row r="160" spans="1:7" x14ac:dyDescent="0.35">
      <c r="A160" t="s">
        <v>267</v>
      </c>
      <c r="B160" s="569">
        <f>DATE(Summary!$P$9,9,1)</f>
        <v>45536</v>
      </c>
      <c r="C160" s="578" cm="1">
        <f t="array" aca="1" ref="C160" ca="1">INDIRECT(A160&amp;"!F8")</f>
        <v>198</v>
      </c>
      <c r="D160" s="579" cm="1">
        <f t="array" aca="1" ref="D160" ca="1">INDIRECT(A160&amp;"!F$18")</f>
        <v>266501.90999999997</v>
      </c>
      <c r="E160" s="579" cm="1">
        <f t="array" aca="1" ref="E160" ca="1">INDIRECT(A160&amp;"!F$19")</f>
        <v>148394.85999999999</v>
      </c>
      <c r="F160" s="579" cm="1">
        <f t="array" aca="1" ref="F160" ca="1">IF(INDIRECT(A160&amp;"!F22")="","",INDIRECT(A160&amp;"!F$22")+INDIRECT(A160&amp;"!F23")+INDIRECT(A160&amp;"!F25"))</f>
        <v>3403.5600000000004</v>
      </c>
      <c r="G160" s="579" cm="1">
        <f t="array" aca="1" ref="G160" ca="1">INDIRECT(A160&amp;"!F24")</f>
        <v>-21780</v>
      </c>
    </row>
    <row r="161" spans="1:7" x14ac:dyDescent="0.35">
      <c r="A161" t="s">
        <v>267</v>
      </c>
      <c r="B161" s="569">
        <f>DATE(Summary!$P$9,10,1)</f>
        <v>45566</v>
      </c>
      <c r="C161" s="578" cm="1">
        <f t="array" aca="1" ref="C161" ca="1">INDIRECT(A161&amp;"!G8")</f>
        <v>197</v>
      </c>
      <c r="D161" s="579" cm="1">
        <f t="array" aca="1" ref="D161" ca="1">INDIRECT(A161&amp;"!G$18")</f>
        <v>304071.24000000005</v>
      </c>
      <c r="E161" s="579" cm="1">
        <f t="array" aca="1" ref="E161" ca="1">INDIRECT(A161&amp;"!G$19")</f>
        <v>113544.81</v>
      </c>
      <c r="F161" s="579" cm="1">
        <f t="array" aca="1" ref="F161" ca="1">IF(INDIRECT(A161&amp;"!G22")="","",INDIRECT(A161&amp;"!G$22")+INDIRECT(A161&amp;"!G23")+INDIRECT(A161&amp;"!G25"))</f>
        <v>-106810.78</v>
      </c>
      <c r="G161" s="579" cm="1">
        <f t="array" aca="1" ref="G161" ca="1">INDIRECT(A161&amp;"!G24")</f>
        <v>-21670</v>
      </c>
    </row>
    <row r="162" spans="1:7" x14ac:dyDescent="0.35">
      <c r="A162" t="s">
        <v>267</v>
      </c>
      <c r="B162" s="569">
        <f>DATE(Summary!$P$9,11,1)</f>
        <v>45597</v>
      </c>
      <c r="C162" s="578" cm="1">
        <f t="array" aca="1" ref="C162" ca="1">INDIRECT(A162&amp;"!H8")</f>
        <v>195</v>
      </c>
      <c r="D162" s="579" cm="1">
        <f t="array" aca="1" ref="D162" ca="1">INDIRECT(A162&amp;"!H$18")</f>
        <v>121386.20999999999</v>
      </c>
      <c r="E162" s="579" cm="1">
        <f t="array" aca="1" ref="E162" ca="1">INDIRECT(A162&amp;"!H$19")</f>
        <v>123901.3</v>
      </c>
      <c r="F162" s="579" cm="1">
        <f t="array" aca="1" ref="F162" ca="1">IF(INDIRECT(A162&amp;"!H22")="","",INDIRECT(A162&amp;"!H$22")+INDIRECT(A162&amp;"!H23")+INDIRECT(A162&amp;"!H25"))</f>
        <v>-33463.020000000011</v>
      </c>
      <c r="G162" s="579" cm="1">
        <f t="array" aca="1" ref="G162" ca="1">INDIRECT(A162&amp;"!H24")</f>
        <v>-21450</v>
      </c>
    </row>
    <row r="163" spans="1:7" x14ac:dyDescent="0.35">
      <c r="A163" t="s">
        <v>267</v>
      </c>
      <c r="B163" s="569">
        <f>DATE(Summary!$P$9,12,1)</f>
        <v>45627</v>
      </c>
      <c r="C163" s="578" cm="1">
        <f t="array" aca="1" ref="C163" ca="1">INDIRECT(A163&amp;"!I8")</f>
        <v>200</v>
      </c>
      <c r="D163" s="579" cm="1">
        <f t="array" aca="1" ref="D163" ca="1">INDIRECT(A163&amp;"!I$18")</f>
        <v>456392.75999999995</v>
      </c>
      <c r="E163" s="579" cm="1">
        <f t="array" aca="1" ref="E163" ca="1">INDIRECT(A163&amp;"!I$19")</f>
        <v>83158</v>
      </c>
      <c r="F163" s="579" cm="1">
        <f t="array" aca="1" ref="F163" ca="1">IF(INDIRECT(A163&amp;"!I22")="","",INDIRECT(A163&amp;"!I$22")+INDIRECT(A163&amp;"!I23")+INDIRECT(A163&amp;"!I25"))</f>
        <v>-52264.739999999991</v>
      </c>
      <c r="G163" s="579" cm="1">
        <f t="array" aca="1" ref="G163" ca="1">INDIRECT(A163&amp;"!I24")</f>
        <v>-22000</v>
      </c>
    </row>
    <row r="164" spans="1:7" x14ac:dyDescent="0.35">
      <c r="A164" t="s">
        <v>267</v>
      </c>
      <c r="B164" s="569">
        <f>DATE(Summary!$P$11,1,1)</f>
        <v>45658</v>
      </c>
      <c r="C164" s="578" cm="1">
        <f t="array" aca="1" ref="C164" ca="1">INDIRECT(A164&amp;"!J8")</f>
        <v>200</v>
      </c>
      <c r="D164" s="579" cm="1">
        <f t="array" aca="1" ref="D164" ca="1">INDIRECT(A164&amp;"!J$18")</f>
        <v>379513.23</v>
      </c>
      <c r="E164" s="579" cm="1">
        <f t="array" aca="1" ref="E164" ca="1">INDIRECT(A164&amp;"!J$19")</f>
        <v>138582.29999999999</v>
      </c>
      <c r="F164" s="579" cm="1">
        <f t="array" aca="1" ref="F164" ca="1">IF(INDIRECT(A164&amp;"!J22")="","",INDIRECT(A164&amp;"!J$22")+INDIRECT(A164&amp;"!J23")+INDIRECT(A164&amp;"!J25"))</f>
        <v>-104690.18</v>
      </c>
      <c r="G164" s="579" cm="1">
        <f t="array" aca="1" ref="G164" ca="1">INDIRECT(A164&amp;"!J24")</f>
        <v>-22000</v>
      </c>
    </row>
    <row r="165" spans="1:7" x14ac:dyDescent="0.35">
      <c r="A165" t="s">
        <v>267</v>
      </c>
      <c r="B165" s="569">
        <f>DATE(Summary!$P$11,2,1)</f>
        <v>45689</v>
      </c>
      <c r="C165" s="578" cm="1">
        <f t="array" aca="1" ref="C165" ca="1">INDIRECT(A165&amp;"!K8")</f>
        <v>199</v>
      </c>
      <c r="D165" s="579" cm="1">
        <f t="array" aca="1" ref="D165" ca="1">INDIRECT(A165&amp;"!K$18")</f>
        <v>346212.41</v>
      </c>
      <c r="E165" s="579" cm="1">
        <f t="array" aca="1" ref="E165" ca="1">INDIRECT(A165&amp;"!K$19")</f>
        <v>94111.75</v>
      </c>
      <c r="F165" s="579" cm="1">
        <f t="array" aca="1" ref="F165" ca="1">IF(INDIRECT(A165&amp;"!K22")="","",INDIRECT(A165&amp;"!K$22")+INDIRECT(A165&amp;"!K23")+INDIRECT(A165&amp;"!K25"))</f>
        <v>-116570.03</v>
      </c>
      <c r="G165" s="579" cm="1">
        <f t="array" aca="1" ref="G165" ca="1">INDIRECT(A165&amp;"!K24")</f>
        <v>-21890</v>
      </c>
    </row>
    <row r="166" spans="1:7" x14ac:dyDescent="0.35">
      <c r="A166" t="s">
        <v>267</v>
      </c>
      <c r="B166" s="569">
        <f>DATE(Summary!$P$11,3,1)</f>
        <v>45717</v>
      </c>
      <c r="C166" s="578" t="str" cm="1">
        <f t="array" aca="1" ref="C166" ca="1">INDIRECT(A166&amp;"!L8")</f>
        <v/>
      </c>
      <c r="D166" s="579" t="str" cm="1">
        <f t="array" aca="1" ref="D166" ca="1">INDIRECT(A166&amp;"!L$18")</f>
        <v/>
      </c>
      <c r="E166" s="579" t="str" cm="1">
        <f t="array" aca="1" ref="E166" ca="1">INDIRECT(A166&amp;"!L$19")</f>
        <v/>
      </c>
      <c r="F166" s="579" t="str" cm="1">
        <f t="array" aca="1" ref="F166" ca="1">IF(INDIRECT(A166&amp;"!L22")="","",INDIRECT(A166&amp;"!L$22")+INDIRECT(A166&amp;"!L23")+INDIRECT(A166&amp;"!L25"))</f>
        <v/>
      </c>
      <c r="G166" s="579" t="str" cm="1">
        <f t="array" aca="1" ref="G166" ca="1">INDIRECT(A166&amp;"!L24")</f>
        <v/>
      </c>
    </row>
    <row r="167" spans="1:7" x14ac:dyDescent="0.35">
      <c r="A167" t="s">
        <v>267</v>
      </c>
      <c r="B167" s="569">
        <f>DATE(Summary!$P$11,4,1)</f>
        <v>45748</v>
      </c>
      <c r="C167" s="578" t="str" cm="1">
        <f t="array" aca="1" ref="C167" ca="1">INDIRECT(A167&amp;"!M8")</f>
        <v/>
      </c>
      <c r="D167" s="579" t="str" cm="1">
        <f t="array" aca="1" ref="D167" ca="1">INDIRECT(A167&amp;"!M$18")</f>
        <v/>
      </c>
      <c r="E167" s="579" t="str" cm="1">
        <f t="array" aca="1" ref="E167" ca="1">INDIRECT(A167&amp;"!M$19")</f>
        <v/>
      </c>
      <c r="F167" s="579" t="str" cm="1">
        <f t="array" aca="1" ref="F167" ca="1">IF(INDIRECT(A167&amp;"!M22")="","",INDIRECT(A167&amp;"!M$22")+INDIRECT(A167&amp;"!M23")+INDIRECT(A167&amp;"!M25"))</f>
        <v/>
      </c>
      <c r="G167" s="579" t="str" cm="1">
        <f t="array" aca="1" ref="G167" ca="1">INDIRECT(A167&amp;"!M24")</f>
        <v/>
      </c>
    </row>
    <row r="168" spans="1:7" x14ac:dyDescent="0.35">
      <c r="A168" t="s">
        <v>267</v>
      </c>
      <c r="B168" s="569">
        <f>DATE(Summary!$P$11,5,1)</f>
        <v>45778</v>
      </c>
      <c r="C168" s="578" t="str" cm="1">
        <f t="array" aca="1" ref="C168" ca="1">INDIRECT(A168&amp;"!N8")</f>
        <v/>
      </c>
      <c r="D168" s="579" t="str" cm="1">
        <f t="array" aca="1" ref="D168" ca="1">INDIRECT(A168&amp;"!N$18")</f>
        <v/>
      </c>
      <c r="E168" s="579" t="str" cm="1">
        <f t="array" aca="1" ref="E168" ca="1">INDIRECT(A168&amp;"!N$19")</f>
        <v/>
      </c>
      <c r="F168" s="579" t="str" cm="1">
        <f t="array" aca="1" ref="F168" ca="1">IF(INDIRECT(A168&amp;"!N22")="","",INDIRECT(A168&amp;"!N$22")+INDIRECT(A168&amp;"!N23")+INDIRECT(A168&amp;"!N25"))</f>
        <v/>
      </c>
      <c r="G168" s="579" t="str" cm="1">
        <f t="array" aca="1" ref="G168" ca="1">INDIRECT(A168&amp;"!N24")</f>
        <v/>
      </c>
    </row>
    <row r="169" spans="1:7" x14ac:dyDescent="0.35">
      <c r="A169" t="s">
        <v>267</v>
      </c>
      <c r="B169" s="569">
        <f>DATE(Summary!$P$11,6,1)</f>
        <v>45809</v>
      </c>
      <c r="C169" s="578" t="str" cm="1">
        <f t="array" aca="1" ref="C169" ca="1">INDIRECT(A169&amp;"!O8")</f>
        <v/>
      </c>
      <c r="D169" s="579" t="str" cm="1">
        <f t="array" aca="1" ref="D169" ca="1">INDIRECT(A169&amp;"!O$18")</f>
        <v/>
      </c>
      <c r="E169" s="579" t="str" cm="1">
        <f t="array" aca="1" ref="E169" ca="1">INDIRECT(A169&amp;"!O$19")</f>
        <v/>
      </c>
      <c r="F169" s="579" t="str" cm="1">
        <f t="array" aca="1" ref="F169" ca="1">IF(INDIRECT(A169&amp;"!O22")="","",INDIRECT(A169&amp;"!O$22")+INDIRECT(A169&amp;"!O23")+INDIRECT(A169&amp;"!O25"))</f>
        <v/>
      </c>
      <c r="G169" s="579" t="str" cm="1">
        <f t="array" aca="1" ref="G169" ca="1">INDIRECT(A169&amp;"!O24")</f>
        <v/>
      </c>
    </row>
    <row r="170" spans="1:7" x14ac:dyDescent="0.35">
      <c r="A170" t="s">
        <v>259</v>
      </c>
      <c r="B170" s="569">
        <f>DATE(Summary!$P$9,7,1)</f>
        <v>45474</v>
      </c>
      <c r="C170" s="578" cm="1">
        <f t="array" aca="1" ref="C170" ca="1">INDIRECT(A170&amp;"!D8")</f>
        <v>321</v>
      </c>
      <c r="D170" s="579" cm="1">
        <f t="array" aca="1" ref="D170" ca="1">INDIRECT(A170&amp;"!D$18")</f>
        <v>321740.46000000002</v>
      </c>
      <c r="E170" s="579" cm="1">
        <f t="array" aca="1" ref="E170" ca="1">INDIRECT(A170&amp;"!D$19")</f>
        <v>232163.9</v>
      </c>
      <c r="F170" s="579" cm="1">
        <f t="array" aca="1" ref="F170" ca="1">IF(INDIRECT(A170&amp;"!D22")="","",INDIRECT(A170&amp;"!D$22")+INDIRECT(A170&amp;"!D23")+INDIRECT(A170&amp;"!D25"))</f>
        <v>-96.430000000000291</v>
      </c>
      <c r="G170" s="579" cm="1">
        <f t="array" aca="1" ref="G170" ca="1">INDIRECT(A170&amp;"!D24")</f>
        <v>-35310</v>
      </c>
    </row>
    <row r="171" spans="1:7" x14ac:dyDescent="0.35">
      <c r="A171" t="s">
        <v>259</v>
      </c>
      <c r="B171" s="569">
        <f>DATE(Summary!$P$9,8,1)</f>
        <v>45505</v>
      </c>
      <c r="C171" s="578" cm="1">
        <f t="array" aca="1" ref="C171" ca="1">INDIRECT(A171&amp;"!E8")</f>
        <v>319</v>
      </c>
      <c r="D171" s="579" cm="1">
        <f t="array" aca="1" ref="D171" ca="1">INDIRECT(A171&amp;"!E$18")</f>
        <v>860556.61</v>
      </c>
      <c r="E171" s="579" cm="1">
        <f t="array" aca="1" ref="E171" ca="1">INDIRECT(A171&amp;"!E$19")</f>
        <v>320032.89</v>
      </c>
      <c r="F171" s="579" cm="1">
        <f t="array" aca="1" ref="F171" ca="1">IF(INDIRECT(A171&amp;"!E22")="","",INDIRECT(A171&amp;"!E$22")+INDIRECT(A171&amp;"!E23")+INDIRECT(A171&amp;"!E25"))</f>
        <v>-199854.86</v>
      </c>
      <c r="G171" s="579" cm="1">
        <f t="array" aca="1" ref="G171" ca="1">INDIRECT(A171&amp;"!E24")</f>
        <v>-35090</v>
      </c>
    </row>
    <row r="172" spans="1:7" x14ac:dyDescent="0.35">
      <c r="A172" t="s">
        <v>259</v>
      </c>
      <c r="B172" s="569">
        <f>DATE(Summary!$P$9,9,1)</f>
        <v>45536</v>
      </c>
      <c r="C172" s="578" cm="1">
        <f t="array" aca="1" ref="C172" ca="1">INDIRECT(A172&amp;"!F8")</f>
        <v>309</v>
      </c>
      <c r="D172" s="579" cm="1">
        <f t="array" aca="1" ref="D172" ca="1">INDIRECT(A172&amp;"!F$18")</f>
        <v>288925.48</v>
      </c>
      <c r="E172" s="579" cm="1">
        <f t="array" aca="1" ref="E172" ca="1">INDIRECT(A172&amp;"!F$19")</f>
        <v>232156.02</v>
      </c>
      <c r="F172" s="579" cm="1">
        <f t="array" aca="1" ref="F172" ca="1">IF(INDIRECT(A172&amp;"!F22")="","",INDIRECT(A172&amp;"!F$22")+INDIRECT(A172&amp;"!F23")+INDIRECT(A172&amp;"!F25"))</f>
        <v>-56125.200000000012</v>
      </c>
      <c r="G172" s="579" cm="1">
        <f t="array" aca="1" ref="G172" ca="1">INDIRECT(A172&amp;"!F24")</f>
        <v>-33990</v>
      </c>
    </row>
    <row r="173" spans="1:7" x14ac:dyDescent="0.35">
      <c r="A173" t="s">
        <v>259</v>
      </c>
      <c r="B173" s="569">
        <f>DATE(Summary!$P$9,10,1)</f>
        <v>45566</v>
      </c>
      <c r="C173" s="578" cm="1">
        <f t="array" aca="1" ref="C173" ca="1">INDIRECT(A173&amp;"!G8")</f>
        <v>307</v>
      </c>
      <c r="D173" s="579" cm="1">
        <f t="array" aca="1" ref="D173" ca="1">INDIRECT(A173&amp;"!G$18")</f>
        <v>269974.05</v>
      </c>
      <c r="E173" s="579" cm="1">
        <f t="array" aca="1" ref="E173" ca="1">INDIRECT(A173&amp;"!G$19")</f>
        <v>238116.73</v>
      </c>
      <c r="F173" s="579" cm="1">
        <f t="array" aca="1" ref="F173" ca="1">IF(INDIRECT(A173&amp;"!G22")="","",INDIRECT(A173&amp;"!G$22")+INDIRECT(A173&amp;"!G23")+INDIRECT(A173&amp;"!G25"))</f>
        <v>-89687.3</v>
      </c>
      <c r="G173" s="579" cm="1">
        <f t="array" aca="1" ref="G173" ca="1">INDIRECT(A173&amp;"!G24")</f>
        <v>-33770</v>
      </c>
    </row>
    <row r="174" spans="1:7" x14ac:dyDescent="0.35">
      <c r="A174" t="s">
        <v>259</v>
      </c>
      <c r="B174" s="569">
        <f>DATE(Summary!$P$9,11,1)</f>
        <v>45597</v>
      </c>
      <c r="C174" s="578" cm="1">
        <f t="array" aca="1" ref="C174" ca="1">INDIRECT(A174&amp;"!H8")</f>
        <v>307</v>
      </c>
      <c r="D174" s="579" cm="1">
        <f t="array" aca="1" ref="D174" ca="1">INDIRECT(A174&amp;"!H$18")</f>
        <v>466348.66000000003</v>
      </c>
      <c r="E174" s="579" cm="1">
        <f t="array" aca="1" ref="E174" ca="1">INDIRECT(A174&amp;"!H$19")</f>
        <v>300119.42</v>
      </c>
      <c r="F174" s="579" cm="1">
        <f t="array" aca="1" ref="F174" ca="1">IF(INDIRECT(A174&amp;"!H22")="","",INDIRECT(A174&amp;"!H$22")+INDIRECT(A174&amp;"!H23")+INDIRECT(A174&amp;"!H25"))</f>
        <v>-128718.38</v>
      </c>
      <c r="G174" s="579" cm="1">
        <f t="array" aca="1" ref="G174" ca="1">INDIRECT(A174&amp;"!H24")</f>
        <v>-33770</v>
      </c>
    </row>
    <row r="175" spans="1:7" x14ac:dyDescent="0.35">
      <c r="A175" t="s">
        <v>259</v>
      </c>
      <c r="B175" s="569">
        <f>DATE(Summary!$P$9,12,1)</f>
        <v>45627</v>
      </c>
      <c r="C175" s="578" cm="1">
        <f t="array" aca="1" ref="C175" ca="1">INDIRECT(A175&amp;"!I8")</f>
        <v>307</v>
      </c>
      <c r="D175" s="579" cm="1">
        <f t="array" aca="1" ref="D175" ca="1">INDIRECT(A175&amp;"!I$18")</f>
        <v>626143.25999999989</v>
      </c>
      <c r="E175" s="579" cm="1">
        <f t="array" aca="1" ref="E175" ca="1">INDIRECT(A175&amp;"!I$19")</f>
        <v>205148</v>
      </c>
      <c r="F175" s="579" cm="1">
        <f t="array" aca="1" ref="F175" ca="1">IF(INDIRECT(A175&amp;"!I22")="","",INDIRECT(A175&amp;"!I$22")+INDIRECT(A175&amp;"!I23")+INDIRECT(A175&amp;"!I25"))</f>
        <v>-271842.3</v>
      </c>
      <c r="G175" s="579" cm="1">
        <f t="array" aca="1" ref="G175" ca="1">INDIRECT(A175&amp;"!I24")</f>
        <v>-33770</v>
      </c>
    </row>
    <row r="176" spans="1:7" x14ac:dyDescent="0.35">
      <c r="A176" t="s">
        <v>259</v>
      </c>
      <c r="B176" s="569">
        <f>DATE(Summary!$P$11,1,1)</f>
        <v>45658</v>
      </c>
      <c r="C176" s="578" cm="1">
        <f t="array" aca="1" ref="C176" ca="1">INDIRECT(A176&amp;"!J8")</f>
        <v>306</v>
      </c>
      <c r="D176" s="579" cm="1">
        <f t="array" aca="1" ref="D176" ca="1">INDIRECT(A176&amp;"!J$18")</f>
        <v>490526.02</v>
      </c>
      <c r="E176" s="579" cm="1">
        <f t="array" aca="1" ref="E176" ca="1">INDIRECT(A176&amp;"!J$19")</f>
        <v>310587.28999999998</v>
      </c>
      <c r="F176" s="579" cm="1">
        <f t="array" aca="1" ref="F176" ca="1">IF(INDIRECT(A176&amp;"!J22")="","",INDIRECT(A176&amp;"!J$22")+INDIRECT(A176&amp;"!J23")+INDIRECT(A176&amp;"!J25"))</f>
        <v>-157185.66999999995</v>
      </c>
      <c r="G176" s="579" cm="1">
        <f t="array" aca="1" ref="G176" ca="1">INDIRECT(A176&amp;"!J24")</f>
        <v>-33660</v>
      </c>
    </row>
    <row r="177" spans="1:7" x14ac:dyDescent="0.35">
      <c r="A177" t="s">
        <v>259</v>
      </c>
      <c r="B177" s="569">
        <f>DATE(Summary!$P$11,2,1)</f>
        <v>45689</v>
      </c>
      <c r="C177" s="578" cm="1">
        <f t="array" aca="1" ref="C177" ca="1">INDIRECT(A177&amp;"!K8")</f>
        <v>305</v>
      </c>
      <c r="D177" s="579" cm="1">
        <f t="array" aca="1" ref="D177" ca="1">INDIRECT(A177&amp;"!K$18")</f>
        <v>502346.01</v>
      </c>
      <c r="E177" s="579" cm="1">
        <f t="array" aca="1" ref="E177" ca="1">INDIRECT(A177&amp;"!K$19")</f>
        <v>229135.02</v>
      </c>
      <c r="F177" s="579" cm="1">
        <f t="array" aca="1" ref="F177" ca="1">IF(INDIRECT(A177&amp;"!K22")="","",INDIRECT(A177&amp;"!K$22")+INDIRECT(A177&amp;"!K23")+INDIRECT(A177&amp;"!K25"))</f>
        <v>-109159.5800000001</v>
      </c>
      <c r="G177" s="579" cm="1">
        <f t="array" aca="1" ref="G177" ca="1">INDIRECT(A177&amp;"!K24")</f>
        <v>-33550</v>
      </c>
    </row>
    <row r="178" spans="1:7" x14ac:dyDescent="0.35">
      <c r="A178" t="s">
        <v>259</v>
      </c>
      <c r="B178" s="569">
        <f>DATE(Summary!$P$11,3,1)</f>
        <v>45717</v>
      </c>
      <c r="C178" s="578" t="str" cm="1">
        <f t="array" aca="1" ref="C178" ca="1">INDIRECT(A178&amp;"!L8")</f>
        <v/>
      </c>
      <c r="D178" s="579" t="str" cm="1">
        <f t="array" aca="1" ref="D178" ca="1">INDIRECT(A178&amp;"!L$18")</f>
        <v/>
      </c>
      <c r="E178" s="579" t="str" cm="1">
        <f t="array" aca="1" ref="E178" ca="1">INDIRECT(A178&amp;"!L$19")</f>
        <v/>
      </c>
      <c r="F178" s="579" t="str" cm="1">
        <f t="array" aca="1" ref="F178" ca="1">IF(INDIRECT(A178&amp;"!L22")="","",INDIRECT(A178&amp;"!L$22")+INDIRECT(A178&amp;"!L23")+INDIRECT(A178&amp;"!L25"))</f>
        <v/>
      </c>
      <c r="G178" s="579" t="str" cm="1">
        <f t="array" aca="1" ref="G178" ca="1">INDIRECT(A178&amp;"!L24")</f>
        <v/>
      </c>
    </row>
    <row r="179" spans="1:7" x14ac:dyDescent="0.35">
      <c r="A179" t="s">
        <v>259</v>
      </c>
      <c r="B179" s="569">
        <f>DATE(Summary!$P$11,4,1)</f>
        <v>45748</v>
      </c>
      <c r="C179" s="578" t="str" cm="1">
        <f t="array" aca="1" ref="C179" ca="1">INDIRECT(A179&amp;"!M8")</f>
        <v/>
      </c>
      <c r="D179" s="579" t="str" cm="1">
        <f t="array" aca="1" ref="D179" ca="1">INDIRECT(A179&amp;"!M$18")</f>
        <v/>
      </c>
      <c r="E179" s="579" t="str" cm="1">
        <f t="array" aca="1" ref="E179" ca="1">INDIRECT(A179&amp;"!M$19")</f>
        <v/>
      </c>
      <c r="F179" s="579" t="str" cm="1">
        <f t="array" aca="1" ref="F179" ca="1">IF(INDIRECT(A179&amp;"!M22")="","",INDIRECT(A179&amp;"!M$22")+INDIRECT(A179&amp;"!M23")+INDIRECT(A179&amp;"!M25"))</f>
        <v/>
      </c>
      <c r="G179" s="579" t="str" cm="1">
        <f t="array" aca="1" ref="G179" ca="1">INDIRECT(A179&amp;"!M24")</f>
        <v/>
      </c>
    </row>
    <row r="180" spans="1:7" x14ac:dyDescent="0.35">
      <c r="A180" t="s">
        <v>259</v>
      </c>
      <c r="B180" s="569">
        <f>DATE(Summary!$P$11,5,1)</f>
        <v>45778</v>
      </c>
      <c r="C180" s="578" t="str" cm="1">
        <f t="array" aca="1" ref="C180" ca="1">INDIRECT(A180&amp;"!N8")</f>
        <v/>
      </c>
      <c r="D180" s="579" t="str" cm="1">
        <f t="array" aca="1" ref="D180" ca="1">INDIRECT(A180&amp;"!N$18")</f>
        <v/>
      </c>
      <c r="E180" s="579" t="str" cm="1">
        <f t="array" aca="1" ref="E180" ca="1">INDIRECT(A180&amp;"!N$19")</f>
        <v/>
      </c>
      <c r="F180" s="579" t="str" cm="1">
        <f t="array" aca="1" ref="F180" ca="1">IF(INDIRECT(A180&amp;"!N22")="","",INDIRECT(A180&amp;"!N$22")+INDIRECT(A180&amp;"!N23")+INDIRECT(A180&amp;"!N25"))</f>
        <v/>
      </c>
      <c r="G180" s="579" t="str" cm="1">
        <f t="array" aca="1" ref="G180" ca="1">INDIRECT(A180&amp;"!N24")</f>
        <v/>
      </c>
    </row>
    <row r="181" spans="1:7" x14ac:dyDescent="0.35">
      <c r="A181" t="s">
        <v>259</v>
      </c>
      <c r="B181" s="569">
        <f>DATE(Summary!$P$11,6,1)</f>
        <v>45809</v>
      </c>
      <c r="C181" s="578" t="str" cm="1">
        <f t="array" aca="1" ref="C181" ca="1">INDIRECT(A181&amp;"!O8")</f>
        <v/>
      </c>
      <c r="D181" s="579" t="str" cm="1">
        <f t="array" aca="1" ref="D181" ca="1">INDIRECT(A181&amp;"!O$18")</f>
        <v/>
      </c>
      <c r="E181" s="579" t="str" cm="1">
        <f t="array" aca="1" ref="E181" ca="1">INDIRECT(A181&amp;"!O$19")</f>
        <v/>
      </c>
      <c r="F181" s="579" t="str" cm="1">
        <f t="array" aca="1" ref="F181" ca="1">IF(INDIRECT(A181&amp;"!O22")="","",INDIRECT(A181&amp;"!O$22")+INDIRECT(A181&amp;"!O23")+INDIRECT(A181&amp;"!O25"))</f>
        <v/>
      </c>
      <c r="G181" s="579" t="str" cm="1">
        <f t="array" aca="1" ref="G181" ca="1">INDIRECT(A181&amp;"!O24")</f>
        <v/>
      </c>
    </row>
    <row r="182" spans="1:7" x14ac:dyDescent="0.35">
      <c r="A182" t="s">
        <v>268</v>
      </c>
      <c r="B182" s="569">
        <f>DATE(Summary!$P$9,7,1)</f>
        <v>45474</v>
      </c>
      <c r="C182" s="578" cm="1">
        <f t="array" aca="1" ref="C182" ca="1">INDIRECT(A182&amp;"!D8")</f>
        <v>192</v>
      </c>
      <c r="D182" s="579" cm="1">
        <f t="array" aca="1" ref="D182" ca="1">INDIRECT(A182&amp;"!D$18")</f>
        <v>158403.91999999998</v>
      </c>
      <c r="E182" s="579" cm="1">
        <f t="array" aca="1" ref="E182" ca="1">INDIRECT(A182&amp;"!D$19")</f>
        <v>55196.55</v>
      </c>
      <c r="F182" s="579" cm="1">
        <f t="array" aca="1" ref="F182" ca="1">IF(INDIRECT(A182&amp;"!D22")="","",INDIRECT(A182&amp;"!D$22")+INDIRECT(A182&amp;"!D23")+INDIRECT(A182&amp;"!D25"))</f>
        <v>2209.75</v>
      </c>
      <c r="G182" s="579" cm="1">
        <f t="array" aca="1" ref="G182" ca="1">INDIRECT(A182&amp;"!D24")</f>
        <v>-21120</v>
      </c>
    </row>
    <row r="183" spans="1:7" x14ac:dyDescent="0.35">
      <c r="A183" t="s">
        <v>268</v>
      </c>
      <c r="B183" s="569">
        <f>DATE(Summary!$P$9,8,1)</f>
        <v>45505</v>
      </c>
      <c r="C183" s="578" cm="1">
        <f t="array" aca="1" ref="C183" ca="1">INDIRECT(A183&amp;"!E8")</f>
        <v>190</v>
      </c>
      <c r="D183" s="579" cm="1">
        <f t="array" aca="1" ref="D183" ca="1">INDIRECT(A183&amp;"!E$18")</f>
        <v>339428.95</v>
      </c>
      <c r="E183" s="579" cm="1">
        <f t="array" aca="1" ref="E183" ca="1">INDIRECT(A183&amp;"!E$19")</f>
        <v>96702.28</v>
      </c>
      <c r="F183" s="579" cm="1">
        <f t="array" aca="1" ref="F183" ca="1">IF(INDIRECT(A183&amp;"!E22")="","",INDIRECT(A183&amp;"!E$22")+INDIRECT(A183&amp;"!E23")+INDIRECT(A183&amp;"!E25"))</f>
        <v>-98417.190000000017</v>
      </c>
      <c r="G183" s="579" cm="1">
        <f t="array" aca="1" ref="G183" ca="1">INDIRECT(A183&amp;"!E24")</f>
        <v>-20900</v>
      </c>
    </row>
    <row r="184" spans="1:7" x14ac:dyDescent="0.35">
      <c r="A184" t="s">
        <v>268</v>
      </c>
      <c r="B184" s="569">
        <f>DATE(Summary!$P$9,9,1)</f>
        <v>45536</v>
      </c>
      <c r="C184" s="578" cm="1">
        <f t="array" aca="1" ref="C184" ca="1">INDIRECT(A184&amp;"!F8")</f>
        <v>194</v>
      </c>
      <c r="D184" s="579" cm="1">
        <f t="array" aca="1" ref="D184" ca="1">INDIRECT(A184&amp;"!F$18")</f>
        <v>145825.76</v>
      </c>
      <c r="E184" s="579" cm="1">
        <f t="array" aca="1" ref="E184" ca="1">INDIRECT(A184&amp;"!F$19")</f>
        <v>84598.95</v>
      </c>
      <c r="F184" s="579" cm="1">
        <f t="array" aca="1" ref="F184" ca="1">IF(INDIRECT(A184&amp;"!F22")="","",INDIRECT(A184&amp;"!F$22")+INDIRECT(A184&amp;"!F23")+INDIRECT(A184&amp;"!F25"))</f>
        <v>-6313.9200000000019</v>
      </c>
      <c r="G184" s="579" cm="1">
        <f t="array" aca="1" ref="G184" ca="1">INDIRECT(A184&amp;"!F24")</f>
        <v>-21340</v>
      </c>
    </row>
    <row r="185" spans="1:7" x14ac:dyDescent="0.35">
      <c r="A185" t="s">
        <v>268</v>
      </c>
      <c r="B185" s="569">
        <f>DATE(Summary!$P$9,10,1)</f>
        <v>45566</v>
      </c>
      <c r="C185" s="578" cm="1">
        <f t="array" aca="1" ref="C185" ca="1">INDIRECT(A185&amp;"!G8")</f>
        <v>191</v>
      </c>
      <c r="D185" s="579" cm="1">
        <f t="array" aca="1" ref="D185" ca="1">INDIRECT(A185&amp;"!G$18")</f>
        <v>204582.65</v>
      </c>
      <c r="E185" s="579" cm="1">
        <f t="array" aca="1" ref="E185" ca="1">INDIRECT(A185&amp;"!G$19")</f>
        <v>118927.92</v>
      </c>
      <c r="F185" s="579" cm="1">
        <f t="array" aca="1" ref="F185" ca="1">IF(INDIRECT(A185&amp;"!G22")="","",INDIRECT(A185&amp;"!G$22")+INDIRECT(A185&amp;"!G23")+INDIRECT(A185&amp;"!G25"))</f>
        <v>-2247.4099999999989</v>
      </c>
      <c r="G185" s="579" cm="1">
        <f t="array" aca="1" ref="G185" ca="1">INDIRECT(A185&amp;"!G24")</f>
        <v>-21010</v>
      </c>
    </row>
    <row r="186" spans="1:7" x14ac:dyDescent="0.35">
      <c r="A186" t="s">
        <v>268</v>
      </c>
      <c r="B186" s="569">
        <f>DATE(Summary!$P$9,11,1)</f>
        <v>45597</v>
      </c>
      <c r="C186" s="578" cm="1">
        <f t="array" aca="1" ref="C186" ca="1">INDIRECT(A186&amp;"!H8")</f>
        <v>190</v>
      </c>
      <c r="D186" s="579" cm="1">
        <f t="array" aca="1" ref="D186" ca="1">INDIRECT(A186&amp;"!H$18")</f>
        <v>227457.76</v>
      </c>
      <c r="E186" s="579" cm="1">
        <f t="array" aca="1" ref="E186" ca="1">INDIRECT(A186&amp;"!H$19")</f>
        <v>130574.51</v>
      </c>
      <c r="F186" s="579" cm="1">
        <f t="array" aca="1" ref="F186" ca="1">IF(INDIRECT(A186&amp;"!H22")="","",INDIRECT(A186&amp;"!H$22")+INDIRECT(A186&amp;"!H23")+INDIRECT(A186&amp;"!H25"))</f>
        <v>-6422.0599999999922</v>
      </c>
      <c r="G186" s="579" cm="1">
        <f t="array" aca="1" ref="G186" ca="1">INDIRECT(A186&amp;"!H24")</f>
        <v>-20900</v>
      </c>
    </row>
    <row r="187" spans="1:7" x14ac:dyDescent="0.35">
      <c r="A187" t="s">
        <v>268</v>
      </c>
      <c r="B187" s="569">
        <f>DATE(Summary!$P$9,12,1)</f>
        <v>45627</v>
      </c>
      <c r="C187" s="578" cm="1">
        <f t="array" aca="1" ref="C187" ca="1">INDIRECT(A187&amp;"!I8")</f>
        <v>189</v>
      </c>
      <c r="D187" s="579" cm="1">
        <f t="array" aca="1" ref="D187" ca="1">INDIRECT(A187&amp;"!I$18")</f>
        <v>234257.76</v>
      </c>
      <c r="E187" s="579" cm="1">
        <f t="array" aca="1" ref="E187" ca="1">INDIRECT(A187&amp;"!I$19")</f>
        <v>102451.34</v>
      </c>
      <c r="F187" s="579" cm="1">
        <f t="array" aca="1" ref="F187" ca="1">IF(INDIRECT(A187&amp;"!I22")="","",INDIRECT(A187&amp;"!I$22")+INDIRECT(A187&amp;"!I23")+INDIRECT(A187&amp;"!I25"))</f>
        <v>-10380.969999999999</v>
      </c>
      <c r="G187" s="579" cm="1">
        <f t="array" aca="1" ref="G187" ca="1">INDIRECT(A187&amp;"!I24")</f>
        <v>-20790</v>
      </c>
    </row>
    <row r="188" spans="1:7" x14ac:dyDescent="0.35">
      <c r="A188" t="s">
        <v>268</v>
      </c>
      <c r="B188" s="569">
        <f>DATE(Summary!$P$11,1,1)</f>
        <v>45658</v>
      </c>
      <c r="C188" s="578" cm="1">
        <f t="array" aca="1" ref="C188" ca="1">INDIRECT(A188&amp;"!J8")</f>
        <v>190</v>
      </c>
      <c r="D188" s="579" cm="1">
        <f t="array" aca="1" ref="D188" ca="1">INDIRECT(A188&amp;"!J$18")</f>
        <v>367447.3</v>
      </c>
      <c r="E188" s="579" cm="1">
        <f t="array" aca="1" ref="E188" ca="1">INDIRECT(A188&amp;"!J$19")</f>
        <v>175560.7</v>
      </c>
      <c r="F188" s="579" cm="1">
        <f t="array" aca="1" ref="F188" ca="1">IF(INDIRECT(A188&amp;"!J22")="","",INDIRECT(A188&amp;"!J$22")+INDIRECT(A188&amp;"!J23")+INDIRECT(A188&amp;"!J25"))</f>
        <v>-22772.050000000007</v>
      </c>
      <c r="G188" s="579" cm="1">
        <f t="array" aca="1" ref="G188" ca="1">INDIRECT(A188&amp;"!J24")</f>
        <v>-20900</v>
      </c>
    </row>
    <row r="189" spans="1:7" x14ac:dyDescent="0.35">
      <c r="A189" t="s">
        <v>268</v>
      </c>
      <c r="B189" s="569">
        <f>DATE(Summary!$P$11,2,1)</f>
        <v>45689</v>
      </c>
      <c r="C189" s="578" cm="1">
        <f t="array" aca="1" ref="C189" ca="1">INDIRECT(A189&amp;"!K8")</f>
        <v>188</v>
      </c>
      <c r="D189" s="579" cm="1">
        <f t="array" aca="1" ref="D189" ca="1">INDIRECT(A189&amp;"!K$18")</f>
        <v>252029.01</v>
      </c>
      <c r="E189" s="579" cm="1">
        <f t="array" aca="1" ref="E189" ca="1">INDIRECT(A189&amp;"!K$19")</f>
        <v>97222.26</v>
      </c>
      <c r="F189" s="579" cm="1">
        <f t="array" aca="1" ref="F189" ca="1">IF(INDIRECT(A189&amp;"!K22")="","",INDIRECT(A189&amp;"!K$22")+INDIRECT(A189&amp;"!K23")+INDIRECT(A189&amp;"!K25"))</f>
        <v>-43949.069999999992</v>
      </c>
      <c r="G189" s="579" cm="1">
        <f t="array" aca="1" ref="G189" ca="1">INDIRECT(A189&amp;"!K24")</f>
        <v>-20680</v>
      </c>
    </row>
    <row r="190" spans="1:7" x14ac:dyDescent="0.35">
      <c r="A190" t="s">
        <v>268</v>
      </c>
      <c r="B190" s="569">
        <f>DATE(Summary!$P$11,3,1)</f>
        <v>45717</v>
      </c>
      <c r="C190" s="578" t="str" cm="1">
        <f t="array" aca="1" ref="C190" ca="1">INDIRECT(A190&amp;"!L8")</f>
        <v/>
      </c>
      <c r="D190" s="579" t="str" cm="1">
        <f t="array" aca="1" ref="D190" ca="1">INDIRECT(A190&amp;"!L$18")</f>
        <v/>
      </c>
      <c r="E190" s="579" t="str" cm="1">
        <f t="array" aca="1" ref="E190" ca="1">INDIRECT(A190&amp;"!L$19")</f>
        <v/>
      </c>
      <c r="F190" s="579" t="str" cm="1">
        <f t="array" aca="1" ref="F190" ca="1">IF(INDIRECT(A190&amp;"!L22")="","",INDIRECT(A190&amp;"!L$22")+INDIRECT(A190&amp;"!L23")+INDIRECT(A190&amp;"!L25"))</f>
        <v/>
      </c>
      <c r="G190" s="579" t="str" cm="1">
        <f t="array" aca="1" ref="G190" ca="1">INDIRECT(A190&amp;"!L24")</f>
        <v/>
      </c>
    </row>
    <row r="191" spans="1:7" x14ac:dyDescent="0.35">
      <c r="A191" t="s">
        <v>268</v>
      </c>
      <c r="B191" s="569">
        <f>DATE(Summary!$P$11,4,1)</f>
        <v>45748</v>
      </c>
      <c r="C191" s="578" t="str" cm="1">
        <f t="array" aca="1" ref="C191" ca="1">INDIRECT(A191&amp;"!M8")</f>
        <v/>
      </c>
      <c r="D191" s="579" t="str" cm="1">
        <f t="array" aca="1" ref="D191" ca="1">INDIRECT(A191&amp;"!M$18")</f>
        <v/>
      </c>
      <c r="E191" s="579" t="str" cm="1">
        <f t="array" aca="1" ref="E191" ca="1">INDIRECT(A191&amp;"!M$19")</f>
        <v/>
      </c>
      <c r="F191" s="579" t="str" cm="1">
        <f t="array" aca="1" ref="F191" ca="1">IF(INDIRECT(A191&amp;"!M22")="","",INDIRECT(A191&amp;"!M$22")+INDIRECT(A191&amp;"!M23")+INDIRECT(A191&amp;"!M25"))</f>
        <v/>
      </c>
      <c r="G191" s="579" t="str" cm="1">
        <f t="array" aca="1" ref="G191" ca="1">INDIRECT(A191&amp;"!M24")</f>
        <v/>
      </c>
    </row>
    <row r="192" spans="1:7" x14ac:dyDescent="0.35">
      <c r="A192" t="s">
        <v>268</v>
      </c>
      <c r="B192" s="569">
        <f>DATE(Summary!$P$11,5,1)</f>
        <v>45778</v>
      </c>
      <c r="C192" s="578" t="str" cm="1">
        <f t="array" aca="1" ref="C192" ca="1">INDIRECT(A192&amp;"!N8")</f>
        <v/>
      </c>
      <c r="D192" s="579" t="str" cm="1">
        <f t="array" aca="1" ref="D192" ca="1">INDIRECT(A192&amp;"!N$18")</f>
        <v/>
      </c>
      <c r="E192" s="579" t="str" cm="1">
        <f t="array" aca="1" ref="E192" ca="1">INDIRECT(A192&amp;"!N$19")</f>
        <v/>
      </c>
      <c r="F192" s="579" t="str" cm="1">
        <f t="array" aca="1" ref="F192" ca="1">IF(INDIRECT(A192&amp;"!N22")="","",INDIRECT(A192&amp;"!N$22")+INDIRECT(A192&amp;"!N23")+INDIRECT(A192&amp;"!N25"))</f>
        <v/>
      </c>
      <c r="G192" s="579" t="str" cm="1">
        <f t="array" aca="1" ref="G192" ca="1">INDIRECT(A192&amp;"!N24")</f>
        <v/>
      </c>
    </row>
    <row r="193" spans="1:7" x14ac:dyDescent="0.35">
      <c r="A193" t="s">
        <v>268</v>
      </c>
      <c r="B193" s="569">
        <f>DATE(Summary!$P$11,6,1)</f>
        <v>45809</v>
      </c>
      <c r="C193" s="578" t="str" cm="1">
        <f t="array" aca="1" ref="C193" ca="1">INDIRECT(A193&amp;"!O8")</f>
        <v/>
      </c>
      <c r="D193" s="579" t="str" cm="1">
        <f t="array" aca="1" ref="D193" ca="1">INDIRECT(A193&amp;"!O$18")</f>
        <v/>
      </c>
      <c r="E193" s="579" t="str" cm="1">
        <f t="array" aca="1" ref="E193" ca="1">INDIRECT(A193&amp;"!O$19")</f>
        <v/>
      </c>
      <c r="F193" s="579" t="str" cm="1">
        <f t="array" aca="1" ref="F193" ca="1">IF(INDIRECT(A193&amp;"!O22")="","",INDIRECT(A193&amp;"!O$22")+INDIRECT(A193&amp;"!O23")+INDIRECT(A193&amp;"!O25"))</f>
        <v/>
      </c>
      <c r="G193" s="579" t="str" cm="1">
        <f t="array" aca="1" ref="G193" ca="1">INDIRECT(A193&amp;"!O24")</f>
        <v/>
      </c>
    </row>
    <row r="194" spans="1:7" x14ac:dyDescent="0.35">
      <c r="A194" t="s">
        <v>269</v>
      </c>
      <c r="B194" s="569">
        <f>DATE(Summary!$P$9,7,1)</f>
        <v>45474</v>
      </c>
      <c r="C194" s="578" cm="1">
        <f t="array" aca="1" ref="C194" ca="1">INDIRECT(A194&amp;"!D8")</f>
        <v>101</v>
      </c>
      <c r="D194" s="579" cm="1">
        <f t="array" aca="1" ref="D194" ca="1">INDIRECT(A194&amp;"!D$18")</f>
        <v>111649.28</v>
      </c>
      <c r="E194" s="579" cm="1">
        <f t="array" aca="1" ref="E194" ca="1">INDIRECT(A194&amp;"!D$19")</f>
        <v>31248.87</v>
      </c>
      <c r="F194" s="579" cm="1">
        <f t="array" aca="1" ref="F194" ca="1">IF(INDIRECT(A194&amp;"!D22")="","",INDIRECT(A194&amp;"!D$22")+INDIRECT(A194&amp;"!D23")+INDIRECT(A194&amp;"!D25"))</f>
        <v>3026.01</v>
      </c>
      <c r="G194" s="579" cm="1">
        <f t="array" aca="1" ref="G194" ca="1">INDIRECT(A194&amp;"!D24")</f>
        <v>-11110</v>
      </c>
    </row>
    <row r="195" spans="1:7" x14ac:dyDescent="0.35">
      <c r="A195" t="s">
        <v>269</v>
      </c>
      <c r="B195" s="569">
        <f>DATE(Summary!$P$9,8,1)</f>
        <v>45505</v>
      </c>
      <c r="C195" s="578" cm="1">
        <f t="array" aca="1" ref="C195" ca="1">INDIRECT(A195&amp;"!E8")</f>
        <v>99</v>
      </c>
      <c r="D195" s="579" cm="1">
        <f t="array" aca="1" ref="D195" ca="1">INDIRECT(A195&amp;"!E$18")</f>
        <v>219762.22</v>
      </c>
      <c r="E195" s="579" cm="1">
        <f t="array" aca="1" ref="E195" ca="1">INDIRECT(A195&amp;"!E$19")</f>
        <v>49686.35</v>
      </c>
      <c r="F195" s="579" cm="1">
        <f t="array" aca="1" ref="F195" ca="1">IF(INDIRECT(A195&amp;"!E22")="","",INDIRECT(A195&amp;"!E$22")+INDIRECT(A195&amp;"!E23")+INDIRECT(A195&amp;"!E25"))</f>
        <v>-71858.78</v>
      </c>
      <c r="G195" s="579" cm="1">
        <f t="array" aca="1" ref="G195" ca="1">INDIRECT(A195&amp;"!E24")</f>
        <v>-10890</v>
      </c>
    </row>
    <row r="196" spans="1:7" x14ac:dyDescent="0.35">
      <c r="A196" t="s">
        <v>269</v>
      </c>
      <c r="B196" s="569">
        <f>DATE(Summary!$P$9,9,1)</f>
        <v>45536</v>
      </c>
      <c r="C196" s="578" cm="1">
        <f t="array" aca="1" ref="C196" ca="1">INDIRECT(A196&amp;"!F8")</f>
        <v>102</v>
      </c>
      <c r="D196" s="579" cm="1">
        <f t="array" aca="1" ref="D196" ca="1">INDIRECT(A196&amp;"!F$18")</f>
        <v>91484.659999999989</v>
      </c>
      <c r="E196" s="579" cm="1">
        <f t="array" aca="1" ref="E196" ca="1">INDIRECT(A196&amp;"!F$19")</f>
        <v>39423.31</v>
      </c>
      <c r="F196" s="579" cm="1">
        <f t="array" aca="1" ref="F196" ca="1">IF(INDIRECT(A196&amp;"!F22")="","",INDIRECT(A196&amp;"!F$22")+INDIRECT(A196&amp;"!F23")+INDIRECT(A196&amp;"!F25"))</f>
        <v>-3151.0500000000052</v>
      </c>
      <c r="G196" s="579" cm="1">
        <f t="array" aca="1" ref="G196" ca="1">INDIRECT(A196&amp;"!F24")</f>
        <v>-11220</v>
      </c>
    </row>
    <row r="197" spans="1:7" x14ac:dyDescent="0.35">
      <c r="A197" t="s">
        <v>269</v>
      </c>
      <c r="B197" s="569">
        <f>DATE(Summary!$P$9,10,1)</f>
        <v>45566</v>
      </c>
      <c r="C197" s="578" cm="1">
        <f t="array" aca="1" ref="C197" ca="1">INDIRECT(A197&amp;"!G8")</f>
        <v>104</v>
      </c>
      <c r="D197" s="579" cm="1">
        <f t="array" aca="1" ref="D197" ca="1">INDIRECT(A197&amp;"!G$18")</f>
        <v>45894.65</v>
      </c>
      <c r="E197" s="579" cm="1">
        <f t="array" aca="1" ref="E197" ca="1">INDIRECT(A197&amp;"!G$19")</f>
        <v>39742.379999999997</v>
      </c>
      <c r="F197" s="579" cm="1">
        <f t="array" aca="1" ref="F197" ca="1">IF(INDIRECT(A197&amp;"!G22")="","",INDIRECT(A197&amp;"!G$22")+INDIRECT(A197&amp;"!G23")+INDIRECT(A197&amp;"!G25"))</f>
        <v>1144.9599999999937</v>
      </c>
      <c r="G197" s="579" cm="1">
        <f t="array" aca="1" ref="G197" ca="1">INDIRECT(A197&amp;"!G24")</f>
        <v>-11440</v>
      </c>
    </row>
    <row r="198" spans="1:7" x14ac:dyDescent="0.35">
      <c r="A198" t="s">
        <v>269</v>
      </c>
      <c r="B198" s="569">
        <f>DATE(Summary!$P$9,11,1)</f>
        <v>45597</v>
      </c>
      <c r="C198" s="578" cm="1">
        <f t="array" aca="1" ref="C198" ca="1">INDIRECT(A198&amp;"!H8")</f>
        <v>102</v>
      </c>
      <c r="D198" s="579" cm="1">
        <f t="array" aca="1" ref="D198" ca="1">INDIRECT(A198&amp;"!H$18")</f>
        <v>86693.709999999992</v>
      </c>
      <c r="E198" s="579" cm="1">
        <f t="array" aca="1" ref="E198" ca="1">INDIRECT(A198&amp;"!H$19")</f>
        <v>71036.350000000006</v>
      </c>
      <c r="F198" s="579" cm="1">
        <f t="array" aca="1" ref="F198" ca="1">IF(INDIRECT(A198&amp;"!H22")="","",INDIRECT(A198&amp;"!H$22")+INDIRECT(A198&amp;"!H23")+INDIRECT(A198&amp;"!H25"))</f>
        <v>2388.5099999999998</v>
      </c>
      <c r="G198" s="579" cm="1">
        <f t="array" aca="1" ref="G198" ca="1">INDIRECT(A198&amp;"!H24")</f>
        <v>-11220</v>
      </c>
    </row>
    <row r="199" spans="1:7" x14ac:dyDescent="0.35">
      <c r="A199" t="s">
        <v>269</v>
      </c>
      <c r="B199" s="569">
        <f>DATE(Summary!$P$9,12,1)</f>
        <v>45627</v>
      </c>
      <c r="C199" s="578" cm="1">
        <f t="array" aca="1" ref="C199" ca="1">INDIRECT(A199&amp;"!I8")</f>
        <v>102</v>
      </c>
      <c r="D199" s="579" cm="1">
        <f t="array" aca="1" ref="D199" ca="1">INDIRECT(A199&amp;"!I$18")</f>
        <v>56973.81</v>
      </c>
      <c r="E199" s="579" cm="1">
        <f t="array" aca="1" ref="E199" ca="1">INDIRECT(A199&amp;"!I$19")</f>
        <v>42115.24</v>
      </c>
      <c r="F199" s="579" cm="1">
        <f t="array" aca="1" ref="F199" ca="1">IF(INDIRECT(A199&amp;"!I22")="","",INDIRECT(A199&amp;"!I$22")+INDIRECT(A199&amp;"!I23")+INDIRECT(A199&amp;"!I25"))</f>
        <v>1792.8</v>
      </c>
      <c r="G199" s="579" cm="1">
        <f t="array" aca="1" ref="G199" ca="1">INDIRECT(A199&amp;"!I24")</f>
        <v>-11220</v>
      </c>
    </row>
    <row r="200" spans="1:7" x14ac:dyDescent="0.35">
      <c r="A200" t="s">
        <v>269</v>
      </c>
      <c r="B200" s="569">
        <f>DATE(Summary!$P$11,1,1)</f>
        <v>45658</v>
      </c>
      <c r="C200" s="578" cm="1">
        <f t="array" aca="1" ref="C200" ca="1">INDIRECT(A200&amp;"!J8")</f>
        <v>103</v>
      </c>
      <c r="D200" s="579" cm="1">
        <f t="array" aca="1" ref="D200" ca="1">INDIRECT(A200&amp;"!J$18")</f>
        <v>139450.84</v>
      </c>
      <c r="E200" s="579" cm="1">
        <f t="array" aca="1" ref="E200" ca="1">INDIRECT(A200&amp;"!J$19")</f>
        <v>51034.239999999998</v>
      </c>
      <c r="F200" s="579" cm="1">
        <f t="array" aca="1" ref="F200" ca="1">IF(INDIRECT(A200&amp;"!J22")="","",INDIRECT(A200&amp;"!J$22")+INDIRECT(A200&amp;"!J23")+INDIRECT(A200&amp;"!J25"))</f>
        <v>3539.3</v>
      </c>
      <c r="G200" s="579" cm="1">
        <f t="array" aca="1" ref="G200" ca="1">INDIRECT(A200&amp;"!J24")</f>
        <v>-11330</v>
      </c>
    </row>
    <row r="201" spans="1:7" x14ac:dyDescent="0.35">
      <c r="A201" t="s">
        <v>269</v>
      </c>
      <c r="B201" s="569">
        <f>DATE(Summary!$P$11,2,1)</f>
        <v>45689</v>
      </c>
      <c r="C201" s="578" cm="1">
        <f t="array" aca="1" ref="C201" ca="1">INDIRECT(A201&amp;"!K8")</f>
        <v>102</v>
      </c>
      <c r="D201" s="579" cm="1">
        <f t="array" aca="1" ref="D201" ca="1">INDIRECT(A201&amp;"!K$18")</f>
        <v>234792.01</v>
      </c>
      <c r="E201" s="579" cm="1">
        <f t="array" aca="1" ref="E201" ca="1">INDIRECT(A201&amp;"!K$19")</f>
        <v>42215.95</v>
      </c>
      <c r="F201" s="579" cm="1">
        <f t="array" aca="1" ref="F201" ca="1">IF(INDIRECT(A201&amp;"!K22")="","",INDIRECT(A201&amp;"!K$22")+INDIRECT(A201&amp;"!K23")+INDIRECT(A201&amp;"!K25"))</f>
        <v>-125738.47999999998</v>
      </c>
      <c r="G201" s="579" cm="1">
        <f t="array" aca="1" ref="G201" ca="1">INDIRECT(A201&amp;"!K24")</f>
        <v>-11220</v>
      </c>
    </row>
    <row r="202" spans="1:7" x14ac:dyDescent="0.35">
      <c r="A202" t="s">
        <v>269</v>
      </c>
      <c r="B202" s="569">
        <f>DATE(Summary!$P$11,3,1)</f>
        <v>45717</v>
      </c>
      <c r="C202" s="578" t="str" cm="1">
        <f t="array" aca="1" ref="C202" ca="1">INDIRECT(A202&amp;"!L8")</f>
        <v/>
      </c>
      <c r="D202" s="579" t="str" cm="1">
        <f t="array" aca="1" ref="D202" ca="1">INDIRECT(A202&amp;"!L$18")</f>
        <v/>
      </c>
      <c r="E202" s="579" t="str" cm="1">
        <f t="array" aca="1" ref="E202" ca="1">INDIRECT(A202&amp;"!L$19")</f>
        <v/>
      </c>
      <c r="F202" s="579" t="str" cm="1">
        <f t="array" aca="1" ref="F202" ca="1">IF(INDIRECT(A202&amp;"!L22")="","",INDIRECT(A202&amp;"!L$22")+INDIRECT(A202&amp;"!L23")+INDIRECT(A202&amp;"!L25"))</f>
        <v/>
      </c>
      <c r="G202" s="579" t="str" cm="1">
        <f t="array" aca="1" ref="G202" ca="1">INDIRECT(A202&amp;"!L24")</f>
        <v/>
      </c>
    </row>
    <row r="203" spans="1:7" x14ac:dyDescent="0.35">
      <c r="A203" t="s">
        <v>269</v>
      </c>
      <c r="B203" s="569">
        <f>DATE(Summary!$P$11,4,1)</f>
        <v>45748</v>
      </c>
      <c r="C203" s="578" t="str" cm="1">
        <f t="array" aca="1" ref="C203" ca="1">INDIRECT(A203&amp;"!M8")</f>
        <v/>
      </c>
      <c r="D203" s="579" t="str" cm="1">
        <f t="array" aca="1" ref="D203" ca="1">INDIRECT(A203&amp;"!M$18")</f>
        <v/>
      </c>
      <c r="E203" s="579" t="str" cm="1">
        <f t="array" aca="1" ref="E203" ca="1">INDIRECT(A203&amp;"!M$19")</f>
        <v/>
      </c>
      <c r="F203" s="579" t="str" cm="1">
        <f t="array" aca="1" ref="F203" ca="1">IF(INDIRECT(A203&amp;"!M22")="","",INDIRECT(A203&amp;"!M$22")+INDIRECT(A203&amp;"!M23")+INDIRECT(A203&amp;"!M25"))</f>
        <v/>
      </c>
      <c r="G203" s="579" t="str" cm="1">
        <f t="array" aca="1" ref="G203" ca="1">INDIRECT(A203&amp;"!M24")</f>
        <v/>
      </c>
    </row>
    <row r="204" spans="1:7" x14ac:dyDescent="0.35">
      <c r="A204" t="s">
        <v>269</v>
      </c>
      <c r="B204" s="569">
        <f>DATE(Summary!$P$11,5,1)</f>
        <v>45778</v>
      </c>
      <c r="C204" s="578" t="str" cm="1">
        <f t="array" aca="1" ref="C204" ca="1">INDIRECT(A204&amp;"!N8")</f>
        <v/>
      </c>
      <c r="D204" s="579" t="str" cm="1">
        <f t="array" aca="1" ref="D204" ca="1">INDIRECT(A204&amp;"!N$18")</f>
        <v/>
      </c>
      <c r="E204" s="579" t="str" cm="1">
        <f t="array" aca="1" ref="E204" ca="1">INDIRECT(A204&amp;"!N$19")</f>
        <v/>
      </c>
      <c r="F204" s="579" t="str" cm="1">
        <f t="array" aca="1" ref="F204" ca="1">IF(INDIRECT(A204&amp;"!N22")="","",INDIRECT(A204&amp;"!N$22")+INDIRECT(A204&amp;"!N23")+INDIRECT(A204&amp;"!N25"))</f>
        <v/>
      </c>
      <c r="G204" s="579" t="str" cm="1">
        <f t="array" aca="1" ref="G204" ca="1">INDIRECT(A204&amp;"!N24")</f>
        <v/>
      </c>
    </row>
    <row r="205" spans="1:7" x14ac:dyDescent="0.35">
      <c r="A205" t="s">
        <v>269</v>
      </c>
      <c r="B205" s="569">
        <f>DATE(Summary!$P$11,6,1)</f>
        <v>45809</v>
      </c>
      <c r="C205" s="578" t="str" cm="1">
        <f t="array" aca="1" ref="C205" ca="1">INDIRECT(A205&amp;"!O8")</f>
        <v/>
      </c>
      <c r="D205" s="579" t="str" cm="1">
        <f t="array" aca="1" ref="D205" ca="1">INDIRECT(A205&amp;"!O$18")</f>
        <v/>
      </c>
      <c r="E205" s="579" t="str" cm="1">
        <f t="array" aca="1" ref="E205" ca="1">INDIRECT(A205&amp;"!O$19")</f>
        <v/>
      </c>
      <c r="F205" s="579" t="str" cm="1">
        <f t="array" aca="1" ref="F205" ca="1">IF(INDIRECT(A205&amp;"!O22")="","",INDIRECT(A205&amp;"!O$22")+INDIRECT(A205&amp;"!O23")+INDIRECT(A205&amp;"!O25"))</f>
        <v/>
      </c>
      <c r="G205" s="579" t="str" cm="1">
        <f t="array" aca="1" ref="G205" ca="1">INDIRECT(A205&amp;"!O24")</f>
        <v/>
      </c>
    </row>
    <row r="206" spans="1:7" x14ac:dyDescent="0.35">
      <c r="A206" t="s">
        <v>260</v>
      </c>
      <c r="B206" s="569">
        <f>DATE(Summary!$P$9,7,1)</f>
        <v>45474</v>
      </c>
      <c r="C206" s="578" cm="1">
        <f t="array" aca="1" ref="C206" ca="1">INDIRECT(A206&amp;"!D8")</f>
        <v>52</v>
      </c>
      <c r="D206" s="579" cm="1">
        <f t="array" aca="1" ref="D206" ca="1">INDIRECT(A206&amp;"!D$18")</f>
        <v>31077</v>
      </c>
      <c r="E206" s="579" cm="1">
        <f t="array" aca="1" ref="E206" ca="1">INDIRECT(A206&amp;"!D$19")</f>
        <v>20448.349999999999</v>
      </c>
      <c r="F206" s="579" cm="1">
        <f t="array" aca="1" ref="F206" ca="1">IF(INDIRECT(A206&amp;"!D22")="","",INDIRECT(A206&amp;"!D$22")+INDIRECT(A206&amp;"!D23")+INDIRECT(A206&amp;"!D25"))</f>
        <v>300</v>
      </c>
      <c r="G206" s="579" cm="1">
        <f t="array" aca="1" ref="G206" ca="1">INDIRECT(A206&amp;"!D24")</f>
        <v>-5720</v>
      </c>
    </row>
    <row r="207" spans="1:7" x14ac:dyDescent="0.35">
      <c r="A207" t="s">
        <v>260</v>
      </c>
      <c r="B207" s="569">
        <f>DATE(Summary!$P$9,8,1)</f>
        <v>45505</v>
      </c>
      <c r="C207" s="578" cm="1">
        <f t="array" aca="1" ref="C207" ca="1">INDIRECT(A207&amp;"!E8")</f>
        <v>52</v>
      </c>
      <c r="D207" s="579" cm="1">
        <f t="array" aca="1" ref="D207" ca="1">INDIRECT(A207&amp;"!E$18")</f>
        <v>73739.900000000009</v>
      </c>
      <c r="E207" s="579" cm="1">
        <f t="array" aca="1" ref="E207" ca="1">INDIRECT(A207&amp;"!E$19")</f>
        <v>33526.49</v>
      </c>
      <c r="F207" s="579" cm="1">
        <f t="array" aca="1" ref="F207" ca="1">IF(INDIRECT(A207&amp;"!E22")="","",INDIRECT(A207&amp;"!E$22")+INDIRECT(A207&amp;"!E23")+INDIRECT(A207&amp;"!E25"))</f>
        <v>930.51</v>
      </c>
      <c r="G207" s="579" cm="1">
        <f t="array" aca="1" ref="G207" ca="1">INDIRECT(A207&amp;"!E24")</f>
        <v>-5720</v>
      </c>
    </row>
    <row r="208" spans="1:7" x14ac:dyDescent="0.35">
      <c r="A208" t="s">
        <v>260</v>
      </c>
      <c r="B208" s="569">
        <f>DATE(Summary!$P$9,9,1)</f>
        <v>45536</v>
      </c>
      <c r="C208" s="578" cm="1">
        <f t="array" aca="1" ref="C208" ca="1">INDIRECT(A208&amp;"!F8")</f>
        <v>53</v>
      </c>
      <c r="D208" s="579" cm="1">
        <f t="array" aca="1" ref="D208" ca="1">INDIRECT(A208&amp;"!F$18")</f>
        <v>45790.92</v>
      </c>
      <c r="E208" s="579" cm="1">
        <f t="array" aca="1" ref="E208" ca="1">INDIRECT(A208&amp;"!F$19")</f>
        <v>30146.77</v>
      </c>
      <c r="F208" s="579" cm="1">
        <f t="array" aca="1" ref="F208" ca="1">IF(INDIRECT(A208&amp;"!F22")="","",INDIRECT(A208&amp;"!F$22")+INDIRECT(A208&amp;"!F23")+INDIRECT(A208&amp;"!F25"))</f>
        <v>56.449999999999989</v>
      </c>
      <c r="G208" s="579" cm="1">
        <f t="array" aca="1" ref="G208" ca="1">INDIRECT(A208&amp;"!F24")</f>
        <v>-5830</v>
      </c>
    </row>
    <row r="209" spans="1:7" x14ac:dyDescent="0.35">
      <c r="A209" t="s">
        <v>260</v>
      </c>
      <c r="B209" s="569">
        <f>DATE(Summary!$P$9,10,1)</f>
        <v>45566</v>
      </c>
      <c r="C209" s="578" cm="1">
        <f t="array" aca="1" ref="C209" ca="1">INDIRECT(A209&amp;"!G8")</f>
        <v>54</v>
      </c>
      <c r="D209" s="579" cm="1">
        <f t="array" aca="1" ref="D209" ca="1">INDIRECT(A209&amp;"!G$18")</f>
        <v>64211.78</v>
      </c>
      <c r="E209" s="579" cm="1">
        <f t="array" aca="1" ref="E209" ca="1">INDIRECT(A209&amp;"!G$19")</f>
        <v>25994.36</v>
      </c>
      <c r="F209" s="579" cm="1">
        <f t="array" aca="1" ref="F209" ca="1">IF(INDIRECT(A209&amp;"!G22")="","",INDIRECT(A209&amp;"!G$22")+INDIRECT(A209&amp;"!G23")+INDIRECT(A209&amp;"!G25"))</f>
        <v>1033.21</v>
      </c>
      <c r="G209" s="579" cm="1">
        <f t="array" aca="1" ref="G209" ca="1">INDIRECT(A209&amp;"!G24")</f>
        <v>-5940</v>
      </c>
    </row>
    <row r="210" spans="1:7" x14ac:dyDescent="0.35">
      <c r="A210" t="s">
        <v>260</v>
      </c>
      <c r="B210" s="569">
        <f>DATE(Summary!$P$9,11,1)</f>
        <v>45597</v>
      </c>
      <c r="C210" s="578" cm="1">
        <f t="array" aca="1" ref="C210" ca="1">INDIRECT(A210&amp;"!H8")</f>
        <v>55</v>
      </c>
      <c r="D210" s="579" cm="1">
        <f t="array" aca="1" ref="D210" ca="1">INDIRECT(A210&amp;"!H$18")</f>
        <v>47354.75</v>
      </c>
      <c r="E210" s="579" cm="1">
        <f t="array" aca="1" ref="E210" ca="1">INDIRECT(A210&amp;"!H$19")</f>
        <v>30069.77</v>
      </c>
      <c r="F210" s="579" cm="1">
        <f t="array" aca="1" ref="F210" ca="1">IF(INDIRECT(A210&amp;"!H22")="","",INDIRECT(A210&amp;"!H$22")+INDIRECT(A210&amp;"!H23")+INDIRECT(A210&amp;"!H25"))</f>
        <v>1238.98</v>
      </c>
      <c r="G210" s="579" cm="1">
        <f t="array" aca="1" ref="G210" ca="1">INDIRECT(A210&amp;"!H24")</f>
        <v>-6050</v>
      </c>
    </row>
    <row r="211" spans="1:7" x14ac:dyDescent="0.35">
      <c r="A211" t="s">
        <v>260</v>
      </c>
      <c r="B211" s="569">
        <f>DATE(Summary!$P$9,12,1)</f>
        <v>45627</v>
      </c>
      <c r="C211" s="578" cm="1">
        <f t="array" aca="1" ref="C211" ca="1">INDIRECT(A211&amp;"!I8")</f>
        <v>55</v>
      </c>
      <c r="D211" s="579" cm="1">
        <f t="array" aca="1" ref="D211" ca="1">INDIRECT(A211&amp;"!I$18")</f>
        <v>58955.009999999995</v>
      </c>
      <c r="E211" s="579" cm="1">
        <f t="array" aca="1" ref="E211" ca="1">INDIRECT(A211&amp;"!I$19")</f>
        <v>25749.22</v>
      </c>
      <c r="F211" s="579" cm="1">
        <f t="array" aca="1" ref="F211" ca="1">IF(INDIRECT(A211&amp;"!I22")="","",INDIRECT(A211&amp;"!I$22")+INDIRECT(A211&amp;"!I23")+INDIRECT(A211&amp;"!I25"))</f>
        <v>316.48999999999995</v>
      </c>
      <c r="G211" s="579" cm="1">
        <f t="array" aca="1" ref="G211" ca="1">INDIRECT(A211&amp;"!I24")</f>
        <v>-6050</v>
      </c>
    </row>
    <row r="212" spans="1:7" x14ac:dyDescent="0.35">
      <c r="A212" t="s">
        <v>260</v>
      </c>
      <c r="B212" s="569">
        <f>DATE(Summary!$P$11,1,1)</f>
        <v>45658</v>
      </c>
      <c r="C212" s="578" cm="1">
        <f t="array" aca="1" ref="C212" ca="1">INDIRECT(A212&amp;"!J8")</f>
        <v>55</v>
      </c>
      <c r="D212" s="579" cm="1">
        <f t="array" aca="1" ref="D212" ca="1">INDIRECT(A212&amp;"!J$18")</f>
        <v>70930.7</v>
      </c>
      <c r="E212" s="579" cm="1">
        <f t="array" aca="1" ref="E212" ca="1">INDIRECT(A212&amp;"!J$19")</f>
        <v>40859.99</v>
      </c>
      <c r="F212" s="579" cm="1">
        <f t="array" aca="1" ref="F212" ca="1">IF(INDIRECT(A212&amp;"!J22")="","",INDIRECT(A212&amp;"!J$22")+INDIRECT(A212&amp;"!J23")+INDIRECT(A212&amp;"!J25"))</f>
        <v>1066.96</v>
      </c>
      <c r="G212" s="579" cm="1">
        <f t="array" aca="1" ref="G212" ca="1">INDIRECT(A212&amp;"!J24")</f>
        <v>-6050</v>
      </c>
    </row>
    <row r="213" spans="1:7" x14ac:dyDescent="0.35">
      <c r="A213" t="s">
        <v>260</v>
      </c>
      <c r="B213" s="569">
        <f>DATE(Summary!$P$11,2,1)</f>
        <v>45689</v>
      </c>
      <c r="C213" s="578" cm="1">
        <f t="array" aca="1" ref="C213" ca="1">INDIRECT(A213&amp;"!K8")</f>
        <v>55</v>
      </c>
      <c r="D213" s="579" cm="1">
        <f t="array" aca="1" ref="D213" ca="1">INDIRECT(A213&amp;"!K$18")</f>
        <v>44176.84</v>
      </c>
      <c r="E213" s="579" cm="1">
        <f t="array" aca="1" ref="E213" ca="1">INDIRECT(A213&amp;"!K$19")</f>
        <v>28114.18</v>
      </c>
      <c r="F213" s="579" cm="1">
        <f t="array" aca="1" ref="F213" ca="1">IF(INDIRECT(A213&amp;"!K22")="","",INDIRECT(A213&amp;"!K$22")+INDIRECT(A213&amp;"!K23")+INDIRECT(A213&amp;"!K25"))</f>
        <v>-6012.77</v>
      </c>
      <c r="G213" s="579" cm="1">
        <f t="array" aca="1" ref="G213" ca="1">INDIRECT(A213&amp;"!K24")</f>
        <v>-6050</v>
      </c>
    </row>
    <row r="214" spans="1:7" x14ac:dyDescent="0.35">
      <c r="A214" t="s">
        <v>260</v>
      </c>
      <c r="B214" s="569">
        <f>DATE(Summary!$P$11,3,1)</f>
        <v>45717</v>
      </c>
      <c r="C214" s="578" t="str" cm="1">
        <f t="array" aca="1" ref="C214" ca="1">INDIRECT(A214&amp;"!L8")</f>
        <v/>
      </c>
      <c r="D214" s="579" t="str" cm="1">
        <f t="array" aca="1" ref="D214" ca="1">INDIRECT(A214&amp;"!L$18")</f>
        <v/>
      </c>
      <c r="E214" s="579" t="str" cm="1">
        <f t="array" aca="1" ref="E214" ca="1">INDIRECT(A214&amp;"!L$19")</f>
        <v/>
      </c>
      <c r="F214" s="579" t="str" cm="1">
        <f t="array" aca="1" ref="F214" ca="1">IF(INDIRECT(A214&amp;"!L22")="","",INDIRECT(A214&amp;"!L$22")+INDIRECT(A214&amp;"!L23")+INDIRECT(A214&amp;"!L25"))</f>
        <v/>
      </c>
      <c r="G214" s="579" t="str" cm="1">
        <f t="array" aca="1" ref="G214" ca="1">INDIRECT(A214&amp;"!L24")</f>
        <v/>
      </c>
    </row>
    <row r="215" spans="1:7" x14ac:dyDescent="0.35">
      <c r="A215" t="s">
        <v>260</v>
      </c>
      <c r="B215" s="569">
        <f>DATE(Summary!$P$11,4,1)</f>
        <v>45748</v>
      </c>
      <c r="C215" s="578" t="str" cm="1">
        <f t="array" aca="1" ref="C215" ca="1">INDIRECT(A215&amp;"!M8")</f>
        <v/>
      </c>
      <c r="D215" s="579" t="str" cm="1">
        <f t="array" aca="1" ref="D215" ca="1">INDIRECT(A215&amp;"!M$18")</f>
        <v/>
      </c>
      <c r="E215" s="579" t="str" cm="1">
        <f t="array" aca="1" ref="E215" ca="1">INDIRECT(A215&amp;"!M$19")</f>
        <v/>
      </c>
      <c r="F215" s="579" t="str" cm="1">
        <f t="array" aca="1" ref="F215" ca="1">IF(INDIRECT(A215&amp;"!M22")="","",INDIRECT(A215&amp;"!M$22")+INDIRECT(A215&amp;"!M23")+INDIRECT(A215&amp;"!M25"))</f>
        <v/>
      </c>
      <c r="G215" s="579" t="str" cm="1">
        <f t="array" aca="1" ref="G215" ca="1">INDIRECT(A215&amp;"!M24")</f>
        <v/>
      </c>
    </row>
    <row r="216" spans="1:7" x14ac:dyDescent="0.35">
      <c r="A216" t="s">
        <v>260</v>
      </c>
      <c r="B216" s="569">
        <f>DATE(Summary!$P$11,5,1)</f>
        <v>45778</v>
      </c>
      <c r="C216" s="578" t="str" cm="1">
        <f t="array" aca="1" ref="C216" ca="1">INDIRECT(A216&amp;"!N8")</f>
        <v/>
      </c>
      <c r="D216" s="579" t="str" cm="1">
        <f t="array" aca="1" ref="D216" ca="1">INDIRECT(A216&amp;"!N$18")</f>
        <v/>
      </c>
      <c r="E216" s="579" t="str" cm="1">
        <f t="array" aca="1" ref="E216" ca="1">INDIRECT(A216&amp;"!N$19")</f>
        <v/>
      </c>
      <c r="F216" s="579" t="str" cm="1">
        <f t="array" aca="1" ref="F216" ca="1">IF(INDIRECT(A216&amp;"!N22")="","",INDIRECT(A216&amp;"!N$22")+INDIRECT(A216&amp;"!N23")+INDIRECT(A216&amp;"!N25"))</f>
        <v/>
      </c>
      <c r="G216" s="579" t="str" cm="1">
        <f t="array" aca="1" ref="G216" ca="1">INDIRECT(A216&amp;"!N24")</f>
        <v/>
      </c>
    </row>
    <row r="217" spans="1:7" x14ac:dyDescent="0.35">
      <c r="A217" t="s">
        <v>260</v>
      </c>
      <c r="B217" s="569">
        <f>DATE(Summary!$P$11,6,1)</f>
        <v>45809</v>
      </c>
      <c r="C217" s="578" t="str" cm="1">
        <f t="array" aca="1" ref="C217" ca="1">INDIRECT(A217&amp;"!O8")</f>
        <v/>
      </c>
      <c r="D217" s="579" t="str" cm="1">
        <f t="array" aca="1" ref="D217" ca="1">INDIRECT(A217&amp;"!O$18")</f>
        <v/>
      </c>
      <c r="E217" s="579" t="str" cm="1">
        <f t="array" aca="1" ref="E217" ca="1">INDIRECT(A217&amp;"!O$19")</f>
        <v/>
      </c>
      <c r="F217" s="579" t="str" cm="1">
        <f t="array" aca="1" ref="F217" ca="1">IF(INDIRECT(A217&amp;"!O22")="","",INDIRECT(A217&amp;"!O$22")+INDIRECT(A217&amp;"!O23")+INDIRECT(A217&amp;"!O25"))</f>
        <v/>
      </c>
      <c r="G217" s="579" t="str" cm="1">
        <f t="array" aca="1" ref="G217" ca="1">INDIRECT(A217&amp;"!O24")</f>
        <v/>
      </c>
    </row>
    <row r="218" spans="1:7" x14ac:dyDescent="0.35">
      <c r="A218" t="s">
        <v>261</v>
      </c>
      <c r="B218" s="569">
        <f>DATE(Summary!$P$9,7,1)</f>
        <v>45474</v>
      </c>
      <c r="C218" s="578" cm="1">
        <f t="array" aca="1" ref="C218" ca="1">INDIRECT(A218&amp;"!D8")</f>
        <v>154</v>
      </c>
      <c r="D218" s="579" cm="1">
        <f t="array" aca="1" ref="D218" ca="1">INDIRECT(A218&amp;"!D$18")</f>
        <v>127041.09</v>
      </c>
      <c r="E218" s="579" cm="1">
        <f t="array" aca="1" ref="E218" ca="1">INDIRECT(A218&amp;"!D$19")</f>
        <v>125765.12</v>
      </c>
      <c r="F218" s="579" cm="1">
        <f t="array" aca="1" ref="F218" ca="1">IF(INDIRECT(A218&amp;"!D22")="","",INDIRECT(A218&amp;"!D$22")+INDIRECT(A218&amp;"!D23")+INDIRECT(A218&amp;"!D25"))</f>
        <v>-51063.95</v>
      </c>
      <c r="G218" s="579" cm="1">
        <f t="array" aca="1" ref="G218" ca="1">INDIRECT(A218&amp;"!D24")</f>
        <v>-16940</v>
      </c>
    </row>
    <row r="219" spans="1:7" x14ac:dyDescent="0.35">
      <c r="A219" t="s">
        <v>261</v>
      </c>
      <c r="B219" s="569">
        <f>DATE(Summary!$P$9,8,1)</f>
        <v>45505</v>
      </c>
      <c r="C219" s="578" cm="1">
        <f t="array" aca="1" ref="C219" ca="1">INDIRECT(A219&amp;"!E8")</f>
        <v>151</v>
      </c>
      <c r="D219" s="579" cm="1">
        <f t="array" aca="1" ref="D219" ca="1">INDIRECT(A219&amp;"!E$18")</f>
        <v>229620.19</v>
      </c>
      <c r="E219" s="579" cm="1">
        <f t="array" aca="1" ref="E219" ca="1">INDIRECT(A219&amp;"!E$19")</f>
        <v>155270.24</v>
      </c>
      <c r="F219" s="579" cm="1">
        <f t="array" aca="1" ref="F219" ca="1">IF(INDIRECT(A219&amp;"!E22")="","",INDIRECT(A219&amp;"!E$22")+INDIRECT(A219&amp;"!E23")+INDIRECT(A219&amp;"!E25"))</f>
        <v>-12171.539999999999</v>
      </c>
      <c r="G219" s="579" cm="1">
        <f t="array" aca="1" ref="G219" ca="1">INDIRECT(A219&amp;"!E24")</f>
        <v>-16610</v>
      </c>
    </row>
    <row r="220" spans="1:7" x14ac:dyDescent="0.35">
      <c r="A220" t="s">
        <v>261</v>
      </c>
      <c r="B220" s="569">
        <f>DATE(Summary!$P$9,9,1)</f>
        <v>45536</v>
      </c>
      <c r="C220" s="578" cm="1">
        <f t="array" aca="1" ref="C220" ca="1">INDIRECT(A220&amp;"!F8")</f>
        <v>155</v>
      </c>
      <c r="D220" s="579" cm="1">
        <f t="array" aca="1" ref="D220" ca="1">INDIRECT(A220&amp;"!F$18")</f>
        <v>158586.28</v>
      </c>
      <c r="E220" s="579" cm="1">
        <f t="array" aca="1" ref="E220" ca="1">INDIRECT(A220&amp;"!F$19")</f>
        <v>134922.22</v>
      </c>
      <c r="F220" s="579" cm="1">
        <f t="array" aca="1" ref="F220" ca="1">IF(INDIRECT(A220&amp;"!F22")="","",INDIRECT(A220&amp;"!F$22")+INDIRECT(A220&amp;"!F23")+INDIRECT(A220&amp;"!F25"))</f>
        <v>-50525.45</v>
      </c>
      <c r="G220" s="579" cm="1">
        <f t="array" aca="1" ref="G220" ca="1">INDIRECT(A220&amp;"!F24")</f>
        <v>-17050</v>
      </c>
    </row>
    <row r="221" spans="1:7" x14ac:dyDescent="0.35">
      <c r="A221" t="s">
        <v>261</v>
      </c>
      <c r="B221" s="569">
        <f>DATE(Summary!$P$9,10,1)</f>
        <v>45566</v>
      </c>
      <c r="C221" s="578" cm="1">
        <f t="array" aca="1" ref="C221" ca="1">INDIRECT(A221&amp;"!G8")</f>
        <v>154</v>
      </c>
      <c r="D221" s="579" cm="1">
        <f t="array" aca="1" ref="D221" ca="1">INDIRECT(A221&amp;"!G$18")</f>
        <v>115667.96</v>
      </c>
      <c r="E221" s="579" cm="1">
        <f t="array" aca="1" ref="E221" ca="1">INDIRECT(A221&amp;"!G$19")</f>
        <v>112379.51</v>
      </c>
      <c r="F221" s="579" cm="1">
        <f t="array" aca="1" ref="F221" ca="1">IF(INDIRECT(A221&amp;"!G22")="","",INDIRECT(A221&amp;"!G$22")+INDIRECT(A221&amp;"!G23")+INDIRECT(A221&amp;"!G25"))</f>
        <v>-26823.800000000007</v>
      </c>
      <c r="G221" s="579" cm="1">
        <f t="array" aca="1" ref="G221" ca="1">INDIRECT(A221&amp;"!G24")</f>
        <v>-16940</v>
      </c>
    </row>
    <row r="222" spans="1:7" x14ac:dyDescent="0.35">
      <c r="A222" t="s">
        <v>261</v>
      </c>
      <c r="B222" s="569">
        <f>DATE(Summary!$P$9,11,1)</f>
        <v>45597</v>
      </c>
      <c r="C222" s="578" cm="1">
        <f t="array" aca="1" ref="C222" ca="1">INDIRECT(A222&amp;"!H8")</f>
        <v>153</v>
      </c>
      <c r="D222" s="579" cm="1">
        <f t="array" aca="1" ref="D222" ca="1">INDIRECT(A222&amp;"!H$18")</f>
        <v>172234.37</v>
      </c>
      <c r="E222" s="579" cm="1">
        <f t="array" aca="1" ref="E222" ca="1">INDIRECT(A222&amp;"!H$19")</f>
        <v>158532.51</v>
      </c>
      <c r="F222" s="579" cm="1">
        <f t="array" aca="1" ref="F222" ca="1">IF(INDIRECT(A222&amp;"!H22")="","",INDIRECT(A222&amp;"!H$22")+INDIRECT(A222&amp;"!H23")+INDIRECT(A222&amp;"!H25"))</f>
        <v>-53161.040000000008</v>
      </c>
      <c r="G222" s="579" cm="1">
        <f t="array" aca="1" ref="G222" ca="1">INDIRECT(A222&amp;"!H24")</f>
        <v>-16830</v>
      </c>
    </row>
    <row r="223" spans="1:7" x14ac:dyDescent="0.35">
      <c r="A223" t="s">
        <v>261</v>
      </c>
      <c r="B223" s="569">
        <f>DATE(Summary!$P$9,12,1)</f>
        <v>45627</v>
      </c>
      <c r="C223" s="578" cm="1">
        <f t="array" aca="1" ref="C223" ca="1">INDIRECT(A223&amp;"!I8")</f>
        <v>153</v>
      </c>
      <c r="D223" s="579" cm="1">
        <f t="array" aca="1" ref="D223" ca="1">INDIRECT(A223&amp;"!I$18")</f>
        <v>207913.8</v>
      </c>
      <c r="E223" s="579" cm="1">
        <f t="array" aca="1" ref="E223" ca="1">INDIRECT(A223&amp;"!I$19")</f>
        <v>128346.48</v>
      </c>
      <c r="F223" s="579" cm="1">
        <f t="array" aca="1" ref="F223" ca="1">IF(INDIRECT(A223&amp;"!I22")="","",INDIRECT(A223&amp;"!I$22")+INDIRECT(A223&amp;"!I23")+INDIRECT(A223&amp;"!I25"))</f>
        <v>-48983.579999999987</v>
      </c>
      <c r="G223" s="579" cm="1">
        <f t="array" aca="1" ref="G223" ca="1">INDIRECT(A223&amp;"!I24")</f>
        <v>-16830</v>
      </c>
    </row>
    <row r="224" spans="1:7" x14ac:dyDescent="0.35">
      <c r="A224" t="s">
        <v>261</v>
      </c>
      <c r="B224" s="569">
        <f>DATE(Summary!$P$11,1,1)</f>
        <v>45658</v>
      </c>
      <c r="C224" s="578" cm="1">
        <f t="array" aca="1" ref="C224" ca="1">INDIRECT(A224&amp;"!J8")</f>
        <v>156</v>
      </c>
      <c r="D224" s="579" cm="1">
        <f t="array" aca="1" ref="D224" ca="1">INDIRECT(A224&amp;"!J$18")</f>
        <v>252316.66</v>
      </c>
      <c r="E224" s="579" cm="1">
        <f t="array" aca="1" ref="E224" ca="1">INDIRECT(A224&amp;"!J$19")</f>
        <v>153199.46</v>
      </c>
      <c r="F224" s="579" cm="1">
        <f t="array" aca="1" ref="F224" ca="1">IF(INDIRECT(A224&amp;"!J22")="","",INDIRECT(A224&amp;"!J$22")+INDIRECT(A224&amp;"!J23")+INDIRECT(A224&amp;"!J25"))</f>
        <v>-37734.460000000014</v>
      </c>
      <c r="G224" s="579" cm="1">
        <f t="array" aca="1" ref="G224" ca="1">INDIRECT(A224&amp;"!J24")</f>
        <v>-17160</v>
      </c>
    </row>
    <row r="225" spans="1:7" x14ac:dyDescent="0.35">
      <c r="A225" t="s">
        <v>261</v>
      </c>
      <c r="B225" s="569">
        <f>DATE(Summary!$P$11,2,1)</f>
        <v>45689</v>
      </c>
      <c r="C225" s="578" cm="1">
        <f t="array" aca="1" ref="C225" ca="1">INDIRECT(A225&amp;"!K8")</f>
        <v>155</v>
      </c>
      <c r="D225" s="579" cm="1">
        <f t="array" aca="1" ref="D225" ca="1">INDIRECT(A225&amp;"!K$18")</f>
        <v>194994.85</v>
      </c>
      <c r="E225" s="579" cm="1">
        <f t="array" aca="1" ref="E225" ca="1">INDIRECT(A225&amp;"!K$19")</f>
        <v>127623.7</v>
      </c>
      <c r="F225" s="579" cm="1">
        <f t="array" aca="1" ref="F225" ca="1">IF(INDIRECT(A225&amp;"!K22")="","",INDIRECT(A225&amp;"!K$22")+INDIRECT(A225&amp;"!K23")+INDIRECT(A225&amp;"!K25"))</f>
        <v>-61899.339999999989</v>
      </c>
      <c r="G225" s="579" cm="1">
        <f t="array" aca="1" ref="G225" ca="1">INDIRECT(A225&amp;"!K24")</f>
        <v>-17050</v>
      </c>
    </row>
    <row r="226" spans="1:7" x14ac:dyDescent="0.35">
      <c r="A226" t="s">
        <v>261</v>
      </c>
      <c r="B226" s="569">
        <f>DATE(Summary!$P$11,3,1)</f>
        <v>45717</v>
      </c>
      <c r="C226" s="578" t="str" cm="1">
        <f t="array" aca="1" ref="C226" ca="1">INDIRECT(A226&amp;"!L8")</f>
        <v/>
      </c>
      <c r="D226" s="579" t="str" cm="1">
        <f t="array" aca="1" ref="D226" ca="1">INDIRECT(A226&amp;"!L$18")</f>
        <v/>
      </c>
      <c r="E226" s="579" t="str" cm="1">
        <f t="array" aca="1" ref="E226" ca="1">INDIRECT(A226&amp;"!L$19")</f>
        <v/>
      </c>
      <c r="F226" s="579" t="str" cm="1">
        <f t="array" aca="1" ref="F226" ca="1">IF(INDIRECT(A226&amp;"!L22")="","",INDIRECT(A226&amp;"!L$22")+INDIRECT(A226&amp;"!L23")+INDIRECT(A226&amp;"!L25"))</f>
        <v/>
      </c>
      <c r="G226" s="579" t="str" cm="1">
        <f t="array" aca="1" ref="G226" ca="1">INDIRECT(A226&amp;"!L24")</f>
        <v/>
      </c>
    </row>
    <row r="227" spans="1:7" x14ac:dyDescent="0.35">
      <c r="A227" t="s">
        <v>261</v>
      </c>
      <c r="B227" s="569">
        <f>DATE(Summary!$P$11,4,1)</f>
        <v>45748</v>
      </c>
      <c r="C227" s="578" t="str" cm="1">
        <f t="array" aca="1" ref="C227" ca="1">INDIRECT(A227&amp;"!M8")</f>
        <v/>
      </c>
      <c r="D227" s="579" t="str" cm="1">
        <f t="array" aca="1" ref="D227" ca="1">INDIRECT(A227&amp;"!M$18")</f>
        <v/>
      </c>
      <c r="E227" s="579" t="str" cm="1">
        <f t="array" aca="1" ref="E227" ca="1">INDIRECT(A227&amp;"!M$19")</f>
        <v/>
      </c>
      <c r="F227" s="579" t="str" cm="1">
        <f t="array" aca="1" ref="F227" ca="1">IF(INDIRECT(A227&amp;"!M22")="","",INDIRECT(A227&amp;"!M$22")+INDIRECT(A227&amp;"!M23")+INDIRECT(A227&amp;"!M25"))</f>
        <v/>
      </c>
      <c r="G227" s="579" t="str" cm="1">
        <f t="array" aca="1" ref="G227" ca="1">INDIRECT(A227&amp;"!M24")</f>
        <v/>
      </c>
    </row>
    <row r="228" spans="1:7" x14ac:dyDescent="0.35">
      <c r="A228" t="s">
        <v>261</v>
      </c>
      <c r="B228" s="569">
        <f>DATE(Summary!$P$11,5,1)</f>
        <v>45778</v>
      </c>
      <c r="C228" s="578" t="str" cm="1">
        <f t="array" aca="1" ref="C228" ca="1">INDIRECT(A228&amp;"!N8")</f>
        <v/>
      </c>
      <c r="D228" s="579" t="str" cm="1">
        <f t="array" aca="1" ref="D228" ca="1">INDIRECT(A228&amp;"!N$18")</f>
        <v/>
      </c>
      <c r="E228" s="579" t="str" cm="1">
        <f t="array" aca="1" ref="E228" ca="1">INDIRECT(A228&amp;"!N$19")</f>
        <v/>
      </c>
      <c r="F228" s="579" t="str" cm="1">
        <f t="array" aca="1" ref="F228" ca="1">IF(INDIRECT(A228&amp;"!N22")="","",INDIRECT(A228&amp;"!N$22")+INDIRECT(A228&amp;"!N23")+INDIRECT(A228&amp;"!N25"))</f>
        <v/>
      </c>
      <c r="G228" s="579" t="str" cm="1">
        <f t="array" aca="1" ref="G228" ca="1">INDIRECT(A228&amp;"!N24")</f>
        <v/>
      </c>
    </row>
    <row r="229" spans="1:7" x14ac:dyDescent="0.35">
      <c r="A229" t="s">
        <v>261</v>
      </c>
      <c r="B229" s="569">
        <f>DATE(Summary!$P$11,6,1)</f>
        <v>45809</v>
      </c>
      <c r="C229" s="578" t="str" cm="1">
        <f t="array" aca="1" ref="C229" ca="1">INDIRECT(A229&amp;"!O8")</f>
        <v/>
      </c>
      <c r="D229" s="579" t="str" cm="1">
        <f t="array" aca="1" ref="D229" ca="1">INDIRECT(A229&amp;"!O$18")</f>
        <v/>
      </c>
      <c r="E229" s="579" t="str" cm="1">
        <f t="array" aca="1" ref="E229" ca="1">INDIRECT(A229&amp;"!O$19")</f>
        <v/>
      </c>
      <c r="F229" s="579" t="str" cm="1">
        <f t="array" aca="1" ref="F229" ca="1">IF(INDIRECT(A229&amp;"!O22")="","",INDIRECT(A229&amp;"!O$22")+INDIRECT(A229&amp;"!O23")+INDIRECT(A229&amp;"!O25"))</f>
        <v/>
      </c>
      <c r="G229" s="579" t="str" cm="1">
        <f t="array" aca="1" ref="G229" ca="1">INDIRECT(A229&amp;"!O24")</f>
        <v/>
      </c>
    </row>
    <row r="230" spans="1:7" x14ac:dyDescent="0.35">
      <c r="A230" t="s">
        <v>298</v>
      </c>
      <c r="B230" s="569">
        <f>DATE(Summary!$P$9,7,1)</f>
        <v>45474</v>
      </c>
      <c r="C230" s="578" cm="1">
        <f t="array" aca="1" ref="C230" ca="1">INDIRECT("'"&amp;A230&amp;"'!D$8")</f>
        <v>3387</v>
      </c>
      <c r="D230" s="579" cm="1">
        <f t="array" aca="1" ref="D230" ca="1">INDIRECT("'"&amp;A230&amp;"'!D18")</f>
        <v>3823352.0599999996</v>
      </c>
      <c r="E230" s="579" cm="1">
        <f t="array" aca="1" ref="E230" ca="1">INDIRECT("'"&amp;A230&amp;"'!D19")</f>
        <v>1813006.4000000004</v>
      </c>
      <c r="F230" s="579" cm="1">
        <f t="array" aca="1" ref="F230" ca="1">IF(INDIRECT("'"&amp;A230&amp;"'!D22")="","",INDIRECT("'"&amp;A230&amp;"'!D22")+INDIRECT("'"&amp;A230&amp;"'!D23")+INDIRECT("'"&amp;A230&amp;"'!D25"))</f>
        <v>-620771.58000000007</v>
      </c>
      <c r="G230" s="579" cm="1">
        <f t="array" aca="1" ref="G230" ca="1">INDIRECT("'"&amp;A230&amp;"'!D$24")</f>
        <v>-534957.86</v>
      </c>
    </row>
    <row r="231" spans="1:7" x14ac:dyDescent="0.35">
      <c r="A231" t="s">
        <v>298</v>
      </c>
      <c r="B231" s="569">
        <f>DATE(Summary!$P$9,8,1)</f>
        <v>45505</v>
      </c>
      <c r="C231" s="578" cm="1">
        <f t="array" aca="1" ref="C231" ca="1">INDIRECT("'"&amp;A231&amp;"'!E$8")</f>
        <v>3385</v>
      </c>
      <c r="D231" s="579" cm="1">
        <f t="array" aca="1" ref="D231" ca="1">INDIRECT("'"&amp;A231&amp;"'!E18")</f>
        <v>5545332.4900000012</v>
      </c>
      <c r="E231" s="579" cm="1">
        <f t="array" aca="1" ref="E231" ca="1">INDIRECT("'"&amp;A231&amp;"'!E19")</f>
        <v>2331500.6500000004</v>
      </c>
      <c r="F231" s="579" cm="1">
        <f t="array" aca="1" ref="F231" ca="1">IF(INDIRECT("'"&amp;A231&amp;"'!E22")="","",INDIRECT("'"&amp;A231&amp;"'!E22")+INDIRECT("'"&amp;A231&amp;"'!E23")+INDIRECT("'"&amp;A231&amp;"'!E25"))</f>
        <v>-1125087.3399999999</v>
      </c>
      <c r="G231" s="579" cm="1">
        <f t="array" aca="1" ref="G231" ca="1">INDIRECT("'"&amp;A231&amp;"'!E$24")</f>
        <v>-324164.5</v>
      </c>
    </row>
    <row r="232" spans="1:7" x14ac:dyDescent="0.35">
      <c r="A232" t="s">
        <v>298</v>
      </c>
      <c r="B232" s="569">
        <f>DATE(Summary!$P$9,9,1)</f>
        <v>45536</v>
      </c>
      <c r="C232" s="578" cm="1">
        <f t="array" aca="1" ref="C232" ca="1">INDIRECT("'"&amp;A232&amp;"'!F$8")</f>
        <v>3430</v>
      </c>
      <c r="D232" s="579" cm="1">
        <f t="array" aca="1" ref="D232" ca="1">INDIRECT("'"&amp;A232&amp;"'!F18")</f>
        <v>3805387.1699999995</v>
      </c>
      <c r="E232" s="579" cm="1">
        <f t="array" aca="1" ref="E232" ca="1">INDIRECT("'"&amp;A232&amp;"'!F19")</f>
        <v>1964306.75</v>
      </c>
      <c r="F232" s="579" cm="1">
        <f t="array" aca="1" ref="F232" ca="1">IF(INDIRECT("'"&amp;A232&amp;"'!F22")="","",INDIRECT("'"&amp;A232&amp;"'!F22")+INDIRECT("'"&amp;A232&amp;"'!F23")+INDIRECT("'"&amp;A232&amp;"'!F25"))</f>
        <v>-1610062.44</v>
      </c>
      <c r="G232" s="579" cm="1">
        <f t="array" aca="1" ref="G232" ca="1">INDIRECT("'"&amp;A232&amp;"'!F$24")</f>
        <v>-330705.83</v>
      </c>
    </row>
    <row r="233" spans="1:7" x14ac:dyDescent="0.35">
      <c r="A233" t="s">
        <v>298</v>
      </c>
      <c r="B233" s="569">
        <f>DATE(Summary!$P$9,10,1)</f>
        <v>45566</v>
      </c>
      <c r="C233" s="578" cm="1">
        <f t="array" aca="1" ref="C233" ca="1">INDIRECT("'"&amp;A233&amp;"'!G$8")</f>
        <v>3428</v>
      </c>
      <c r="D233" s="579" cm="1">
        <f t="array" aca="1" ref="D233" ca="1">INDIRECT("'"&amp;A233&amp;"'!G18")</f>
        <v>3711357.3199999994</v>
      </c>
      <c r="E233" s="579" cm="1">
        <f t="array" aca="1" ref="E233" ca="1">INDIRECT("'"&amp;A233&amp;"'!G19")</f>
        <v>2019687.68</v>
      </c>
      <c r="F233" s="579" cm="1">
        <f t="array" aca="1" ref="F233" ca="1">IF(INDIRECT("'"&amp;A233&amp;"'!G22")="","",INDIRECT("'"&amp;A233&amp;"'!G22")+INDIRECT("'"&amp;A233&amp;"'!G23")+INDIRECT("'"&amp;A233&amp;"'!G25"))</f>
        <v>-1011345.52</v>
      </c>
      <c r="G233" s="579" cm="1">
        <f t="array" aca="1" ref="G233" ca="1">INDIRECT("'"&amp;A233&amp;"'!G$24")</f>
        <v>-570721.4</v>
      </c>
    </row>
    <row r="234" spans="1:7" x14ac:dyDescent="0.35">
      <c r="A234" t="s">
        <v>298</v>
      </c>
      <c r="B234" s="569">
        <f>DATE(Summary!$P$9,11,1)</f>
        <v>45597</v>
      </c>
      <c r="C234" s="578" cm="1">
        <f t="array" aca="1" ref="C234" ca="1">INDIRECT("'"&amp;A234&amp;"'!H$8")</f>
        <v>3429</v>
      </c>
      <c r="D234" s="579" cm="1">
        <f t="array" aca="1" ref="D234" ca="1">INDIRECT("'"&amp;A234&amp;"'!H18")</f>
        <v>5070495.7499999991</v>
      </c>
      <c r="E234" s="579" cm="1">
        <f t="array" aca="1" ref="E234" ca="1">INDIRECT("'"&amp;A234&amp;"'!H19")</f>
        <v>2421488.2199999997</v>
      </c>
      <c r="F234" s="579" cm="1">
        <f t="array" aca="1" ref="F234" ca="1">IF(INDIRECT("'"&amp;A234&amp;"'!H22")="","",INDIRECT("'"&amp;A234&amp;"'!H22")+INDIRECT("'"&amp;A234&amp;"'!H23")+INDIRECT("'"&amp;A234&amp;"'!H25"))</f>
        <v>-1368356.0299999998</v>
      </c>
      <c r="G234" s="579" cm="1">
        <f t="array" aca="1" ref="G234" ca="1">INDIRECT("'"&amp;A234&amp;"'!H$24")</f>
        <v>-328191.91000000003</v>
      </c>
    </row>
    <row r="235" spans="1:7" x14ac:dyDescent="0.35">
      <c r="A235" t="s">
        <v>298</v>
      </c>
      <c r="B235" s="569">
        <f>DATE(Summary!$P$9,12,1)</f>
        <v>45627</v>
      </c>
      <c r="C235" s="578" cm="1">
        <f t="array" aca="1" ref="C235" ca="1">INDIRECT("'"&amp;A235&amp;"'!I$8")</f>
        <v>3435</v>
      </c>
      <c r="D235" s="579" cm="1">
        <f t="array" aca="1" ref="D235" ca="1">INDIRECT("'"&amp;A235&amp;"'!I18")</f>
        <v>4941393.169999999</v>
      </c>
      <c r="E235" s="579" cm="1">
        <f t="array" aca="1" ref="E235" ca="1">INDIRECT("'"&amp;A235&amp;"'!I19")</f>
        <v>1989836.49</v>
      </c>
      <c r="F235" s="579" cm="1">
        <f t="array" aca="1" ref="F235" ca="1">IF(INDIRECT("'"&amp;A235&amp;"'!I22")="","",INDIRECT("'"&amp;A235&amp;"'!I22")+INDIRECT("'"&amp;A235&amp;"'!I23")+INDIRECT("'"&amp;A235&amp;"'!I25"))</f>
        <v>-1404284.21</v>
      </c>
      <c r="G235" s="579" cm="1">
        <f t="array" aca="1" ref="G235" ca="1">INDIRECT("'"&amp;A235&amp;"'!I$24")</f>
        <v>-596596.66</v>
      </c>
    </row>
    <row r="236" spans="1:7" x14ac:dyDescent="0.35">
      <c r="A236" t="s">
        <v>298</v>
      </c>
      <c r="B236" s="569">
        <f>DATE(Summary!$P$11,1,1)</f>
        <v>45658</v>
      </c>
      <c r="C236" s="578" cm="1">
        <f t="array" aca="1" ref="C236" ca="1">INDIRECT("'"&amp;A236&amp;"'!J$8")</f>
        <v>3435</v>
      </c>
      <c r="D236" s="579" cm="1">
        <f t="array" aca="1" ref="D236" ca="1">INDIRECT("'"&amp;A236&amp;"'!J18")</f>
        <v>5992090.879999999</v>
      </c>
      <c r="E236" s="579" cm="1">
        <f t="array" aca="1" ref="E236" ca="1">INDIRECT("'"&amp;A236&amp;"'!J19")</f>
        <v>2494112.4700000007</v>
      </c>
      <c r="F236" s="579" cm="1">
        <f t="array" aca="1" ref="F236" ca="1">IF(INDIRECT("'"&amp;A236&amp;"'!J22")="","",INDIRECT("'"&amp;A236&amp;"'!J22")+INDIRECT("'"&amp;A236&amp;"'!J23")+INDIRECT("'"&amp;A236&amp;"'!J25"))</f>
        <v>-1784881.4500000009</v>
      </c>
      <c r="G236" s="579" cm="1">
        <f t="array" aca="1" ref="G236" ca="1">INDIRECT("'"&amp;A236&amp;"'!J$24")</f>
        <v>-302380.02</v>
      </c>
    </row>
    <row r="237" spans="1:7" x14ac:dyDescent="0.35">
      <c r="A237" t="s">
        <v>298</v>
      </c>
      <c r="B237" s="569">
        <f>DATE(Summary!$P$11,2,1)</f>
        <v>45689</v>
      </c>
      <c r="C237" s="578" cm="1">
        <f t="array" aca="1" ref="C237" ca="1">INDIRECT("'"&amp;A237&amp;"'!K$8")</f>
        <v>3424</v>
      </c>
      <c r="D237" s="579" cm="1">
        <f t="array" aca="1" ref="D237" ca="1">INDIRECT("'"&amp;A237&amp;"'!K18")</f>
        <v>4738130.6199999992</v>
      </c>
      <c r="E237" s="579" cm="1">
        <f t="array" aca="1" ref="E237" ca="1">INDIRECT("'"&amp;A237&amp;"'!K19")</f>
        <v>2076042.2000000002</v>
      </c>
      <c r="F237" s="579" cm="1">
        <f t="array" aca="1" ref="F237" ca="1">IF(INDIRECT("'"&amp;A237&amp;"'!K22")="","",INDIRECT("'"&amp;A237&amp;"'!K22")+INDIRECT("'"&amp;A237&amp;"'!K23")+INDIRECT("'"&amp;A237&amp;"'!K25"))</f>
        <v>-2203431.1599999964</v>
      </c>
      <c r="G237" s="579" cm="1">
        <f t="array" aca="1" ref="G237" ca="1">INDIRECT("'"&amp;A237&amp;"'!K$24")</f>
        <v>-301400</v>
      </c>
    </row>
    <row r="238" spans="1:7" x14ac:dyDescent="0.35">
      <c r="A238" t="s">
        <v>298</v>
      </c>
      <c r="B238" s="569">
        <f>DATE(Summary!$P$11,3,1)</f>
        <v>45717</v>
      </c>
      <c r="C238" s="578" t="str" cm="1">
        <f t="array" aca="1" ref="C238" ca="1">INDIRECT("'"&amp;A238&amp;"'!L$8")</f>
        <v/>
      </c>
      <c r="D238" s="579" t="str" cm="1">
        <f t="array" aca="1" ref="D238" ca="1">INDIRECT("'"&amp;A238&amp;"'!L18")</f>
        <v/>
      </c>
      <c r="E238" s="579" t="str" cm="1">
        <f t="array" aca="1" ref="E238" ca="1">INDIRECT("'"&amp;A238&amp;"'!L19")</f>
        <v/>
      </c>
      <c r="F238" s="579" t="str" cm="1">
        <f t="array" aca="1" ref="F238" ca="1">IF(INDIRECT("'"&amp;A238&amp;"'!L22")="","",INDIRECT("'"&amp;A238&amp;"'!L22")+INDIRECT("'"&amp;A238&amp;"'!L23")+INDIRECT("'"&amp;A238&amp;"'!L25"))</f>
        <v/>
      </c>
      <c r="G238" s="579" t="str" cm="1">
        <f t="array" aca="1" ref="G238" ca="1">INDIRECT("'"&amp;A238&amp;"'!L$24")</f>
        <v/>
      </c>
    </row>
    <row r="239" spans="1:7" x14ac:dyDescent="0.35">
      <c r="A239" t="s">
        <v>298</v>
      </c>
      <c r="B239" s="569">
        <f>DATE(Summary!$P$11,4,1)</f>
        <v>45748</v>
      </c>
      <c r="C239" s="578" t="str" cm="1">
        <f t="array" aca="1" ref="C239" ca="1">INDIRECT("'"&amp;A239&amp;"'!M$8")</f>
        <v/>
      </c>
      <c r="D239" s="579" t="str" cm="1">
        <f t="array" aca="1" ref="D239" ca="1">INDIRECT("'"&amp;A239&amp;"'!M18")</f>
        <v/>
      </c>
      <c r="E239" s="579" t="str" cm="1">
        <f t="array" aca="1" ref="E239" ca="1">INDIRECT("'"&amp;A239&amp;"'!M19")</f>
        <v/>
      </c>
      <c r="F239" s="579" t="str" cm="1">
        <f t="array" aca="1" ref="F239" ca="1">IF(INDIRECT("'"&amp;A239&amp;"'!M22")="","",INDIRECT("'"&amp;A239&amp;"'!M22")+INDIRECT("'"&amp;A239&amp;"'!M23")+INDIRECT("'"&amp;A239&amp;"'!M25"))</f>
        <v/>
      </c>
      <c r="G239" s="579" t="str" cm="1">
        <f t="array" aca="1" ref="G239" ca="1">INDIRECT("'"&amp;A239&amp;"'!M$24")</f>
        <v/>
      </c>
    </row>
    <row r="240" spans="1:7" x14ac:dyDescent="0.35">
      <c r="A240" t="s">
        <v>298</v>
      </c>
      <c r="B240" s="569">
        <f>DATE(Summary!$P$11,5,1)</f>
        <v>45778</v>
      </c>
      <c r="C240" s="578" t="str" cm="1">
        <f t="array" aca="1" ref="C240" ca="1">INDIRECT("'"&amp;A240&amp;"'!N$8")</f>
        <v/>
      </c>
      <c r="D240" s="579" t="str" cm="1">
        <f t="array" aca="1" ref="D240" ca="1">INDIRECT("'"&amp;A240&amp;"'!N18")</f>
        <v/>
      </c>
      <c r="E240" s="579" t="str" cm="1">
        <f t="array" aca="1" ref="E240" ca="1">INDIRECT("'"&amp;A240&amp;"'!N19")</f>
        <v/>
      </c>
      <c r="F240" s="579" t="str" cm="1">
        <f t="array" aca="1" ref="F240" ca="1">IF(INDIRECT("'"&amp;A240&amp;"'!N22")="","",INDIRECT("'"&amp;A240&amp;"'!N22")+INDIRECT("'"&amp;A240&amp;"'!N23")+INDIRECT("'"&amp;A240&amp;"'!N25"))</f>
        <v/>
      </c>
      <c r="G240" s="579" t="str" cm="1">
        <f t="array" aca="1" ref="G240" ca="1">INDIRECT("'"&amp;A240&amp;"'!N$24")</f>
        <v/>
      </c>
    </row>
    <row r="241" spans="1:7" x14ac:dyDescent="0.35">
      <c r="A241" t="s">
        <v>298</v>
      </c>
      <c r="B241" s="569">
        <f>DATE(Summary!$P$11,6,1)</f>
        <v>45809</v>
      </c>
      <c r="C241" s="578" t="str" cm="1">
        <f t="array" aca="1" ref="C241" ca="1">INDIRECT("'"&amp;A241&amp;"'!O$8")</f>
        <v/>
      </c>
      <c r="D241" s="579" t="str" cm="1">
        <f t="array" aca="1" ref="D241" ca="1">INDIRECT("'"&amp;A241&amp;"'!O18")</f>
        <v/>
      </c>
      <c r="E241" s="579" t="str" cm="1">
        <f t="array" aca="1" ref="E241" ca="1">INDIRECT("'"&amp;A241&amp;"'!O19")</f>
        <v/>
      </c>
      <c r="F241" s="579" t="str" cm="1">
        <f t="array" aca="1" ref="F241" ca="1">IF(INDIRECT("'"&amp;A241&amp;"'!O22")="","",INDIRECT("'"&amp;A241&amp;"'!O22")+INDIRECT("'"&amp;A241&amp;"'!O23")+INDIRECT("'"&amp;A241&amp;"'!O25"))</f>
        <v/>
      </c>
      <c r="G241" s="579" t="str" cm="1">
        <f t="array" aca="1" ref="G241" ca="1">INDIRECT("'"&amp;A241&amp;"'!O$24")</f>
        <v/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1AD0CC228E344C9FAA8E556347B222" ma:contentTypeVersion="13" ma:contentTypeDescription="Create a new document." ma:contentTypeScope="" ma:versionID="bf959b9283bc4729f3b6e09d389d8b8e">
  <xsd:schema xmlns:xsd="http://www.w3.org/2001/XMLSchema" xmlns:xs="http://www.w3.org/2001/XMLSchema" xmlns:p="http://schemas.microsoft.com/office/2006/metadata/properties" xmlns:ns2="bd367fa5-b34b-4f05-9f7c-e99f009347b8" xmlns:ns3="0a1779a8-4529-4ced-b247-674fd9e62891" targetNamespace="http://schemas.microsoft.com/office/2006/metadata/properties" ma:root="true" ma:fieldsID="cb4dc51e29766d5ecef265fc86776f3e" ns2:_="" ns3:_="">
    <xsd:import namespace="bd367fa5-b34b-4f05-9f7c-e99f009347b8"/>
    <xsd:import namespace="0a1779a8-4529-4ced-b247-674fd9e62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67fa5-b34b-4f05-9f7c-e99f009347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0105303-de85-4a95-b160-2feadeace7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1779a8-4529-4ced-b247-674fd9e6289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8d33073-9650-47ad-9c42-9cb6d204193c}" ma:internalName="TaxCatchAll" ma:showField="CatchAllData" ma:web="0a1779a8-4529-4ced-b247-674fd9e62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1779a8-4529-4ced-b247-674fd9e62891" xsi:nil="true"/>
    <lcf76f155ced4ddcb4097134ff3c332f xmlns="bd367fa5-b34b-4f05-9f7c-e99f009347b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F214E5-BAFB-40CE-9B6A-FC0A2BA696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367fa5-b34b-4f05-9f7c-e99f009347b8"/>
    <ds:schemaRef ds:uri="0a1779a8-4529-4ced-b247-674fd9e62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7D4687-6F71-4B94-AC4E-632C0CE61A1A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bd367fa5-b34b-4f05-9f7c-e99f009347b8"/>
    <ds:schemaRef ds:uri="http://purl.org/dc/dcmitype/"/>
    <ds:schemaRef ds:uri="http://schemas.openxmlformats.org/package/2006/metadata/core-properties"/>
    <ds:schemaRef ds:uri="http://purl.org/dc/elements/1.1/"/>
    <ds:schemaRef ds:uri="0a1779a8-4529-4ced-b247-674fd9e62891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62E0B5-F650-4DBC-A8CD-F2C3D37FE4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29</vt:i4>
      </vt:variant>
    </vt:vector>
  </HeadingPairs>
  <TitlesOfParts>
    <vt:vector size="64" baseType="lpstr">
      <vt:lpstr>Narrative</vt:lpstr>
      <vt:lpstr>Summary</vt:lpstr>
      <vt:lpstr>Addendum</vt:lpstr>
      <vt:lpstr>Rolling Projection</vt:lpstr>
      <vt:lpstr>HCC Summary</vt:lpstr>
      <vt:lpstr>HCC Detail</vt:lpstr>
      <vt:lpstr>HCC Detail w Diag</vt:lpstr>
      <vt:lpstr>Performance</vt:lpstr>
      <vt:lpstr>MiniPool Integrity</vt:lpstr>
      <vt:lpstr>Trust Cash Flow</vt:lpstr>
      <vt:lpstr>Conneaut</vt:lpstr>
      <vt:lpstr>Corry</vt:lpstr>
      <vt:lpstr>Crawford</vt:lpstr>
      <vt:lpstr>Erie</vt:lpstr>
      <vt:lpstr>Fairview</vt:lpstr>
      <vt:lpstr>Franklin</vt:lpstr>
      <vt:lpstr>FtLeBoeuf</vt:lpstr>
      <vt:lpstr>Girard</vt:lpstr>
      <vt:lpstr>HarborCreek</vt:lpstr>
      <vt:lpstr>Iroquois</vt:lpstr>
      <vt:lpstr>NE</vt:lpstr>
      <vt:lpstr>NW</vt:lpstr>
      <vt:lpstr>NWIU5</vt:lpstr>
      <vt:lpstr>OilCity</vt:lpstr>
      <vt:lpstr>Penncrest</vt:lpstr>
      <vt:lpstr>StMarys</vt:lpstr>
      <vt:lpstr>ValleyGrove</vt:lpstr>
      <vt:lpstr>Venango</vt:lpstr>
      <vt:lpstr>Wattsburg</vt:lpstr>
      <vt:lpstr>CR Reconcile</vt:lpstr>
      <vt:lpstr>HCC Data Entry</vt:lpstr>
      <vt:lpstr>Cash Flow Entry</vt:lpstr>
      <vt:lpstr>CR Entry</vt:lpstr>
      <vt:lpstr>Sheet1</vt:lpstr>
      <vt:lpstr>Sheet2</vt:lpstr>
      <vt:lpstr>Addendum!Print_Area</vt:lpstr>
      <vt:lpstr>Conneaut!Print_Area</vt:lpstr>
      <vt:lpstr>Corry!Print_Area</vt:lpstr>
      <vt:lpstr>Crawford!Print_Area</vt:lpstr>
      <vt:lpstr>Erie!Print_Area</vt:lpstr>
      <vt:lpstr>Fairview!Print_Area</vt:lpstr>
      <vt:lpstr>Franklin!Print_Area</vt:lpstr>
      <vt:lpstr>FtLeBoeuf!Print_Area</vt:lpstr>
      <vt:lpstr>Girard!Print_Area</vt:lpstr>
      <vt:lpstr>HarborCreek!Print_Area</vt:lpstr>
      <vt:lpstr>'HCC Detail'!Print_Area</vt:lpstr>
      <vt:lpstr>'HCC Detail w Diag'!Print_Area</vt:lpstr>
      <vt:lpstr>'HCC Summary'!Print_Area</vt:lpstr>
      <vt:lpstr>Iroquois!Print_Area</vt:lpstr>
      <vt:lpstr>'MiniPool Integrity'!Print_Area</vt:lpstr>
      <vt:lpstr>Narrative!Print_Area</vt:lpstr>
      <vt:lpstr>NE!Print_Area</vt:lpstr>
      <vt:lpstr>NW!Print_Area</vt:lpstr>
      <vt:lpstr>NWIU5!Print_Area</vt:lpstr>
      <vt:lpstr>OilCity!Print_Area</vt:lpstr>
      <vt:lpstr>Penncrest!Print_Area</vt:lpstr>
      <vt:lpstr>Performance!Print_Area</vt:lpstr>
      <vt:lpstr>'Rolling Projection'!Print_Area</vt:lpstr>
      <vt:lpstr>StMarys!Print_Area</vt:lpstr>
      <vt:lpstr>Summary!Print_Area</vt:lpstr>
      <vt:lpstr>'Trust Cash Flow'!Print_Area</vt:lpstr>
      <vt:lpstr>ValleyGrove!Print_Area</vt:lpstr>
      <vt:lpstr>Venango!Print_Area</vt:lpstr>
      <vt:lpstr>Wattsburg!Print_Area</vt:lpstr>
    </vt:vector>
  </TitlesOfParts>
  <Company>HUB INTERNATIONAL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Behun, Brandon</dc:creator>
  <cp:lastModifiedBy>Watson, Alyssa</cp:lastModifiedBy>
  <cp:lastPrinted>2021-10-28T18:29:39Z</cp:lastPrinted>
  <dcterms:created xsi:type="dcterms:W3CDTF">2015-11-17T17:16:10Z</dcterms:created>
  <dcterms:modified xsi:type="dcterms:W3CDTF">2025-03-27T14:24:40Z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0x010100A61AD0CC228E344C9FAA8E556347B222</vt:lpwstr>
  </property>
  <property fmtid="{D5CDD505-2E9C-101B-9397-08002B2CF9AE}" pid="3" name="MediaServiceImageTags">
    <vt:lpwstr/>
  </property>
</Properties>
</file>